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andr\Fiducoldex SA\FDX - Vicepresidencia Jurídica - sgutierrez\TERMINOS DE REFERENCIA\SOLUCIÓN INFORMATICA\PUBLICACION\"/>
    </mc:Choice>
  </mc:AlternateContent>
  <xr:revisionPtr revIDLastSave="490" documentId="8_{7C0B89D6-BE43-45BD-8469-8A15DDBAAACE}" xr6:coauthVersionLast="45" xr6:coauthVersionMax="45" xr10:uidLastSave="{EEC5CBE7-2454-4BC2-8F8A-7C496E9B9741}"/>
  <bookViews>
    <workbookView xWindow="-120" yWindow="-120" windowWidth="20730" windowHeight="11160" tabRatio="707" xr2:uid="{00000000-000D-0000-FFFF-FFFF00000000}"/>
  </bookViews>
  <sheets>
    <sheet name="GLOBAL CONVENIO" sheetId="8" r:id="rId1"/>
    <sheet name="GESTORES" sheetId="20" r:id="rId2"/>
    <sheet name="EXTENSIONISTAS" sheetId="17" r:id="rId3"/>
    <sheet name="GASTOS ADTIVOS" sheetId="21" r:id="rId4"/>
    <sheet name="RENDIMIENTOS FROS" sheetId="12" r:id="rId5"/>
    <sheet name="CONCILIACIÓN BANCARIA" sheetId="15" r:id="rId6"/>
    <sheet name="esta iria oculta" sheetId="23" state="hidden" r:id="rId7"/>
  </sheets>
  <externalReferences>
    <externalReference r:id="rId8"/>
  </externalReferences>
  <definedNames>
    <definedName name="_xlnm._FilterDatabase" localSheetId="2" hidden="1">EXTENSIONISTAS!$B$13:$DE$74</definedName>
    <definedName name="_xlnm._FilterDatabase" localSheetId="3" hidden="1">'GASTOS ADTIVOS'!$B$51:$M$113</definedName>
    <definedName name="_xlnm._FilterDatabase" localSheetId="1" hidden="1">GESTORES!$B$23:$M$44</definedName>
    <definedName name="años">[1]FORMULACION!$C$1:$C$4</definedName>
    <definedName name="_xlnm.Print_Area" localSheetId="3">'GASTOS ADTIVOS'!$C$52:$I$90</definedName>
    <definedName name="_xlnm.Print_Area" localSheetId="4">'RENDIMIENTOS FROS'!$A$1:$E$32</definedName>
    <definedName name="dias">[1]FORMULACION!$A$1:$A$31</definedName>
    <definedName name="educacion_sanitaria" localSheetId="3">[1]FORMULACION!#REF!</definedName>
    <definedName name="educacion_sanitaria" localSheetId="1">[1]FORMULACION!#REF!</definedName>
    <definedName name="educacion_sanitaria">[1]FORMULACION!#REF!</definedName>
    <definedName name="meses">[1]FORMULACION!$B$1:$B$12</definedName>
    <definedName name="programas">[1]FORMULACION!$D$1:$D$18</definedName>
    <definedName name="proyectos" localSheetId="3">[1]FORMULACION!#REF!</definedName>
    <definedName name="proyectos" localSheetId="1">[1]FORMULACION!#REF!</definedName>
    <definedName name="proyectos">[1]FORMULACION!#REF!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8" i="20" l="1"/>
  <c r="D107" i="20"/>
  <c r="D106" i="20"/>
  <c r="D105" i="20"/>
  <c r="D110" i="20"/>
  <c r="D109" i="20"/>
  <c r="D111" i="20" l="1"/>
  <c r="M44" i="20" l="1"/>
  <c r="Z14" i="17" l="1"/>
  <c r="O82" i="21" l="1"/>
  <c r="P82" i="21" s="1"/>
  <c r="O76" i="21"/>
  <c r="N76" i="21"/>
  <c r="L65" i="21" l="1"/>
  <c r="C26" i="20" l="1"/>
  <c r="C27" i="20" s="1"/>
  <c r="C28" i="20" s="1"/>
  <c r="C29" i="20" s="1"/>
  <c r="C30" i="20" s="1"/>
  <c r="C31" i="20" s="1"/>
  <c r="C32" i="20" s="1"/>
  <c r="C33" i="20" s="1"/>
  <c r="C34" i="20" s="1"/>
  <c r="C35" i="20" s="1"/>
  <c r="C36" i="20" s="1"/>
  <c r="C37" i="20" s="1"/>
  <c r="C38" i="20" s="1"/>
  <c r="C39" i="20" s="1"/>
  <c r="C40" i="20" s="1"/>
  <c r="C41" i="20" s="1"/>
  <c r="C42" i="20" s="1"/>
  <c r="C43" i="20" s="1"/>
  <c r="C44" i="20" s="1"/>
  <c r="P37" i="8"/>
  <c r="O37" i="8"/>
  <c r="M37" i="8"/>
  <c r="L37" i="8"/>
  <c r="P36" i="8"/>
  <c r="O36" i="8"/>
  <c r="M36" i="8"/>
  <c r="L36" i="8"/>
  <c r="P35" i="8"/>
  <c r="O35" i="8"/>
  <c r="M35" i="8"/>
  <c r="L35" i="8"/>
  <c r="P34" i="8"/>
  <c r="O34" i="8"/>
  <c r="M34" i="8"/>
  <c r="L34" i="8"/>
  <c r="D145" i="17"/>
  <c r="D146" i="17"/>
  <c r="D147" i="17"/>
  <c r="D148" i="17"/>
  <c r="D149" i="17"/>
  <c r="D150" i="17"/>
  <c r="D151" i="17"/>
  <c r="D152" i="17"/>
  <c r="D153" i="17"/>
  <c r="D154" i="17"/>
  <c r="D155" i="17"/>
  <c r="D156" i="17"/>
  <c r="D14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50" i="17"/>
  <c r="Q51" i="17"/>
  <c r="Q52" i="17"/>
  <c r="Q53" i="17"/>
  <c r="Q54" i="17"/>
  <c r="Q55" i="17"/>
  <c r="Q56" i="17"/>
  <c r="Q57" i="17"/>
  <c r="Q58" i="17"/>
  <c r="Q59" i="17"/>
  <c r="Q60" i="17"/>
  <c r="Q61" i="17"/>
  <c r="Q62" i="17"/>
  <c r="Q63" i="17"/>
  <c r="Q64" i="17"/>
  <c r="Q65" i="17"/>
  <c r="Q66" i="17"/>
  <c r="Q67" i="17"/>
  <c r="Q68" i="17"/>
  <c r="Q69" i="17"/>
  <c r="Q70" i="17"/>
  <c r="Q14" i="17"/>
  <c r="S16" i="17"/>
  <c r="S15" i="17"/>
  <c r="B14" i="21"/>
  <c r="B15" i="21" s="1"/>
  <c r="B16" i="21" s="1"/>
  <c r="B17" i="21" s="1"/>
  <c r="B18" i="21" s="1"/>
  <c r="B19" i="21" s="1"/>
  <c r="B20" i="21" s="1"/>
  <c r="B21" i="21" s="1"/>
  <c r="B22" i="21" s="1"/>
  <c r="B23" i="21" s="1"/>
  <c r="B24" i="21" s="1"/>
  <c r="B25" i="21" s="1"/>
  <c r="B26" i="21" s="1"/>
  <c r="B27" i="21" s="1"/>
  <c r="B28" i="21" s="1"/>
  <c r="B29" i="21" s="1"/>
  <c r="B30" i="21" s="1"/>
  <c r="B31" i="21" s="1"/>
  <c r="B32" i="21" s="1"/>
  <c r="B33" i="21" s="1"/>
  <c r="B34" i="21" s="1"/>
  <c r="B35" i="21" s="1"/>
  <c r="B36" i="21" s="1"/>
  <c r="B37" i="21" s="1"/>
  <c r="B38" i="21" s="1"/>
  <c r="B39" i="21" s="1"/>
  <c r="B40" i="21" s="1"/>
  <c r="B41" i="21" s="1"/>
  <c r="B13" i="21"/>
  <c r="B53" i="21"/>
  <c r="B54" i="21" s="1"/>
  <c r="B55" i="21" s="1"/>
  <c r="B56" i="21" s="1"/>
  <c r="B57" i="21" s="1"/>
  <c r="B58" i="21" s="1"/>
  <c r="B59" i="21" s="1"/>
  <c r="B60" i="21" s="1"/>
  <c r="B61" i="21" s="1"/>
  <c r="B62" i="21" s="1"/>
  <c r="B63" i="21" s="1"/>
  <c r="B64" i="21" s="1"/>
  <c r="B65" i="21" s="1"/>
  <c r="B66" i="21" s="1"/>
  <c r="B67" i="21" s="1"/>
  <c r="B68" i="21" s="1"/>
  <c r="B69" i="21" s="1"/>
  <c r="B70" i="21" s="1"/>
  <c r="B71" i="21" s="1"/>
  <c r="B72" i="21" s="1"/>
  <c r="B73" i="21" s="1"/>
  <c r="B74" i="21" s="1"/>
  <c r="B75" i="21" s="1"/>
  <c r="B76" i="21" s="1"/>
  <c r="B77" i="21" s="1"/>
  <c r="B78" i="21" s="1"/>
  <c r="B79" i="21" s="1"/>
  <c r="B80" i="21" s="1"/>
  <c r="B81" i="21" s="1"/>
  <c r="B82" i="21" s="1"/>
  <c r="B83" i="21" s="1"/>
  <c r="B84" i="21" s="1"/>
  <c r="B85" i="21" s="1"/>
  <c r="B86" i="21" s="1"/>
  <c r="B87" i="21" s="1"/>
  <c r="B88" i="21" s="1"/>
  <c r="B89" i="21" s="1"/>
  <c r="B90" i="21" s="1"/>
  <c r="B91" i="21" s="1"/>
  <c r="B92" i="21" s="1"/>
  <c r="B93" i="21" s="1"/>
  <c r="B94" i="21" s="1"/>
  <c r="B95" i="21" s="1"/>
  <c r="B96" i="21" s="1"/>
  <c r="B97" i="21" s="1"/>
  <c r="B98" i="21" s="1"/>
  <c r="B99" i="21" s="1"/>
  <c r="B100" i="21" s="1"/>
  <c r="B101" i="21" s="1"/>
  <c r="B102" i="21" s="1"/>
  <c r="B103" i="21" s="1"/>
  <c r="B104" i="21" s="1"/>
  <c r="B105" i="21" s="1"/>
  <c r="B106" i="21" s="1"/>
  <c r="B107" i="21" s="1"/>
  <c r="B108" i="21" s="1"/>
  <c r="B109" i="21" s="1"/>
  <c r="B110" i="21" s="1"/>
  <c r="B111" i="21" s="1"/>
  <c r="B112" i="21" s="1"/>
  <c r="B113" i="21" s="1"/>
  <c r="N34" i="8" l="1"/>
  <c r="N36" i="8"/>
  <c r="N35" i="8"/>
  <c r="N37" i="8"/>
  <c r="Q34" i="8"/>
  <c r="Q35" i="8"/>
  <c r="Q36" i="8"/>
  <c r="Q37" i="8"/>
  <c r="H72" i="17"/>
  <c r="M19" i="20"/>
  <c r="L19" i="20"/>
  <c r="P33" i="8"/>
  <c r="O33" i="8"/>
  <c r="M33" i="8"/>
  <c r="L33" i="8"/>
  <c r="P32" i="8"/>
  <c r="O32" i="8"/>
  <c r="M32" i="8"/>
  <c r="L32" i="8"/>
  <c r="P31" i="8"/>
  <c r="O31" i="8"/>
  <c r="M31" i="8"/>
  <c r="L31" i="8"/>
  <c r="P26" i="8"/>
  <c r="O26" i="8"/>
  <c r="L26" i="8"/>
  <c r="N26" i="8" s="1"/>
  <c r="P30" i="8"/>
  <c r="M30" i="8"/>
  <c r="L30" i="8"/>
  <c r="P29" i="8"/>
  <c r="M29" i="8"/>
  <c r="L29" i="8"/>
  <c r="P28" i="8"/>
  <c r="O28" i="8"/>
  <c r="M28" i="8"/>
  <c r="L28" i="8"/>
  <c r="P27" i="8"/>
  <c r="O27" i="8"/>
  <c r="L27" i="8"/>
  <c r="N27" i="8" s="1"/>
  <c r="H37" i="8"/>
  <c r="H36" i="8"/>
  <c r="H35" i="8"/>
  <c r="H34" i="8"/>
  <c r="H33" i="8"/>
  <c r="H32" i="8"/>
  <c r="H31" i="8"/>
  <c r="H30" i="8"/>
  <c r="H27" i="8"/>
  <c r="H26" i="8"/>
  <c r="H25" i="8"/>
  <c r="E27" i="8"/>
  <c r="J12" i="21"/>
  <c r="T15" i="17"/>
  <c r="W15" i="17" s="1"/>
  <c r="U15" i="17"/>
  <c r="AB70" i="17"/>
  <c r="AA70" i="17"/>
  <c r="Z70" i="17"/>
  <c r="AB69" i="17"/>
  <c r="AA69" i="17"/>
  <c r="Z69" i="17"/>
  <c r="AB68" i="17"/>
  <c r="AA68" i="17"/>
  <c r="Z68" i="17"/>
  <c r="AB67" i="17"/>
  <c r="AA67" i="17"/>
  <c r="Z67" i="17"/>
  <c r="AB66" i="17"/>
  <c r="AA66" i="17"/>
  <c r="Z66" i="17"/>
  <c r="AB65" i="17"/>
  <c r="AA65" i="17"/>
  <c r="Z65" i="17"/>
  <c r="AB64" i="17"/>
  <c r="AA64" i="17"/>
  <c r="Z64" i="17"/>
  <c r="AB63" i="17"/>
  <c r="AA63" i="17"/>
  <c r="Z63" i="17"/>
  <c r="AB62" i="17"/>
  <c r="AA62" i="17"/>
  <c r="Z62" i="17"/>
  <c r="AB61" i="17"/>
  <c r="AA61" i="17"/>
  <c r="Z61" i="17"/>
  <c r="AB60" i="17"/>
  <c r="AA60" i="17"/>
  <c r="Z60" i="17"/>
  <c r="AB59" i="17"/>
  <c r="AA59" i="17"/>
  <c r="Z59" i="17"/>
  <c r="AB58" i="17"/>
  <c r="AA58" i="17"/>
  <c r="Z58" i="17"/>
  <c r="AB57" i="17"/>
  <c r="AA57" i="17"/>
  <c r="Z57" i="17"/>
  <c r="AB56" i="17"/>
  <c r="AA56" i="17"/>
  <c r="Z56" i="17"/>
  <c r="AB55" i="17"/>
  <c r="AA55" i="17"/>
  <c r="Z55" i="17"/>
  <c r="AB54" i="17"/>
  <c r="AA54" i="17"/>
  <c r="Z54" i="17"/>
  <c r="AB53" i="17"/>
  <c r="AA53" i="17"/>
  <c r="Z53" i="17"/>
  <c r="AB52" i="17"/>
  <c r="AA52" i="17"/>
  <c r="Z52" i="17"/>
  <c r="AB51" i="17"/>
  <c r="AA51" i="17"/>
  <c r="Z51" i="17"/>
  <c r="AB50" i="17"/>
  <c r="AA50" i="17"/>
  <c r="Z50" i="17"/>
  <c r="AB49" i="17"/>
  <c r="AA49" i="17"/>
  <c r="Z49" i="17"/>
  <c r="AB48" i="17"/>
  <c r="AA48" i="17"/>
  <c r="Z48" i="17"/>
  <c r="AB47" i="17"/>
  <c r="AA47" i="17"/>
  <c r="Z47" i="17"/>
  <c r="AB46" i="17"/>
  <c r="AA46" i="17"/>
  <c r="Z46" i="17"/>
  <c r="AB45" i="17"/>
  <c r="AA45" i="17"/>
  <c r="Z45" i="17"/>
  <c r="AB44" i="17"/>
  <c r="AA44" i="17"/>
  <c r="Z44" i="17"/>
  <c r="AB43" i="17"/>
  <c r="AA43" i="17"/>
  <c r="Z43" i="17"/>
  <c r="AB42" i="17"/>
  <c r="AA42" i="17"/>
  <c r="Z42" i="17"/>
  <c r="AB41" i="17"/>
  <c r="AA41" i="17"/>
  <c r="Z41" i="17"/>
  <c r="AB40" i="17"/>
  <c r="AA40" i="17"/>
  <c r="Z40" i="17"/>
  <c r="AB39" i="17"/>
  <c r="AA39" i="17"/>
  <c r="Z39" i="17"/>
  <c r="AB38" i="17"/>
  <c r="AA38" i="17"/>
  <c r="Z38" i="17"/>
  <c r="AB37" i="17"/>
  <c r="AA37" i="17"/>
  <c r="Z37" i="17"/>
  <c r="AB36" i="17"/>
  <c r="AA36" i="17"/>
  <c r="Z36" i="17"/>
  <c r="AB35" i="17"/>
  <c r="AA35" i="17"/>
  <c r="Z35" i="17"/>
  <c r="AB34" i="17"/>
  <c r="AA34" i="17"/>
  <c r="Z34" i="17"/>
  <c r="AB33" i="17"/>
  <c r="AA33" i="17"/>
  <c r="Z33" i="17"/>
  <c r="AB32" i="17"/>
  <c r="AA32" i="17"/>
  <c r="Z32" i="17"/>
  <c r="AB31" i="17"/>
  <c r="AA31" i="17"/>
  <c r="Z31" i="17"/>
  <c r="AB24" i="17"/>
  <c r="AA24" i="17"/>
  <c r="Z24" i="17"/>
  <c r="AB23" i="17"/>
  <c r="AA23" i="17"/>
  <c r="Z23" i="17"/>
  <c r="AB22" i="17"/>
  <c r="AA22" i="17"/>
  <c r="Z22" i="17"/>
  <c r="AB21" i="17"/>
  <c r="AA21" i="17"/>
  <c r="Z21" i="17"/>
  <c r="AB20" i="17"/>
  <c r="AA20" i="17"/>
  <c r="Z20" i="17"/>
  <c r="AB19" i="17"/>
  <c r="AA19" i="17"/>
  <c r="Z19" i="17"/>
  <c r="AB18" i="17"/>
  <c r="AA18" i="17"/>
  <c r="Z18" i="17"/>
  <c r="AB17" i="17"/>
  <c r="AA17" i="17"/>
  <c r="Z17" i="17"/>
  <c r="AB16" i="17"/>
  <c r="AA16" i="17"/>
  <c r="Z16" i="17"/>
  <c r="AB15" i="17"/>
  <c r="AA15" i="17"/>
  <c r="Z15" i="17"/>
  <c r="H71" i="17"/>
  <c r="N31" i="8" l="1"/>
  <c r="N33" i="8"/>
  <c r="Q27" i="8"/>
  <c r="Q26" i="8"/>
  <c r="Y17" i="17"/>
  <c r="Y21" i="17"/>
  <c r="Y31" i="17"/>
  <c r="Y35" i="17"/>
  <c r="Y39" i="17"/>
  <c r="Y43" i="17"/>
  <c r="Y47" i="17"/>
  <c r="Y51" i="17"/>
  <c r="Y55" i="17"/>
  <c r="Y59" i="17"/>
  <c r="Y63" i="17"/>
  <c r="Y67" i="17"/>
  <c r="N32" i="8"/>
  <c r="N28" i="8"/>
  <c r="Y16" i="17"/>
  <c r="Y20" i="17"/>
  <c r="Y24" i="17"/>
  <c r="Y34" i="17"/>
  <c r="Y38" i="17"/>
  <c r="Y42" i="17"/>
  <c r="Y46" i="17"/>
  <c r="Y50" i="17"/>
  <c r="Y54" i="17"/>
  <c r="Y58" i="17"/>
  <c r="Y62" i="17"/>
  <c r="Y66" i="17"/>
  <c r="Y70" i="17"/>
  <c r="Y15" i="17"/>
  <c r="Y19" i="17"/>
  <c r="Y23" i="17"/>
  <c r="Y33" i="17"/>
  <c r="Y37" i="17"/>
  <c r="Y41" i="17"/>
  <c r="Y45" i="17"/>
  <c r="Y49" i="17"/>
  <c r="Y53" i="17"/>
  <c r="Y57" i="17"/>
  <c r="Y61" i="17"/>
  <c r="Y65" i="17"/>
  <c r="Y69" i="17"/>
  <c r="Y18" i="17"/>
  <c r="Y22" i="17"/>
  <c r="Y32" i="17"/>
  <c r="Y36" i="17"/>
  <c r="Y40" i="17"/>
  <c r="Y44" i="17"/>
  <c r="Y48" i="17"/>
  <c r="Y52" i="17"/>
  <c r="Y56" i="17"/>
  <c r="Y60" i="17"/>
  <c r="Y64" i="17"/>
  <c r="Y68" i="17"/>
  <c r="Q31" i="8"/>
  <c r="Q32" i="8"/>
  <c r="Q33" i="8"/>
  <c r="Q28" i="8"/>
  <c r="N29" i="8"/>
  <c r="N30" i="8"/>
  <c r="N38" i="8" l="1"/>
  <c r="S31" i="17"/>
  <c r="T31" i="17"/>
  <c r="U31" i="17"/>
  <c r="S32" i="17"/>
  <c r="T32" i="17"/>
  <c r="U32" i="17"/>
  <c r="S33" i="17"/>
  <c r="T33" i="17"/>
  <c r="U33" i="17"/>
  <c r="S34" i="17"/>
  <c r="T34" i="17"/>
  <c r="U34" i="17"/>
  <c r="S35" i="17"/>
  <c r="T35" i="17"/>
  <c r="U35" i="17"/>
  <c r="S36" i="17"/>
  <c r="T36" i="17"/>
  <c r="U36" i="17"/>
  <c r="S37" i="17"/>
  <c r="T37" i="17"/>
  <c r="U37" i="17"/>
  <c r="S38" i="17"/>
  <c r="T38" i="17"/>
  <c r="U38" i="17"/>
  <c r="S39" i="17"/>
  <c r="T39" i="17"/>
  <c r="U39" i="17"/>
  <c r="S19" i="17"/>
  <c r="T19" i="17"/>
  <c r="U19" i="17"/>
  <c r="S20" i="17"/>
  <c r="T20" i="17"/>
  <c r="U20" i="17"/>
  <c r="S66" i="17"/>
  <c r="T66" i="17"/>
  <c r="U66" i="17"/>
  <c r="S67" i="17"/>
  <c r="T67" i="17"/>
  <c r="U67" i="17"/>
  <c r="S68" i="17"/>
  <c r="T68" i="17"/>
  <c r="U68" i="17"/>
  <c r="S69" i="17"/>
  <c r="T69" i="17"/>
  <c r="U69" i="17"/>
  <c r="S64" i="17"/>
  <c r="T64" i="17"/>
  <c r="U64" i="17"/>
  <c r="S65" i="17"/>
  <c r="T65" i="17"/>
  <c r="U65" i="17"/>
  <c r="S48" i="17"/>
  <c r="T48" i="17"/>
  <c r="U48" i="17"/>
  <c r="S49" i="17"/>
  <c r="T49" i="17"/>
  <c r="U49" i="17"/>
  <c r="S50" i="17"/>
  <c r="T50" i="17"/>
  <c r="U50" i="17"/>
  <c r="S51" i="17"/>
  <c r="T51" i="17"/>
  <c r="U51" i="17"/>
  <c r="S52" i="17"/>
  <c r="T52" i="17"/>
  <c r="U52" i="17"/>
  <c r="S53" i="17"/>
  <c r="T53" i="17"/>
  <c r="U53" i="17"/>
  <c r="S54" i="17"/>
  <c r="T54" i="17"/>
  <c r="U54" i="17"/>
  <c r="S55" i="17"/>
  <c r="T55" i="17"/>
  <c r="U55" i="17"/>
  <c r="S56" i="17"/>
  <c r="T56" i="17"/>
  <c r="U56" i="17"/>
  <c r="S57" i="17"/>
  <c r="T57" i="17"/>
  <c r="U57" i="17"/>
  <c r="S58" i="17"/>
  <c r="T58" i="17"/>
  <c r="U58" i="17"/>
  <c r="S59" i="17"/>
  <c r="T59" i="17"/>
  <c r="U59" i="17"/>
  <c r="S60" i="17"/>
  <c r="T60" i="17"/>
  <c r="U60" i="17"/>
  <c r="S61" i="17"/>
  <c r="T61" i="17"/>
  <c r="U61" i="17"/>
  <c r="S62" i="17"/>
  <c r="T62" i="17"/>
  <c r="U62" i="17"/>
  <c r="S63" i="17"/>
  <c r="T63" i="17"/>
  <c r="U63" i="17"/>
  <c r="S44" i="17"/>
  <c r="T44" i="17"/>
  <c r="U44" i="17"/>
  <c r="S45" i="17"/>
  <c r="T45" i="17"/>
  <c r="U45" i="17"/>
  <c r="S46" i="17"/>
  <c r="T46" i="17"/>
  <c r="U46" i="17"/>
  <c r="S47" i="17"/>
  <c r="T47" i="17"/>
  <c r="U47" i="17"/>
  <c r="S40" i="17" l="1"/>
  <c r="T40" i="17"/>
  <c r="U40" i="17"/>
  <c r="S41" i="17"/>
  <c r="T41" i="17"/>
  <c r="U41" i="17"/>
  <c r="S42" i="17"/>
  <c r="T42" i="17"/>
  <c r="U42" i="17"/>
  <c r="S43" i="17"/>
  <c r="T43" i="17"/>
  <c r="U43" i="17"/>
  <c r="S26" i="17"/>
  <c r="T26" i="17"/>
  <c r="U26" i="17"/>
  <c r="S27" i="17"/>
  <c r="T27" i="17"/>
  <c r="U27" i="17"/>
  <c r="S28" i="17"/>
  <c r="T28" i="17"/>
  <c r="U28" i="17"/>
  <c r="S29" i="17"/>
  <c r="T29" i="17"/>
  <c r="U29" i="17"/>
  <c r="S30" i="17"/>
  <c r="T30" i="17"/>
  <c r="U30" i="17"/>
  <c r="S22" i="17"/>
  <c r="T22" i="17"/>
  <c r="U22" i="17"/>
  <c r="S23" i="17"/>
  <c r="T23" i="17"/>
  <c r="U23" i="17"/>
  <c r="S24" i="17"/>
  <c r="T24" i="17"/>
  <c r="U24" i="17"/>
  <c r="S25" i="17"/>
  <c r="T25" i="17"/>
  <c r="U25" i="17"/>
  <c r="T18" i="17"/>
  <c r="T21" i="17"/>
  <c r="S21" i="17"/>
  <c r="U21" i="17"/>
  <c r="S18" i="17"/>
  <c r="U18" i="17"/>
  <c r="U17" i="17"/>
  <c r="T17" i="17"/>
  <c r="S17" i="17"/>
  <c r="U16" i="17"/>
  <c r="T16" i="17"/>
  <c r="W16" i="17" s="1"/>
  <c r="T14" i="17"/>
  <c r="D12" i="12" l="1"/>
  <c r="J105" i="21" l="1"/>
  <c r="J103" i="21" l="1"/>
  <c r="J104" i="21"/>
  <c r="J102" i="21"/>
  <c r="J101" i="21" l="1"/>
  <c r="J100" i="21"/>
  <c r="J99" i="21"/>
  <c r="J98" i="21"/>
  <c r="J94" i="21" l="1"/>
  <c r="J13" i="21"/>
  <c r="F37" i="8" l="1"/>
  <c r="F35" i="8"/>
  <c r="F36" i="8"/>
  <c r="J92" i="21"/>
  <c r="J93" i="21"/>
  <c r="J91" i="21"/>
  <c r="M43" i="20" l="1"/>
  <c r="M42" i="20"/>
  <c r="M41" i="20"/>
  <c r="M40" i="20"/>
  <c r="M39" i="20"/>
  <c r="H29" i="8" l="1"/>
  <c r="O30" i="8"/>
  <c r="Q30" i="8" s="1"/>
  <c r="J90" i="21"/>
  <c r="J80" i="21"/>
  <c r="J81" i="21"/>
  <c r="J82" i="21"/>
  <c r="J83" i="21"/>
  <c r="J84" i="21"/>
  <c r="J85" i="21"/>
  <c r="J86" i="21"/>
  <c r="J87" i="21"/>
  <c r="J77" i="21"/>
  <c r="J78" i="21"/>
  <c r="J79" i="21"/>
  <c r="J74" i="21"/>
  <c r="J75" i="21"/>
  <c r="J76" i="21"/>
  <c r="J70" i="21"/>
  <c r="J71" i="21"/>
  <c r="J72" i="21"/>
  <c r="J73" i="21"/>
  <c r="J69" i="21"/>
  <c r="J68" i="21"/>
  <c r="J67" i="21"/>
  <c r="J66" i="21"/>
  <c r="AW71" i="17" l="1"/>
  <c r="AT71" i="17"/>
  <c r="E20" i="8" l="1"/>
  <c r="F20" i="8"/>
  <c r="D20" i="8"/>
  <c r="E35" i="8" l="1"/>
  <c r="E28" i="8"/>
  <c r="E34" i="8" l="1"/>
  <c r="E33" i="8"/>
  <c r="E32" i="8"/>
  <c r="E31" i="8"/>
  <c r="E30" i="8"/>
  <c r="E29" i="8"/>
  <c r="M35" i="20" l="1"/>
  <c r="M36" i="20"/>
  <c r="M37" i="20"/>
  <c r="M38" i="20"/>
  <c r="M34" i="20" l="1"/>
  <c r="M33" i="20"/>
  <c r="H28" i="8" l="1"/>
  <c r="H38" i="8" s="1"/>
  <c r="O29" i="8"/>
  <c r="Q29" i="8" s="1"/>
  <c r="Q38" i="8" s="1"/>
  <c r="K32" i="20"/>
  <c r="F34" i="8" s="1"/>
  <c r="K31" i="20"/>
  <c r="K30" i="20"/>
  <c r="F32" i="8" s="1"/>
  <c r="K29" i="20"/>
  <c r="K28" i="20"/>
  <c r="F30" i="8" s="1"/>
  <c r="K27" i="20"/>
  <c r="K26" i="20"/>
  <c r="F28" i="8" s="1"/>
  <c r="K25" i="20"/>
  <c r="F27" i="8" l="1"/>
  <c r="F26" i="8"/>
  <c r="F29" i="8"/>
  <c r="F31" i="8"/>
  <c r="F33" i="8"/>
  <c r="C14" i="12"/>
  <c r="E14" i="12"/>
  <c r="B14" i="12"/>
  <c r="A48" i="20" l="1"/>
  <c r="A49" i="20"/>
  <c r="A50" i="20"/>
  <c r="A57" i="20"/>
  <c r="A58" i="20"/>
  <c r="A59" i="20"/>
  <c r="A60" i="20"/>
  <c r="A61" i="20"/>
  <c r="A62" i="20"/>
  <c r="A63" i="20"/>
  <c r="A64" i="20"/>
  <c r="A65" i="20"/>
  <c r="G16" i="20" l="1"/>
  <c r="K16" i="20" s="1"/>
  <c r="G17" i="20"/>
  <c r="K17" i="20" s="1"/>
  <c r="D81" i="17" l="1"/>
  <c r="G37" i="8"/>
  <c r="G36" i="8"/>
  <c r="G35" i="8"/>
  <c r="E26" i="8"/>
  <c r="M67" i="20"/>
  <c r="L67" i="20"/>
  <c r="G34" i="8" l="1"/>
  <c r="G33" i="8"/>
  <c r="G29" i="8"/>
  <c r="G32" i="8"/>
  <c r="G31" i="8"/>
  <c r="G30" i="8"/>
  <c r="G28" i="8"/>
  <c r="G26" i="8"/>
  <c r="K67" i="20"/>
  <c r="I48" i="8" l="1"/>
  <c r="H48" i="8"/>
  <c r="F48" i="8"/>
  <c r="E48" i="8"/>
  <c r="B48" i="8"/>
  <c r="AB30" i="17" l="1"/>
  <c r="AA30" i="17"/>
  <c r="Z30" i="17"/>
  <c r="AB29" i="17"/>
  <c r="AA29" i="17"/>
  <c r="Z29" i="17"/>
  <c r="AB28" i="17"/>
  <c r="AA28" i="17"/>
  <c r="Z28" i="17"/>
  <c r="AB27" i="17"/>
  <c r="AA27" i="17"/>
  <c r="Z27" i="17"/>
  <c r="AB26" i="17"/>
  <c r="AA26" i="17"/>
  <c r="Z26" i="17"/>
  <c r="AB25" i="17"/>
  <c r="AA25" i="17"/>
  <c r="Z25" i="17"/>
  <c r="AA14" i="17"/>
  <c r="AN71" i="17"/>
  <c r="AH71" i="17"/>
  <c r="AB14" i="17"/>
  <c r="Y14" i="17" l="1"/>
  <c r="Y28" i="17"/>
  <c r="Y29" i="17"/>
  <c r="Y26" i="17"/>
  <c r="Y30" i="17"/>
  <c r="Y25" i="17"/>
  <c r="Y27" i="17"/>
  <c r="U70" i="17"/>
  <c r="T70" i="17"/>
  <c r="S70" i="17"/>
  <c r="U14" i="17"/>
  <c r="S14" i="17"/>
  <c r="V14" i="17" s="1"/>
  <c r="W14" i="17" s="1"/>
  <c r="X14" i="17" s="1"/>
  <c r="X11" i="17" s="1"/>
  <c r="AK71" i="17"/>
  <c r="AQ71" i="17"/>
  <c r="AB71" i="17"/>
  <c r="R71" i="17"/>
  <c r="S71" i="17" l="1"/>
  <c r="U71" i="17"/>
  <c r="T71" i="17"/>
  <c r="AE71" i="17"/>
  <c r="G41" i="8" l="1"/>
  <c r="G42" i="8" s="1"/>
  <c r="B8" i="20"/>
  <c r="I26" i="8" l="1"/>
  <c r="I27" i="8" l="1"/>
  <c r="I28" i="8" s="1"/>
  <c r="I29" i="8" s="1"/>
  <c r="E38" i="8" l="1"/>
  <c r="I30" i="8"/>
  <c r="I31" i="8" s="1"/>
  <c r="I32" i="8" s="1"/>
  <c r="I33" i="8" s="1"/>
  <c r="I34" i="8" s="1"/>
  <c r="I35" i="8" s="1"/>
  <c r="I36" i="8" s="1"/>
  <c r="I37" i="8" s="1"/>
  <c r="C11" i="23" l="1"/>
  <c r="C10" i="23" l="1"/>
  <c r="D41" i="8" l="1"/>
  <c r="D42" i="8" s="1"/>
  <c r="Z71" i="17"/>
  <c r="G15" i="20"/>
  <c r="B6" i="20"/>
  <c r="B7" i="17" s="1"/>
  <c r="G19" i="8" l="1"/>
  <c r="E41" i="8"/>
  <c r="G27" i="8"/>
  <c r="E42" i="8" l="1"/>
  <c r="F42" i="8" s="1"/>
  <c r="F41" i="8"/>
  <c r="F38" i="8"/>
  <c r="J8" i="23"/>
  <c r="I8" i="23"/>
  <c r="H8" i="23"/>
  <c r="G8" i="23"/>
  <c r="F8" i="23"/>
  <c r="E8" i="23"/>
  <c r="D8" i="23"/>
  <c r="J7" i="23"/>
  <c r="I7" i="23"/>
  <c r="H7" i="23"/>
  <c r="G7" i="23"/>
  <c r="J6" i="23"/>
  <c r="I6" i="23"/>
  <c r="H6" i="23"/>
  <c r="G6" i="23"/>
  <c r="F6" i="23"/>
  <c r="E6" i="23"/>
  <c r="D6" i="23"/>
  <c r="G38" i="8" l="1"/>
  <c r="E7" i="15"/>
  <c r="D7" i="15"/>
  <c r="E8" i="15"/>
  <c r="D8" i="15"/>
  <c r="E7" i="12"/>
  <c r="E6" i="12"/>
  <c r="D7" i="12"/>
  <c r="D6" i="12"/>
  <c r="D9" i="21"/>
  <c r="B9" i="21"/>
  <c r="D8" i="21"/>
  <c r="B9" i="17"/>
  <c r="B8" i="21"/>
  <c r="D10" i="17"/>
  <c r="B10" i="17"/>
  <c r="D9" i="17"/>
  <c r="D9" i="20"/>
  <c r="B9" i="20"/>
  <c r="D8" i="20"/>
  <c r="K24" i="23"/>
  <c r="A66" i="20"/>
  <c r="K43" i="21" l="1"/>
  <c r="B6" i="21" l="1"/>
  <c r="A7" i="12" s="1"/>
  <c r="A8" i="15" s="1"/>
  <c r="G12" i="20"/>
  <c r="D7" i="23" s="1"/>
  <c r="D12" i="15" l="1"/>
  <c r="K25" i="23" l="1"/>
  <c r="D11" i="12" l="1"/>
  <c r="G13" i="20" l="1"/>
  <c r="E7" i="23" s="1"/>
  <c r="G14" i="20"/>
  <c r="F7" i="23" s="1"/>
  <c r="K14" i="20" l="1"/>
  <c r="K15" i="20"/>
  <c r="G18" i="8" l="1"/>
  <c r="K115" i="21" l="1"/>
  <c r="H18" i="8" s="1"/>
  <c r="I18" i="8" l="1"/>
  <c r="K12" i="20"/>
  <c r="K13" i="20" l="1"/>
  <c r="K19" i="20" s="1"/>
  <c r="G20" i="8" l="1"/>
  <c r="D10" i="12"/>
  <c r="D14" i="12" s="1"/>
  <c r="Y71" i="17"/>
  <c r="AA71" i="17"/>
  <c r="G21" i="8" l="1"/>
  <c r="F39" i="8"/>
  <c r="H41" i="8"/>
  <c r="H42" i="8" s="1"/>
  <c r="H19" i="8"/>
  <c r="I19" i="8" l="1"/>
  <c r="I20" i="8" s="1"/>
  <c r="I21" i="8" s="1"/>
  <c r="H20" i="8"/>
  <c r="I42" i="8"/>
  <c r="I41" i="8"/>
  <c r="H21" i="8" l="1"/>
  <c r="H3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 Lizeth Blanco Sepulveda</author>
  </authors>
  <commentList>
    <comment ref="E24" authorId="0" shapeId="0" xr:uid="{9A659DA6-8016-49C5-9337-6F3E70915407}">
      <text>
        <r>
          <rPr>
            <b/>
            <sz val="8"/>
            <color indexed="81"/>
            <rFont val="Tahoma"/>
            <family val="2"/>
          </rPr>
          <t xml:space="preserve">Corresponde al valor máx. mensual (o proporcional) a reconocer por gestor y gastos administrativos de $6.051.500 </t>
        </r>
      </text>
    </comment>
    <comment ref="D46" authorId="0" shapeId="0" xr:uid="{9AEAC827-F88D-4D5F-86B6-35C5A01ABA0B}">
      <text>
        <r>
          <rPr>
            <sz val="9"/>
            <color indexed="81"/>
            <rFont val="Tahoma"/>
            <family val="2"/>
          </rPr>
          <t>A la entrega del informe financiero demostrado la ejecución del 80% de los recursos entregados en el primer desembolso y cumplimiento del 30% de meta de intervenciones establecidas</t>
        </r>
      </text>
    </comment>
    <comment ref="G46" authorId="0" shapeId="0" xr:uid="{85CF4FBE-533F-465A-B2DC-4239D0409C76}">
      <text>
        <r>
          <rPr>
            <sz val="9"/>
            <color indexed="81"/>
            <rFont val="Tahoma"/>
            <family val="2"/>
          </rPr>
          <t xml:space="preserve">
A la entrega del informe financiero demostrado la ejecución del 80% del total acumulado de los recursos entregados en primer y segundo desembolso y cumplimiento del 60% de meta de intervenciones establecidas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Monica Lizeth Blanco Sepulveda</author>
    <author>Luz Mary Escobar Moreno</author>
  </authors>
  <commentList>
    <comment ref="E11" authorId="0" shapeId="0" xr:uid="{3BA44399-29CB-4D0B-9F92-4B66E64E7670}">
      <text>
        <r>
          <rPr>
            <b/>
            <sz val="9"/>
            <color indexed="81"/>
            <rFont val="Tahoma"/>
            <family val="2"/>
          </rPr>
          <t xml:space="preserve">-Contrato Laboral
-Contrato de Prestación de Servicios
</t>
        </r>
        <r>
          <rPr>
            <sz val="9"/>
            <color indexed="81"/>
            <rFont val="Tahoma"/>
            <family val="2"/>
          </rPr>
          <t xml:space="preserve">
</t>
        </r>
      </text>
    </comment>
    <comment ref="F11" authorId="1" shapeId="0" xr:uid="{A0D1AC9B-BC3E-4A7A-B810-406B707B6070}">
      <text>
        <r>
          <rPr>
            <b/>
            <sz val="9"/>
            <color indexed="81"/>
            <rFont val="Tahoma"/>
            <family val="2"/>
          </rPr>
          <t>Relación o codificación que lleva la Cámara</t>
        </r>
      </text>
    </comment>
    <comment ref="B23" authorId="0" shapeId="0" xr:uid="{43D7EB66-F808-4F7C-BC33-414E2E045548}">
      <text>
        <r>
          <rPr>
            <sz val="9"/>
            <color indexed="81"/>
            <rFont val="Tahoma"/>
            <family val="2"/>
          </rPr>
          <t xml:space="preserve">Por favor  incluir mes en el cual se genera el gasto (fecha en el cual se causa)
</t>
        </r>
      </text>
    </comment>
    <comment ref="F23" authorId="1" shapeId="0" xr:uid="{838A2C0B-19F4-4C98-AA8F-8E4F4E57AA8C}">
      <text>
        <r>
          <rPr>
            <sz val="9"/>
            <color indexed="81"/>
            <rFont val="Tahoma"/>
            <family val="2"/>
          </rPr>
          <t>Relación o codificación que lleva la Cámara</t>
        </r>
      </text>
    </comment>
    <comment ref="I23" authorId="0" shapeId="0" xr:uid="{AA3F3512-3846-4664-A840-8912D366BCEC}">
      <text>
        <r>
          <rPr>
            <sz val="9"/>
            <color indexed="81"/>
            <rFont val="Tahoma"/>
            <family val="2"/>
          </rPr>
          <t>Consecutivo u orden que lleve la Cámara para identificar el pago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Jose Mauricio Garcia Prieto</author>
    <author>Monica Lizeth Blanco Sepulveda</author>
  </authors>
  <commentList>
    <comment ref="D13" authorId="0" shapeId="0" xr:uid="{A5AA0829-5898-41D3-AA75-46CEE3E355DA}">
      <text>
        <r>
          <rPr>
            <sz val="9"/>
            <color indexed="81"/>
            <rFont val="Tahoma"/>
            <family val="2"/>
          </rPr>
          <t>Persona Jurídica y/o Persona Natural inscritos en la base de extensionistas, con dígito de verificación</t>
        </r>
      </text>
    </comment>
    <comment ref="G13" authorId="1" shapeId="0" xr:uid="{CFD3CA7A-1E02-4F99-89DD-F4866DF59D0C}">
      <text>
        <r>
          <rPr>
            <sz val="9"/>
            <color indexed="81"/>
            <rFont val="Tahoma"/>
            <family val="2"/>
          </rPr>
          <t>Por favor  incluir mes en el cual se genera el gasto (fecha en el cual se causa)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Monica Lizeth Blanco Sepulveda</author>
    <author>OLGA VANESSA SANTA PIEDRAHITA</author>
  </authors>
  <commentList>
    <comment ref="F11" authorId="0" shapeId="0" xr:uid="{E9DA5910-E800-4E07-8B9A-6C7DFCC55E2C}">
      <text>
        <r>
          <rPr>
            <b/>
            <sz val="9"/>
            <color indexed="81"/>
            <rFont val="Tahoma"/>
            <family val="2"/>
          </rPr>
          <t>No modificar formato fecha por favor</t>
        </r>
      </text>
    </comment>
    <comment ref="F51" authorId="0" shapeId="0" xr:uid="{EE7EF745-7714-4A34-8E45-18C2D45FFFC5}">
      <text>
        <r>
          <rPr>
            <b/>
            <sz val="9"/>
            <color indexed="81"/>
            <rFont val="Tahoma"/>
            <family val="2"/>
          </rPr>
          <t xml:space="preserve">No modificar formato fecha por favor
</t>
        </r>
      </text>
    </comment>
    <comment ref="J51" authorId="1" shapeId="0" xr:uid="{B953CE14-D55E-4D84-A8D3-9EA509847281}">
      <text>
        <r>
          <rPr>
            <sz val="9"/>
            <color indexed="81"/>
            <rFont val="Tahoma"/>
            <family val="2"/>
          </rPr>
          <t xml:space="preserve">colocar el valor total del contrato
</t>
        </r>
      </text>
    </comment>
  </commentList>
</comments>
</file>

<file path=xl/sharedStrings.xml><?xml version="1.0" encoding="utf-8"?>
<sst xmlns="http://schemas.openxmlformats.org/spreadsheetml/2006/main" count="1159" uniqueCount="410">
  <si>
    <t xml:space="preserve"> PRESUPUESTO DEL CONVENIO COLOMBIA PRODUCTIVA - CÁMARA DE COMERCIO DE MEDELLIN</t>
  </si>
  <si>
    <t>FSF-01</t>
  </si>
  <si>
    <t>Versión 4: 14/08/19</t>
  </si>
  <si>
    <t>CONVENIO</t>
  </si>
  <si>
    <t>007-2019</t>
  </si>
  <si>
    <t>FECHA INICIO</t>
  </si>
  <si>
    <t>FECHA DE PRESENTACIÓN</t>
  </si>
  <si>
    <t>FECHA FIN</t>
  </si>
  <si>
    <t>PERIODO DE REPORTE</t>
  </si>
  <si>
    <t>AGOSTO</t>
  </si>
  <si>
    <t xml:space="preserve">EJECUCION POR FUENTE DE FINANCIACIÓN </t>
  </si>
  <si>
    <t>CONVENIO CÁMARA</t>
  </si>
  <si>
    <t>PRESUPUESTADO</t>
  </si>
  <si>
    <t>EJECUTADO (PAGADO)</t>
  </si>
  <si>
    <t>No. COMPONENTE</t>
  </si>
  <si>
    <t>COMPONENTES</t>
  </si>
  <si>
    <t xml:space="preserve">COLOMBIA PRODUCTIVA </t>
  </si>
  <si>
    <t>CAMARA DE CCIO</t>
  </si>
  <si>
    <t>TOTAL CONVENIO</t>
  </si>
  <si>
    <t>Gestores y gastos administrativos</t>
  </si>
  <si>
    <t>Extensionistas</t>
  </si>
  <si>
    <t xml:space="preserve">TOTAL </t>
  </si>
  <si>
    <t>DETALLE DE EJECUCIÓN</t>
  </si>
  <si>
    <t>MES DEL GASTO</t>
  </si>
  <si>
    <t>VALOR MÁX.</t>
  </si>
  <si>
    <t>EJECUTADO COLOMBIA PRODUCTIVA</t>
  </si>
  <si>
    <t>DISPONIBLE COLOMBIA PRODUCTIVA</t>
  </si>
  <si>
    <t>EJECUTADO CÁMARA</t>
  </si>
  <si>
    <t>DISPONIBLE CÁMARA</t>
  </si>
  <si>
    <t>TOTAL  1</t>
  </si>
  <si>
    <t>COMPROMETIDO COLOMBIA PRODUCTIVA</t>
  </si>
  <si>
    <t>COMPROMETIDO CAMARA DE COMERCIO</t>
  </si>
  <si>
    <t>EJECUTADO CAMARA DE COMERCIO</t>
  </si>
  <si>
    <t>DISPONIBLE CAMARA DE COMERCIO</t>
  </si>
  <si>
    <t>TOTAL  2</t>
  </si>
  <si>
    <t>DESEMBOLSOS COLOMBIA PRODUCTIVA</t>
  </si>
  <si>
    <t>VALOR TOTAL  APORTE COLOMBIA PRODUCTIVA</t>
  </si>
  <si>
    <t>PRIMER DESEMBOLSO</t>
  </si>
  <si>
    <t>SEGUNDO DESEMBOLSO</t>
  </si>
  <si>
    <t>TERCER DESEMBOLSO</t>
  </si>
  <si>
    <t>CONCEPTO</t>
  </si>
  <si>
    <t>VALOR</t>
  </si>
  <si>
    <t>REQUISITO FINANCIERO</t>
  </si>
  <si>
    <t>REQUISITO TÉCNICO</t>
  </si>
  <si>
    <t xml:space="preserve"> RELACIÓN DE GESTORES  VINCULADOS CONVENIO FABRICAS DE PRODUCTIVIDAD</t>
  </si>
  <si>
    <t>FSF-02</t>
  </si>
  <si>
    <t xml:space="preserve">No. </t>
  </si>
  <si>
    <t>CÉDULA</t>
  </si>
  <si>
    <t>NOMBRE GESTOR</t>
  </si>
  <si>
    <t xml:space="preserve">TIPO DE VINCULACION </t>
  </si>
  <si>
    <t>NO CONTRATO / ODS</t>
  </si>
  <si>
    <t>TIEMPO DE VICULACIÓN (MESES)</t>
  </si>
  <si>
    <t>FECHA INICIO 
CONTRATO</t>
  </si>
  <si>
    <t xml:space="preserve">FECHA TERMINACIÓN
CONTRATO </t>
  </si>
  <si>
    <t>VALOR HONORARIOS /COSTO SALARIO + SEGURIDAD SOCIAL MENSUAL</t>
  </si>
  <si>
    <t>VALOR TOTAL CONTRATO</t>
  </si>
  <si>
    <t>No. Empresas a Cargo</t>
  </si>
  <si>
    <t>John Armando Chica Osorio</t>
  </si>
  <si>
    <t>N/A</t>
  </si>
  <si>
    <t>Juan Carlos Rojas Rodríguez</t>
  </si>
  <si>
    <t>Paula Andrea Cardona Zapata</t>
  </si>
  <si>
    <t>Margarita María Montoya Peláez</t>
  </si>
  <si>
    <t>Juan Andres Salazar Monsalve</t>
  </si>
  <si>
    <t>Natalia Ramirez Echeverrri</t>
  </si>
  <si>
    <t>No.</t>
  </si>
  <si>
    <t xml:space="preserve">FECHA DE  PAGO </t>
  </si>
  <si>
    <t>NO. FACTURA /CUENTA DE COBRO</t>
  </si>
  <si>
    <t>NO. DE IDENTIFICACION DE PAGO (EGRESO)</t>
  </si>
  <si>
    <t xml:space="preserve">DESCRIPCIÓN </t>
  </si>
  <si>
    <t>VALOR TOTAL FACTURA / CUENTA DE COBRO</t>
  </si>
  <si>
    <t>FUENTE DE FINANCIACIÓN</t>
  </si>
  <si>
    <t>COLOMBIA PRODUCTIVA</t>
  </si>
  <si>
    <t>CÁMARA</t>
  </si>
  <si>
    <t>30 de mayo de 2019</t>
  </si>
  <si>
    <t>5011-129731</t>
  </si>
  <si>
    <t>GASTO SALARIO, PRIMA Y SEGURIDAD SOCIAL  GESTOR LOCAL CON CORTE A 30 DE MAYO.CONTRATO LABORAL A TERMINO FIJO-COSTO MENSUAL SALARIO Y PRESTACIONES SOCIALES: $8.847.476. DEDICACIÓN AL PROYECTO DEL 100%.</t>
  </si>
  <si>
    <t>5011-129949</t>
  </si>
  <si>
    <t>5011-129792</t>
  </si>
  <si>
    <t>GASTO SALARIO, PRIMA Y SEGURIDAD SOCIAL  GESTOR LOCAL CON CORTE A 30 DE MAYO..CONTRATO LABORAL A TERMINO FIJO-COSTO MENSUAL SALARIO Y PRESTACIONES SOCIALES: $8.847.476. DEDICACIÓN AL PROYECTO DEL 100%.</t>
  </si>
  <si>
    <t>5011-129863</t>
  </si>
  <si>
    <t>30 de  junio de 2019</t>
  </si>
  <si>
    <t>5011-130250; 5253-1; 5253-6</t>
  </si>
  <si>
    <t>GASTO SALARIO, PRIMA Y SEGURIDAD SOCIAL  GESTOR LOCAL CON CORTE A JUNIO 30 DE 2019.CONTRATO LABORAL A TERMINO FIJO-COSTO MENSUAL SALARIO Y PRESTACIONES SOCIALES: $8.847.476. DEDICACIÓN AL PROYECTO DEL 100%.</t>
  </si>
  <si>
    <t>5011-130439; 5253-4; 5253-9</t>
  </si>
  <si>
    <t>5011-130297; 5253-2; 5253-7</t>
  </si>
  <si>
    <t>5011-130365; 5253-3; 5253-8</t>
  </si>
  <si>
    <t>31 de  julio de 2019</t>
  </si>
  <si>
    <t>5253-10; 5253-19</t>
  </si>
  <si>
    <t>GASTO SALARIO, PRIMA Y SEGURIDAD SOCIAL  GESTOR LOCAL CON CORTE A JULIO 31 DE 2019.CONTRATO LABORAL A TERMINO FIJO-COSTO MENSUAL SALARIO Y PRESTACIONES SOCIALES: $8.847.476. DEDICACIÓN AL PROYECTO DEL 100%.</t>
  </si>
  <si>
    <t>5253-14; 5253-23</t>
  </si>
  <si>
    <t>5253-11; 5253-20</t>
  </si>
  <si>
    <t>5253-13; 5253-22</t>
  </si>
  <si>
    <t>5253-15; 5253-24</t>
  </si>
  <si>
    <t>5253-12;5253-21</t>
  </si>
  <si>
    <t>31 de  agosto de 2019</t>
  </si>
  <si>
    <t xml:space="preserve">5256-18; 5256-17; 5256-7 </t>
  </si>
  <si>
    <t>GASTO SALARIO, PRIMA Y SEGURIDAD SOCIAL  GESTOR LOCAL CON CORTE A AGOSTO 31 DE 2019.CONTRATO LABORAL A TERMINO FIJO-COSTO MENSUAL SALARIO Y PRESTACIONES SOCIALES: $8.847.476. DEDICACIÓN AL PROYECTO DEL 100%.</t>
  </si>
  <si>
    <t xml:space="preserve">5256-19  , 5256-9 </t>
  </si>
  <si>
    <t xml:space="preserve">5256-21  , 5256-11 </t>
  </si>
  <si>
    <t xml:space="preserve">5256-20  , 5256-10 </t>
  </si>
  <si>
    <t xml:space="preserve">5256-22  , 5256-12 </t>
  </si>
  <si>
    <t xml:space="preserve">5256-23  , 5256-13 </t>
  </si>
  <si>
    <t>Total</t>
  </si>
  <si>
    <t>Ejemplo: *Honorarios/Salario mes de Junio de 2019</t>
  </si>
  <si>
    <t xml:space="preserve">Valor máximo reconocido por CP por cada Gestor incluyendo Gastos de Administración </t>
  </si>
  <si>
    <t>Pequeña</t>
  </si>
  <si>
    <t>Mediana</t>
  </si>
  <si>
    <t>Grande</t>
  </si>
  <si>
    <t xml:space="preserve"> HONORARIOS DE EXTENSIONISTAS CONVENIO FABRICAS DE PRODUCTIVIDAD</t>
  </si>
  <si>
    <t>FSF-03</t>
  </si>
  <si>
    <t>TOTAL CONTRATO</t>
  </si>
  <si>
    <t xml:space="preserve">EJECUTADO TOTAL </t>
  </si>
  <si>
    <t>INFORMACION DE PAGOS</t>
  </si>
  <si>
    <t>PAGO 1</t>
  </si>
  <si>
    <t>PAGO 2</t>
  </si>
  <si>
    <t>PAGO 3</t>
  </si>
  <si>
    <t>PAGO 4</t>
  </si>
  <si>
    <t>*Nota: Incluya tantos pagos como fueron necesarios</t>
  </si>
  <si>
    <t>NOMBRE EXTESIONISTA</t>
  </si>
  <si>
    <t>NIT  (Y/O CÉDULA)</t>
  </si>
  <si>
    <t xml:space="preserve">No. CONTRATO / ORDEN / FRA </t>
  </si>
  <si>
    <t>DURACIÓN  (Horas)</t>
  </si>
  <si>
    <t>VALOR HORA</t>
  </si>
  <si>
    <t>FECHA DE INICIO</t>
  </si>
  <si>
    <t>EMPRESA INTERVENIDA</t>
  </si>
  <si>
    <t>NIT</t>
  </si>
  <si>
    <t>TAMAÑO EMPRESA</t>
  </si>
  <si>
    <t>CÁMARA DE COMERCIO</t>
  </si>
  <si>
    <t>EMPRESA</t>
  </si>
  <si>
    <t>TOTAL EJECUTADO</t>
  </si>
  <si>
    <t xml:space="preserve">FECHA DE PAGO </t>
  </si>
  <si>
    <t>No. CERTIFICADO EXTENSIONISTA</t>
  </si>
  <si>
    <t>VALOR PAGADO EMPRESA</t>
  </si>
  <si>
    <t>No. DE COMPROBANTE DE EGRESO</t>
  </si>
  <si>
    <t>VALOR PAGADO COLOMBIA PRODUCTIVA</t>
  </si>
  <si>
    <t>VALOR PAGADO CAMARA DE COMERCIO</t>
  </si>
  <si>
    <t>FABIO MAURICIO MORENO ARIAS</t>
  </si>
  <si>
    <t>HONORARIOS: PROVEER LOS SERVICIOS DE CONSULTORÍA ESPECIALIZADA EN PRODUCTIVIDAD OPERACIONAL Y DESARROLLO DE PRODUCTO, BAJO EL CONCEPTO DE EXTENSIONISMO TECNOLÓGICO, A LAS EMPRESAS PARTICIPANTES DEL PROYECTO FÁBRICAS DE PRODUCTIVIDAD (ANTIOQUIA), LIDERADO POR MINISTERIO DE COMERCIO, INDUSTRIA Y TURISMO (MINCIT), COLOMBIA PRODUCTIVA Y EJECUTADO POR LA CÁMARA DE COMERCIO DE MEDELLÍN PARA ANTIOQUIA (CCMA). EADICADO DE LA PROPUESTA 201920006212</t>
  </si>
  <si>
    <t>ASSOCIA CONOCIMIENTO Y GESTION S.A.S</t>
  </si>
  <si>
    <t>Consultoría especializada en Productividad Operacional, bajo el concepto de Extensionismo Tecnológico, a las empresas participantes del Proyecto Fábricas de Productividad (Antioquia), liderado por Ministerio de Comercio, Industria y Turismo (MinCIT), Colombia Productiva y ejecutado por la Cámara de Comercio de Medellín para Antioquia (CCMA). Radicado 201920007490.</t>
  </si>
  <si>
    <t>CONSULT-ING S.A.S</t>
  </si>
  <si>
    <t>Consultoría especializada  Extensionismo Tecnológico, a las empresas participantes del Proyecto Fábricas de Productividad (Antioquia), liderado por  (MinCIT), Colombia Productiva y  la CCMA. Radicado 201920007755.</t>
  </si>
  <si>
    <t>CORPORACION INDUSTRIAL MINUTO DE DIOS</t>
  </si>
  <si>
    <t>HONORARIOS: PROVEER LOS SERVICIOS DE CONSULTORÍA ESPECIALIZADA EN PRODUCTIVIDAD OPERACIONAL Y DESARROLLO DE PRODUCTO, BAJO EL CONCEPTO DE EXTENSIONISMO TECNOLÓGICO, A LAS EMPRESAS PARTICIPANTES DEL PROYECTO FÁBRICAS DE PRODUCTIVIDAD (ANTIOQUIA), LIDERADO POR MINISTERIO DE COMERCIO, INDUSTRIA Y TURISMO (MINCIT), COLOMBIA PRODUCTIVA Y EJECUTADO POR LA CÁMARA DE COMERCIO DE MEDELLÍN PARA ANTIOQUIA (CCMA). EADICADO DE LA PROPUESTA 201920006443</t>
  </si>
  <si>
    <t>CORPORACION INTERACTUAR</t>
  </si>
  <si>
    <t>Consultoría especializada  Extensionismo Tecnológico, a las empresas participantes del Proyecto Fábricas de Productividad (Antioquia), liderado por Ministerio de Comercio, Industria y Turismo (MinCIT), Colombia Productiva y ejecutado por la Cámara de Comercio de Medellín para Antioquia (CCMA). RADICADO 201920007487</t>
  </si>
  <si>
    <t>CREAME INCUBADORA DE EMPRESAS</t>
  </si>
  <si>
    <t>CONSULTORÍA ESPECIALIZADA EN GESTIÓN COMERCIAL Y DESARROLLO Y SOFISTICACIÓN DE PRODUCTO, BAJO EL CONCEPTO DE EXTENSIONISMO TECNOLÓGICO, A LAS EMPRESAS PARTICIPANTES DEL PROYECTO FÁBRICAS DE PRODUCTIVIDAD (ANTIOQUIA), LIDERADO POR MINISTERIO DE COMERCIO, INDUSTRIA Y TURISMO (MINCIT), COLOMBIA PRODUCTIVA Y EJECUTADO POR LA CÁMARA DE COMERCIO DE MEDELLÍN PARA ANTIOQUIA (CCMA)”. RADICADO 201920006212.</t>
  </si>
  <si>
    <t>Coporación Centro de Ciencia y Tecnología de Antioquia</t>
  </si>
  <si>
    <t>DISTILLED INNOVATION S.A.S.</t>
  </si>
  <si>
    <t>Consultoría especializada  Extensionismo Tecnológico, a las empresas participantes del Proyecto Fábricas de Productividad (Antioquia), liderado por  (MinCIT), Colombia Productiva y  la CCMA. Radicado 201920007223</t>
  </si>
  <si>
    <t>FUNDACION UNIVERSITARIA ESUMER</t>
  </si>
  <si>
    <t>HONORARIOS: CONSULTORÍA ESPECIALIZADA EN GESTIÓN COMERCIAL Y DESARROLLO Y SOFISTICACIÓN DE PRODUCTO, BAJO EL CONCEPTO DE EXTENSIONISMO TECNOLÓGICO, A LAS EMPRESAS PARTICIPANTES DEL PROYECTO FÁBRICAS DE PRODUCTIVIDAD (ANTIOQUIA), LIDERADO POR MINISTERIO DE COMERCIO, INDUSTRIA Y TURISMO (MINCIT), COLOMBIA PRODUCTIVA Y EJECUTADO POR LA CÁMARA DE COMERCIO DE MEDELLÍN PARA ANTIOQUIA (CCMA)”.</t>
  </si>
  <si>
    <t>Flowing Consultoria S.A.S.</t>
  </si>
  <si>
    <t>Consultoría especializada  Extensionismo Tecnológico, a las empresas participantes del Proyecto Fábricas de Productividad (Antioquia), liderado por  (MinCIT), Colombia Productiva y  la CCMA. Radicado 201920007182.</t>
  </si>
  <si>
    <t>G T CONSULTING S.A.S.</t>
  </si>
  <si>
    <t>Consultoría especializada  Extensionismo Tecnológico, a las empresas participantes del Proyecto Fábricas de Productividad (Antioquia), liderado por  (MinCIT), Colombia Productiva y  la CCMA. Radicado 201920007757</t>
  </si>
  <si>
    <t>HAMKKE S.A.S.</t>
  </si>
  <si>
    <t>Consultoría especializada  Extensionismo Tecnológico, a las empresas participantes del Proyecto Fábricas de Productividad (Antioquia), liderado por  (MinCIT), Colombia Productiva y  la CCMA. RADICADO 201920007488</t>
  </si>
  <si>
    <t>Simple Solutions SAS</t>
  </si>
  <si>
    <t>Consultoría especializada  Extensionismo Tecnológico, a las empresas participantes del Proyecto Fábricas de Productividad (Antioquia), liderado por  (MinCIT), Colombia Productiva y  la CCMA. Radicado 201920007554.</t>
  </si>
  <si>
    <t>NOTA: La información aquí reportada se soporta con la certificación mensual que acompaña el presente informe.</t>
  </si>
  <si>
    <t>Las celdas en gris por favor no modificar</t>
  </si>
  <si>
    <t>Aporte por Tamaño de Empresa</t>
  </si>
  <si>
    <t>Mediana y Grande</t>
  </si>
  <si>
    <t>Cámara</t>
  </si>
  <si>
    <t>Empresa</t>
  </si>
  <si>
    <t xml:space="preserve">Valor máximo por intervencion </t>
  </si>
  <si>
    <t xml:space="preserve">Valor máximo hora de intervención </t>
  </si>
  <si>
    <t xml:space="preserve"> GASTOS ADMINISTRATIVOS COLOMBIA PRODUCTIVA</t>
  </si>
  <si>
    <t>FSF-04</t>
  </si>
  <si>
    <t>TERCERO / BENEFICIARIO</t>
  </si>
  <si>
    <t>DESCRIPCIÓN GASTOS</t>
  </si>
  <si>
    <t>FECHA DE PAGO</t>
  </si>
  <si>
    <t>NO. DE  COMPROBANTE DE EGRESO</t>
  </si>
  <si>
    <t>VALOR TOTAL CONTRATO (SI APLICA)</t>
  </si>
  <si>
    <t>EJECUTADO (PAGADO) $</t>
  </si>
  <si>
    <t>GRAVAMEN MOVIMIENTO FINANCIERO JUNIO DE 2019</t>
  </si>
  <si>
    <t>GRAVAMEN MOVIMIENTO FINANCIERO JULIO DE 2019</t>
  </si>
  <si>
    <t>NOTA: Los Gastos aquí reportados deben soportarse mediante certificación mensual suscrita por el Representante Legal y Revisor Fiscal</t>
  </si>
  <si>
    <t xml:space="preserve"> GASTOS ADMINISTRATIVOS CÁMARA</t>
  </si>
  <si>
    <t xml:space="preserve">NIT </t>
  </si>
  <si>
    <t>MES</t>
  </si>
  <si>
    <t>LOGISTICOS Y DEMÁS: PÓLIZA DE CUMPLIMIENTO PARA CONTRATO CON LA FIDUCIARIA DE COMERCIO EXTERIOR</t>
  </si>
  <si>
    <t>07 de mayo de 2019</t>
  </si>
  <si>
    <t>5011-128912</t>
  </si>
  <si>
    <t>COMUNICACIONES: SERVICIO DE TELEMERCADEO PARA CONVOCATORIA CHARLAS INFORMATIVAS  DEL PROYECTO FABRICAS DE PRODUCTIVIDAD Y APOYO EN LA DOCUMENTACIÓN DE LOS RESULTADOS DERIVADOS DE DICHAS ACTIVIDADES. RADICADO COTIZACIÓN 201920003595</t>
  </si>
  <si>
    <t>07 de junio de 2019</t>
  </si>
  <si>
    <t>5011-130072</t>
  </si>
  <si>
    <t>COMUNICACIONES:DISEÑO Y DESARROLLO DE NEWSLETTER Y PLANTILLA E-CARD EDITABLE EN POWERPOINT PARA EL EVENTO DE LANZAMIENTO DE FÁBRICAS DE PRODUCTIVIDAD DEL 7 DE MAYO EN EL COUNTRY CLUB. RADICADO COTIZACIÓN 201920003934</t>
  </si>
  <si>
    <t>5011-130064</t>
  </si>
  <si>
    <t>COMUNICACIONES:SERVICIO DE FOTOGRAFÍA POR 2 HORAS PARA EL EVENTO DE LANZAMIENTO DE FABRICAS DE PRODUCTIVIDAD DEL 7 DE MAYO EN EL COUNTRY CLUB. RADICADO COTIZACIÓN 201920000641</t>
  </si>
  <si>
    <t>14 de junio de 2019</t>
  </si>
  <si>
    <t>5011-130541</t>
  </si>
  <si>
    <t>COMUNICACIONES:SERVICIO DE MAESTRO DE CEREMONIAS POR 2 HORAS PARA EL EVENTO DE LANZAMIENTO DE FABRICAS DE PRODUCTIVIDAD DEL 7 DE MAYO EN EL COUNTRY CLUB. RADICADO COTIZACIÓN 201920000616</t>
  </si>
  <si>
    <t>21 dejunio de 2019</t>
  </si>
  <si>
    <t>5011-130973</t>
  </si>
  <si>
    <t>COMUNICACIONES: SERVICIO DE ALIMENTACIÓN Y ALQUILER DE ESPACIOS PARA EL EVENTO DE LANZAMIENTO DE FÁBRICAS DE PRODUCTIVIDAD DEL 7 DE MAYO EN EL COUNTRY CLUB. RADICADO COTIZACIÓN 201920003904</t>
  </si>
  <si>
    <t>5011-130088</t>
  </si>
  <si>
    <t>COMUNICACIONES:SERVICIO DE ALQUILER DE EQUIPOS TÉCNICOS PARA LA REALIZACIÓN DEL EVENTO DE LANZAMIENTO DE FÁBRICAS DE PRODUCTIVIDAD DEL 7 DE MAYO EN EL COUNTRY CLUB. RADICADO COTIZACIÓN 201920003829</t>
  </si>
  <si>
    <t xml:space="preserve"> 14 de junio de 2019</t>
  </si>
  <si>
    <t>5011-130546</t>
  </si>
  <si>
    <t>COMUNICACIONES:ALQUILER DE MOBILIARIO PARA LA REALIZACIÓN DEL EVENTO DE LANZAMIENTO DE FÁBRICAS DE PRODUCTIVIDAD EL 7 DE MAYO EN EL COUNTRY CLUB. RADICADO COTIZACIÓN 201920003888</t>
  </si>
  <si>
    <t>5011-130533</t>
  </si>
  <si>
    <t>COMUNICACIONES: PRODUCCIÓN DEL BACKING PARA EL EVENTO DE LANZAMIENTO DE FÁBRICAS DE PRODUCTIVIDAD DEL 7 DE MAYO EN EL COUNTRY CLUB.RADICADO COTIZACIÓN 201920003828</t>
  </si>
  <si>
    <t xml:space="preserve"> 07 de junio de 2019</t>
  </si>
  <si>
    <t>5011-130095</t>
  </si>
  <si>
    <t>COMUNICACIONES:SERVICIOS LOGISTICOS Y DE ASISTENCIA TÉCNICA PARA EVENTO DE LANZAMIENTO DEL PROYECTO FÁBRICAS DE PRODUCTIVIDAD. RADICADO COTIZACIÓN 201920003749</t>
  </si>
  <si>
    <t>74275 -</t>
  </si>
  <si>
    <t>5011-130568</t>
  </si>
  <si>
    <t>COMUNICACIONES:PRODUCCIÓN Y REALIZACIÓN DEL MATERIAL PARA EL VIDEO DEL CTA QUE SE PROYECTARÁ EN EL EVENTO Y GRABACIÓN DURANTE LAS 2 HORAS DEL LANZAMIENTO DE FÁBRICAS DE PRODUCTIVIDAD EL DIA 7 DE MAYO EN EL COUNTRY CLUB. RADICADO COTIZACIÓN 201920003826</t>
  </si>
  <si>
    <t>5011-130565</t>
  </si>
  <si>
    <t>PAPELERIA: SUMINISTRO DE UTILES DE OFICINA PROYECTO FABRICAS DE PRODUCTIVIDAD -CCMAS/REQ.8594 / RAD. COTIZ. 201820008530.</t>
  </si>
  <si>
    <t xml:space="preserve"> 28 de junio de 2019</t>
  </si>
  <si>
    <t>5011-131109</t>
  </si>
  <si>
    <t>LOGISTICOS Y DEMÁS:  SERVICIO DE ALIMENTACIÓN PARA ATENDER REUNIÓN INFORMATIVA DEL PROGRAMA FABRICAS DE PRODUCTIVIDAD EL DIA 26 DE ABRIL. RADICADO COTIZACIÓN 201920003686</t>
  </si>
  <si>
    <t>5011-130102</t>
  </si>
  <si>
    <t>COMUNICACIONES:  SERVICIOS DE ALIMENTACIÓN Y ALQUIER DE ESPACIOS PARA EL EVENTO DE LANZAMIENTO DE FÁBRICAS DE PRODUCTIVIDAD DEL 7 DE MAYO EN EL COUNTRY CLUB. RADICADO COTIZACIÓN 201920003904</t>
  </si>
  <si>
    <t>COMUNICACIONES: SERVICIO DE ALIMENTACIÓN PARA ATENDER REUNIÓNES INFORMATIVAS DEL PROGRAMA FABRICAS DE PRODUCTIVIDAD LOS DIAS 17 DE MAYO AL 30 DE MAYO EN LA SEDE DE LA CCMA DEL POBLADO. RADICADO COTIZACION 201920004260</t>
  </si>
  <si>
    <t>21 de junio de 2019</t>
  </si>
  <si>
    <t>5011-131016</t>
  </si>
  <si>
    <t>28 de junio de 2019</t>
  </si>
  <si>
    <t>5011-131122</t>
  </si>
  <si>
    <t>TRANSPORTE: JOHN CHICA - Comprar tiquete para Jhon Chica, consultor del proyecto Fabricas de Productividad que realizara desplazamiento al municipio de Apartado el día 6 de junio el cual requiere servicio de transporte aéreo para visita técnica a las empresas presele</t>
  </si>
  <si>
    <t xml:space="preserve"> 21 dejunio de 2019</t>
  </si>
  <si>
    <t>Carta 5</t>
  </si>
  <si>
    <t>5011-130974</t>
  </si>
  <si>
    <t>PAPELERIA: SUMINISTRO ELEMENTOS DE OFICINA PARA PROYECTO DE FABRICAS DE PRODUCTIVIDAD  S/REQ.8624  / RAD COTIZ. 201820008530.</t>
  </si>
  <si>
    <t xml:space="preserve">TRANSPORTE: VIÁTICOS PARA EL VIAJE QUE REALIZARÁ AL MUNICIPIO DE SANTA ROSA DE OSOS EL  23 DE ABRIL DE 2019, PARA REALIZAR UNA CHARLA INFORMATIVA DEL PROYECTO A LOS EMPRESARIOS PERTINENTES AL CLÚSTER DE LÁCTEOS. PROYECTO FÁBRICAS DE PRODUCTIVIDAD. </t>
  </si>
  <si>
    <t>24 abril de 2019</t>
  </si>
  <si>
    <t>5011-128294</t>
  </si>
  <si>
    <t xml:space="preserve">TRANSPORTE: VIÁTICOS PARA EL VIAJE QUE REALIZARÁ AL MUNICIPIO DE APARTADÓ DEL DÍA JUEVES 6 DE JUNIO DE 2019 AL DÍA JUEVES 6 DE JUNIO DE 2019, PARA LA PRESENTACIÓN DEL PROYECTO FÁBRICAS DE PRODUCTIVIDAD A LOS EMPRESARIOS PERTENECIENTES A LA JURISDICCIÓN DE LA CÁMARA DE COMERCIO DE URABÁ. PROYECTO FÁBRICAS DE PRODUCTIVIDAD. </t>
  </si>
  <si>
    <t>5011-130110</t>
  </si>
  <si>
    <t>TRANSPORTE:  VIÁTICOS PARA EL VIAJE QUE REALIZARÁ A LOS MUNICIPIOS DE GUARNE Y LA UNIÓN EN EL ORIENTE ANTIQUEÑO EL DÍA MARTES 25 DE JUNIO DE 2019 AL DÍA MARTES 25 DE JUNIO DE 2019, PARA LA VISTA DE INICIAL A LOS EMPRESARIOS PERTENECIENTES A LA JURISDICCIÓN DE LA CÁMARA DE COMERCIO DEL ORIENTE ANTIOQUEÑO.</t>
  </si>
  <si>
    <t>25 de junio de 2019</t>
  </si>
  <si>
    <t>5253-5</t>
  </si>
  <si>
    <t>GASTOS ADMINISTRATIVOS: AJUSTE AL PESO POR PAGO DE RETENCIONES</t>
  </si>
  <si>
    <t>30 de junio de 2019</t>
  </si>
  <si>
    <t>GASTOS ADMINISTRATIVOS: GASTO SALARIO:  ABRIL Y SEGURIDAD SOCIAL COORDINADORA ADMINISTRATIVA DEL PROYECTO.CONTRATO LABORAL A TERMINO FIJO-COSTO MENSUAL SALARIO Y PRESTACIONES SOCIALES: $8.847.476. DEDICACIÓN AL PROYECTO DEL 100%.</t>
  </si>
  <si>
    <t>30 de abril de 2019</t>
  </si>
  <si>
    <t>5011-127842; 5011-128454</t>
  </si>
  <si>
    <t>GASTOS ADMINISTRATIVOS: GASTO SALARIO: ABRIL  Y SEGURIDAD SOCIAL ASISTENTE ADMINISTRATIVO DEL PROYECTO.CONTRATO LABORAL A TERMINO FIJO-COSTO MENSUAL SALARIO Y PRESTACIONES SOCIALES: $3.234.506. DEDICACIÓN AL PROYECTO DEL 100%.</t>
  </si>
  <si>
    <t>5011-127942; 5011-128555</t>
  </si>
  <si>
    <t>GASTOS ADMINISTRATIVOS: GASTO SALARIO: ABRIL Y SEGURIDAD SOCIAL PROFESIONAL TECNICO DEL PROYECTO.CONTRATO LABORAL A TERMINO FIJO-COSTO MENSUAL SALARIO Y PRESTACIONES SOCIALES: $5.758.207. DEDICACIÓN AL PROYECTO DEL 100%.</t>
  </si>
  <si>
    <t>5011-127948; 5011-128563</t>
  </si>
  <si>
    <t>GASTOS ADMINISTRATIVOS: GASTO SALARIO: MAYO  Y SEGURIDAD SOCIAL COORDINADORA ADMINISTRATIVA DEL PROYECTO.CONTRATO LABORAL A TERMINO FIJO-COSTO MENSUAL SALARIO Y PRESTACIONES SOCIALES: $8.847.476. DEDICACIÓN AL PROYECTO DEL 100%.</t>
  </si>
  <si>
    <t>5011-129047; 5011-129619</t>
  </si>
  <si>
    <t>GASTOS ADMINISTRATIVOS: GASTO SALARIO:  MAYO Y SEGURIDAD SOCIAL ASISTENTE ADMINISTRATIVO DEL PROYECTO.CONTRATO LABORAL A TERMINO FIJO-COSTO MENSUAL SALARIO Y PRESTACIONES SOCIALES: $3.234.506. DEDICACIÓN AL PROYECTO DEL 100%.</t>
  </si>
  <si>
    <t>5011-129148; 5011-129724</t>
  </si>
  <si>
    <t>GASTOS ADMINISTRATIVOS: GASTO SALARIO: MAYO  Y SEGURIDAD SOCIAL PROFESIONAL TECNICO DEL PROYECTO.CONTRATO LABORAL A TERMINO FIJO-COSTO MENSUAL SALARIO Y PRESTACIONES SOCIALES: $5.758.207. DEDICACIÓN AL PROYECTO DEL 100%.</t>
  </si>
  <si>
    <t>5011-129155; 5011-129739</t>
  </si>
  <si>
    <t>GASTOS ADMINISTRATIVOS: GASTO SALARIO: JUNIO, PRIMA DE JUNIO  Y SEGURIDAD SOCIAL COORDINADORA ADMINISTRATIVA DEL PROYECTO.CONTRATO LABORAL A TERMINO FIJO-COSTO MENSUAL SALARIO Y PRESTACIONES SOCIALES: $8.847.476. DEDICACIÓN AL PROYECTO DEL 100%.</t>
  </si>
  <si>
    <t>5011-130141; 5011-130590; 5011-131180</t>
  </si>
  <si>
    <t>GASTOS ADMINISTRATIVOS: GASTO SALARIO: JUNIO, PRIMA DE JUNIO  Y SEGURIDAD SOCIAL ASISTENTE ADMINISTRATIVO DEL PROYECTO.CONTRATO LABORAL A TERMINO FIJO-COSTO MENSUAL SALARIO Y PRESTACIONES SOCIALES: $3.234.506. DEDICACIÓN AL PROYECTO DEL 100%.</t>
  </si>
  <si>
    <t>5011-130243; 5011-130685; 5011-131272</t>
  </si>
  <si>
    <t>GASTOS ADMINISTRATIVOS: GASTO SALARIO: JUNIO, PRIMA DE JUNIO  Y SEGURIDAD SOCIAL PROFESIONAL TECNICO DEL PROYECTO.CONTRATO LABORAL A TERMINO FIJO-COSTO MENSUAL SALARIO Y PRESTACIONES SOCIALES: $5.758.207. DEDICACIÓN AL PROYECTO DEL 100%.</t>
  </si>
  <si>
    <t>5011-130258; 5011-130692; 5011-131279</t>
  </si>
  <si>
    <t>GASTOS ADMINISTRATIVOS: GASTO SALARIO Y SEGURIDAD SOCIAL COORDINADORA ADMINISTRATIVA DEL PROYECTO-JULIO</t>
  </si>
  <si>
    <t>31 de julio de 2019</t>
  </si>
  <si>
    <t>5011-1317395; 5011-132435</t>
  </si>
  <si>
    <t>GASTOS ADMINISTRATIVOS: GASTO SALARIO Y SEGURIDAD SOCIAL ASISTENTE ADMINISTRATIVO DEL PROYECTO-JULIO</t>
  </si>
  <si>
    <t>5011-131833; 5011-132435</t>
  </si>
  <si>
    <t>GASTOS ADMINISTRATIVOS: GASTO SALARIO Y SEGURIDAD SOCIAL PROFESIONAL TECNICO DEL PROYECTO-JULIO</t>
  </si>
  <si>
    <t>5011-1318405; 5011-132428</t>
  </si>
  <si>
    <t>TRANSPORTE:  CONCEPTO DE VIÁTICOS PARA EL VIAJE QUE REALIZARÁ A LOS MUNICIPIOS DE APARTADÓ, CHIGORODÓ, CAREPA Y TURBO DEL DÍA DOMINGO 21 DE JULIO DE 2019 AL DÍA VIERNES 26 DE JULIO DE 2019, PARA LA VISITA DE RECONOCIMIENTO Y DIAGNÓSTICO A LAS EMPRESAS DE LA JURISDICCIÓN DE LA CÁMARA DE COMERCIO DE URABÁ PERTENECIENTES AL PROYECTO FÁBRICAS DE PRODUCTIVIDAD</t>
  </si>
  <si>
    <t>5011-132122</t>
  </si>
  <si>
    <t>TRANSPORTE: VIÁTICOS PARA VISITAS Y DIAGNOSTICOS DE RECONOCIMIENTO EMPRESAS DEL ORIENTE ANTIOQUEÑO EN EL MES DE JULIO DE 2019</t>
  </si>
  <si>
    <t>GASTOS DE COMPUTADORES: ARRENDAMIENTO DE EQUIPO DE COMPUTO PARA EL PERSONAL ADMINISTRATIVO DEL PROYECTO FÁBRICAS DE PRODUCTIVIDAD /  RADICADO 201920000006</t>
  </si>
  <si>
    <t>30 de julio de 2019</t>
  </si>
  <si>
    <t>5010-135129</t>
  </si>
  <si>
    <t>GASTOS DE COMPUTADORES: ARRENDAMIENTO DE EQUIPO DE COMPUTO PARA LOS GESTORES DEL PROYECTO FABRICAS DE PRODUCTIVIDAD / RADICADO 201920000006</t>
  </si>
  <si>
    <t>LOGISTICOS Y DEMÁS:  ALMUERZOS PARA ATENDER REUNIÓN TECNICA DEL PROGRAMA FABRICAS DE PRODUCTIVIDAD EL DÍA 21 DE JUNIO</t>
  </si>
  <si>
    <t>Carta 88</t>
  </si>
  <si>
    <t>5253-18</t>
  </si>
  <si>
    <t>GASTOS ADMINISTRATIVOS: GASTO SALARIO: AGOSTO Y SEGURIDAD SOCIAL- ASISTENTE ADMINISTRATIVO DEL PROYECTO.CONTRATO LABORAL A TERMINO FIJO-COSTO MENSUAL SALARIO Y PRESTACIONES SOCIALES: $3.234.506. DEDICACIÓN AL PROYECTO DEL 100%.</t>
  </si>
  <si>
    <t>31 de agosto de 2019</t>
  </si>
  <si>
    <t>5256-6;5256-16</t>
  </si>
  <si>
    <t>GASTOS ADMINISTRATIVOS: GASTO SALARIO: GASTO SALARIO: AGOSTO Y SEGURIDAD SOCIAL- PROFESIONAL TECNICO DEL PROYECTO.CONTRATO LABORAL A TERMINO FIJO-COSTO MENSUAL SALARIO Y PRESTACIONES SOCIALES: $5.758.207. DEDICACIÓN AL PROYECTO DEL 100%.</t>
  </si>
  <si>
    <t>5256-8;5256-18</t>
  </si>
  <si>
    <t>GASTOS ADMINISTRATIVOS: GASTO SALARIO: AGOSTO Y SEGURIDAD SOCIAL-  COORDINADORA ADMINISTRATIVA DEL PROYECTO-AGOSTO</t>
  </si>
  <si>
    <t>5256-5; 5256-15</t>
  </si>
  <si>
    <t xml:space="preserve">COMUNICACIONES: DISEÑAR PIEZAS PUBLICITARIAS (BANNER, BROCHURE,NEWS, GIF Y CUNAS) PARA EL PROYECTO FÁBRICAS DE PRODUCTIVIDAD.RADICADO 201920005102. </t>
  </si>
  <si>
    <t>30 de agosto de 2019</t>
  </si>
  <si>
    <t>5256-24</t>
  </si>
  <si>
    <t>13 de agosto de 2019</t>
  </si>
  <si>
    <t>5011-132836</t>
  </si>
  <si>
    <t>5256-25</t>
  </si>
  <si>
    <t>LOGISTICOS Y DEMÁS: ADQUISICION DIRECTA PARA ALMUERZOS PARA ATENDER COMITÉ TÉCNICO DEL PROGRAMA FÁBRICAS DE PRODUCTIVIDAD</t>
  </si>
  <si>
    <t>27 de agosto de 2019</t>
  </si>
  <si>
    <t>Carta 270</t>
  </si>
  <si>
    <t>5256-14</t>
  </si>
  <si>
    <t>TRANSPORTE: SERVICIO DE TRANSPORTE AÉREO PARA EL GESTOR DARWIN PALACIO OSPINA PARA VISITA TÉCNICA A LAS EMPRESAS PRESELECCIONADAS DEL PROGRAMA FÁBRICAS DE PRODUCTIVIDAD QUE SE ENCUENTRAN EN LA SUBREGIÓN DE URABÁ</t>
  </si>
  <si>
    <t>20 de agosto de 2019</t>
  </si>
  <si>
    <t>Carta 221</t>
  </si>
  <si>
    <t>5256-1</t>
  </si>
  <si>
    <t xml:space="preserve">LOGISTICOS Y DEMÁS: SERVICIO DE ALIMENTACIÓN PARA ATENDER REUNIÓNES INFORMATIVAS DEL PROGRAMA FABRICAS DE PRODUCTIVIDAD LOS DIAS 17 DE MAYO AL 30 DE MAYO EN LA SEDE DE LA CCMA DEL POBLADO. </t>
  </si>
  <si>
    <t>Carta 51</t>
  </si>
  <si>
    <t>5256-4</t>
  </si>
  <si>
    <t>LOGISTICOS Y DEMÁS:SERVICIO DE ALIMENTACIÓN PARA ATENDER CHARLAS INFORMATIVAS DEL PROGRAMA FABRICAS DE PRODUCTIVIDAD EN EL POBLADO</t>
  </si>
  <si>
    <t>Carta 138</t>
  </si>
  <si>
    <t>5256-3</t>
  </si>
  <si>
    <t>TRANSPORTE: CONCEPTO DE VIÁTICOS PARA EL VIAJE QUE REALIZARÁ A PUERTO BERRIO EL DÍA MARTES 30 DE JULIO DE 2019 AL DÍA MIÉRCOLES 30 DE JULIO DE 2019, PARA LA VISTA DE RECONOCIMIENTO Y DIAGNOSTICO A LOS EMPRESARIOS PERTENECIENTES A LA JURISDICCIÓN DE LA CÁMARA DE COMERCIO DEL MAGDALENA MEDIO Y NORDESTE ANTIOQUEÑO-FABRICAS DE PRODUCTIVIDAD</t>
  </si>
  <si>
    <t>2 de agosto de 2019</t>
  </si>
  <si>
    <t>5253-27</t>
  </si>
  <si>
    <t>TRANSPORTE:  CONCEPTO DE VIÁTICOS PARA EL VIAJE QUE REALIZARÁ A SAN PEDRO DE LOS MILAGROS DEL DÍA MIÉRCOLES 24 DE JULIO DE 2019 AL DÍA MIÉRCOLES 24 DE JULIO DE 2019, PARA LAS VISITAS DE RECONOCIMIENTO Y DIAGNÓSTICOS A LAS EMPRESAS DE ESTE MUNICIPIO- PROYECTO FÁBRICAS DE PRODUCTIVIDAD</t>
  </si>
  <si>
    <t xml:space="preserve">5253-26 </t>
  </si>
  <si>
    <t>TRANSPORTE:  VIÁTICOS PARA VISITAS DE SEGUIMIENTO A EMPRESAS DEL ORIENTE ANTIOQUEÑO EN EL MES DE AGOSTO DE 2019</t>
  </si>
  <si>
    <t xml:space="preserve">5253-25 </t>
  </si>
  <si>
    <t>LOGISTICOS Y DEMÁS: OTROSI- PÓLIZA DE CUMPLIMIENTO PARA CONTRATO CON LA FIDUCIARIA DE COMERCIO EXTERIOR</t>
  </si>
  <si>
    <t>5256-2</t>
  </si>
  <si>
    <t>RENDIMIENTOS FINANCIEROS</t>
  </si>
  <si>
    <t>FSF-05</t>
  </si>
  <si>
    <t xml:space="preserve">Fecha </t>
  </si>
  <si>
    <t xml:space="preserve">Valor rendimientos  generados </t>
  </si>
  <si>
    <t xml:space="preserve">Rendimiento reintegrados </t>
  </si>
  <si>
    <t xml:space="preserve">Saldo a reintegrar </t>
  </si>
  <si>
    <t>fecha de reintegro al CP</t>
  </si>
  <si>
    <t xml:space="preserve">Saldos </t>
  </si>
  <si>
    <t>NOTA: Los rendimientos financieros deben incluirse en la certificación mensual suscrita por el Representante Legal y Revisor Fiscal</t>
  </si>
  <si>
    <t>*Codigo de transacción y/o pago</t>
  </si>
  <si>
    <t>CONCILIACIÓN BANCARIA</t>
  </si>
  <si>
    <t>FSF-06</t>
  </si>
  <si>
    <t xml:space="preserve">Saldo en Banco según balance a julio 31 de 2019 </t>
  </si>
  <si>
    <t>Saldo según extracto a juio 28 de 2019</t>
  </si>
  <si>
    <t xml:space="preserve">Diferencia </t>
  </si>
  <si>
    <r>
      <rPr>
        <b/>
        <sz val="11"/>
        <color rgb="FF000000"/>
        <rFont val="Calibri"/>
        <family val="2"/>
        <scheme val="minor"/>
      </rPr>
      <t xml:space="preserve">Nota aclaratoria: </t>
    </r>
    <r>
      <rPr>
        <sz val="11"/>
        <color rgb="FF000000"/>
        <rFont val="Calibri"/>
        <family val="2"/>
        <scheme val="minor"/>
      </rPr>
      <t>La diferencia presentada se debe al gravamen a los movimientos financieros de julio de2019, por un valor de $104.938,11 y rendimientos financieros por $769.068,02. Se adjunta Conciliación Bancaria que lo explica.</t>
    </r>
  </si>
  <si>
    <t xml:space="preserve">El monto de rendimientos debe coicideir con  el cuadro de rendimientos </t>
  </si>
  <si>
    <t>NOTA: Se debe adjuntar el extracto bancario de la cuenta del Convenio</t>
  </si>
  <si>
    <t>CONTROL DE GASTOS DE GESTORES Y ADMINISTRATIVOS COFINANCIADOS POR CP</t>
  </si>
  <si>
    <t>EDITABLE</t>
  </si>
  <si>
    <t>Gestores</t>
  </si>
  <si>
    <t>NO de Gestores</t>
  </si>
  <si>
    <t>TOTAL</t>
  </si>
  <si>
    <t>Gestores Contratados</t>
  </si>
  <si>
    <t>Fecha Inicio</t>
  </si>
  <si>
    <t>Fecha Fin</t>
  </si>
  <si>
    <t>Ejecución</t>
  </si>
  <si>
    <t>Valor Limite</t>
  </si>
  <si>
    <t>Saldo</t>
  </si>
  <si>
    <t>Valor Maximo x mes</t>
  </si>
  <si>
    <t>PRESUPUESTO CP</t>
  </si>
  <si>
    <t>DISPONIBLE</t>
  </si>
  <si>
    <t>CP-GEST</t>
  </si>
  <si>
    <t>CP-ADM</t>
  </si>
  <si>
    <t>CAM-GT</t>
  </si>
  <si>
    <t>CAM-ADM</t>
  </si>
  <si>
    <t>SUBT</t>
  </si>
  <si>
    <t>VALOR CON CARGO A COLOMBIA PRODUCTIVA DEL TOTAL DEL CONTRATO</t>
  </si>
  <si>
    <t>Valor condicionado por convenio al Extensionista por incumplimiento de variación en el indicador del 8%</t>
  </si>
  <si>
    <r>
      <t>50% del</t>
    </r>
    <r>
      <rPr>
        <b/>
        <sz val="11"/>
        <rFont val="Calibri"/>
        <family val="2"/>
        <scheme val="minor"/>
      </rPr>
      <t xml:space="preserve"> TOTAL </t>
    </r>
    <r>
      <rPr>
        <sz val="11"/>
        <rFont val="Calibri"/>
        <family val="2"/>
        <scheme val="minor"/>
      </rPr>
      <t>de la intervención</t>
    </r>
  </si>
  <si>
    <t>CONSECUTIVO</t>
  </si>
  <si>
    <t>CUMPLIÓ INDICADOR
 (SI / NO)</t>
  </si>
  <si>
    <t>Total Horas</t>
  </si>
  <si>
    <t>Horas Contratadas</t>
  </si>
  <si>
    <t>*carga prestacional</t>
  </si>
  <si>
    <t>Contrato Laboral a termino fijo</t>
  </si>
  <si>
    <t>SALARIOS DE GESTORES CONVENIO FABRICAS</t>
  </si>
  <si>
    <t>TOTAL VALOR DE LA INTERVENCION</t>
  </si>
  <si>
    <t>Extensionista</t>
  </si>
  <si>
    <t>Total Intervenciones</t>
  </si>
  <si>
    <t>Distilled Innovation SAS</t>
  </si>
  <si>
    <t>CREAME	GESTION COMERCIAL</t>
  </si>
  <si>
    <t>Eduardo Bernal Trujillo</t>
  </si>
  <si>
    <t>Institución Universitaria Esumer</t>
  </si>
  <si>
    <t>Corporación Industrial Minuto de Dios</t>
  </si>
  <si>
    <t>CIDEP INNOVA SAS</t>
  </si>
  <si>
    <t>Consult-ING S.A.S.</t>
  </si>
  <si>
    <t>ASSOCIA Conocimiento y gestión</t>
  </si>
  <si>
    <t>Universidad Pontificia Bolivariana</t>
  </si>
  <si>
    <t>Universidad EIA</t>
  </si>
  <si>
    <t>Hamkke</t>
  </si>
  <si>
    <t>A.E.I. Asesoría Empresarial Integral Group SAS</t>
  </si>
  <si>
    <t>Corporación Interactuar</t>
  </si>
  <si>
    <t>INVERSIONES VELASQUEZ NARANJO Y COMPAÑIA SAS</t>
  </si>
  <si>
    <t>GT CONSULTING SAS</t>
  </si>
  <si>
    <t>MARIA ADELAIDA ZULUAGA MONTOYA/GeroZetaCe &amp; Asociados</t>
  </si>
  <si>
    <t>Flowing Consultoría S.A.S</t>
  </si>
  <si>
    <t>Juan Carlos Mejía Llano</t>
  </si>
  <si>
    <t>MAURICIO MORENO</t>
  </si>
  <si>
    <t>Correa &amp; Rivera Asociados SAS</t>
  </si>
  <si>
    <t>María Eugenia Rada Ibarra</t>
  </si>
  <si>
    <t>HENRRY QUESADA GOMEZ</t>
  </si>
  <si>
    <t>ASSER S.A.S.</t>
  </si>
  <si>
    <t>Corporacion BIOINTROPIC</t>
  </si>
  <si>
    <t>F Y GP, Vladimir Bogotá</t>
  </si>
  <si>
    <t>Persona Natural Autorizada por Coordinación</t>
  </si>
  <si>
    <t>Máximo Impacto SAS</t>
  </si>
  <si>
    <t>Merci Sales</t>
  </si>
  <si>
    <t>CROMA CONSULTING SAS</t>
  </si>
  <si>
    <t>Bosque Tecnológico S.A.S.</t>
  </si>
  <si>
    <t>IDATA</t>
  </si>
  <si>
    <t>Inexmoda</t>
  </si>
  <si>
    <t>MSO COLOMBIA</t>
  </si>
  <si>
    <t>Asociación Colombiana de Industriales del Calzado, el Cuero y sus Manufacturas - ACICAM</t>
  </si>
  <si>
    <t>Informe Financiero 30/08/2019</t>
  </si>
  <si>
    <t>Informe Técnico 30/09/H73</t>
  </si>
  <si>
    <t>soportes</t>
  </si>
  <si>
    <t xml:space="preserve">Carta </t>
  </si>
  <si>
    <t>Castigo Financiero en caso de Incumplimiento (50%)</t>
  </si>
  <si>
    <t>*Comentario estandarizado con valor salarios + prestaciones sin embargo varia por mes</t>
  </si>
  <si>
    <t>*Validar tamaños empresas, no coincide con el RUES</t>
  </si>
  <si>
    <t>*No elegible</t>
  </si>
  <si>
    <t xml:space="preserve"> </t>
  </si>
  <si>
    <t>XXX</t>
  </si>
  <si>
    <t>XXXXX</t>
  </si>
  <si>
    <t>XXXXXXXXXXXX</t>
  </si>
  <si>
    <t>XXXXXX</t>
  </si>
  <si>
    <t>XXXXXXXX</t>
  </si>
  <si>
    <t>XXXXXXX</t>
  </si>
  <si>
    <t xml:space="preserve">XXXXX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</si>
</sst>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0.0"/>
    <numFmt numFmtId="166" formatCode="_-&quot;$&quot;\ * #,##0.00_-;\-&quot;$&quot;\ * #,##0.00_-;_-&quot;$&quot;\ * &quot;-&quot;_-;_-@_-"/>
    <numFmt numFmtId="167" formatCode="_-* #,##0.00_-;\-* #,##0.00_-;_-* &quot;-&quot;_-;_-@_-"/>
    <numFmt numFmtId="168" formatCode="_(&quot;$&quot;\ * #,##0.00_);_(&quot;$&quot;\ * \(#,##0.00\);_(&quot;$&quot;\ * &quot;-&quot;??_);_(@_)"/>
  </numFmts>
  <fonts count="40" x14ac:knownFonts="1">
    <font>
      <sz val="11"/>
      <color theme="1"/>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
      <sz val="9"/>
      <color theme="1"/>
      <name val="Calibri"/>
      <family val="2"/>
      <scheme val="minor"/>
    </font>
    <font>
      <sz val="10"/>
      <name val="Arial"/>
      <family val="2"/>
    </font>
    <font>
      <sz val="11"/>
      <color rgb="FF000000"/>
      <name val="Calibri"/>
      <family val="2"/>
      <scheme val="minor"/>
    </font>
    <font>
      <sz val="20"/>
      <color theme="1"/>
      <name val="Calibri"/>
      <family val="2"/>
      <scheme val="minor"/>
    </font>
    <font>
      <b/>
      <sz val="20"/>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sz val="9"/>
      <color indexed="81"/>
      <name val="Tahoma"/>
      <family val="2"/>
    </font>
    <font>
      <b/>
      <sz val="9"/>
      <color indexed="81"/>
      <name val="Tahoma"/>
      <family val="2"/>
    </font>
    <font>
      <b/>
      <sz val="8"/>
      <color theme="1"/>
      <name val="Calibri"/>
      <family val="2"/>
      <scheme val="minor"/>
    </font>
    <font>
      <b/>
      <sz val="14"/>
      <color theme="1"/>
      <name val="Calibri"/>
      <family val="2"/>
      <scheme val="minor"/>
    </font>
    <font>
      <b/>
      <sz val="11"/>
      <color rgb="FF000000"/>
      <name val="Calibri"/>
      <family val="2"/>
      <scheme val="minor"/>
    </font>
    <font>
      <b/>
      <u/>
      <sz val="11"/>
      <color theme="1"/>
      <name val="Calibri"/>
      <family val="2"/>
      <scheme val="minor"/>
    </font>
    <font>
      <b/>
      <sz val="12"/>
      <color theme="1"/>
      <name val="Calibri"/>
      <family val="2"/>
      <scheme val="minor"/>
    </font>
    <font>
      <b/>
      <sz val="9"/>
      <color theme="1"/>
      <name val="Calibri"/>
      <family val="2"/>
      <scheme val="minor"/>
    </font>
    <font>
      <sz val="11"/>
      <color theme="0"/>
      <name val="Calibri"/>
      <family val="2"/>
      <scheme val="minor"/>
    </font>
    <font>
      <sz val="8"/>
      <name val="Calibri"/>
      <family val="2"/>
      <scheme val="minor"/>
    </font>
    <font>
      <sz val="11"/>
      <color rgb="FFFF0000"/>
      <name val="Calibri"/>
      <family val="2"/>
      <scheme val="minor"/>
    </font>
    <font>
      <b/>
      <sz val="18"/>
      <color theme="1"/>
      <name val="Calibri"/>
      <family val="2"/>
      <scheme val="minor"/>
    </font>
    <font>
      <sz val="11"/>
      <color theme="0" tint="-0.249977111117893"/>
      <name val="Calibri"/>
      <family val="2"/>
      <scheme val="minor"/>
    </font>
    <font>
      <b/>
      <sz val="8"/>
      <color indexed="81"/>
      <name val="Tahoma"/>
      <family val="2"/>
    </font>
    <font>
      <b/>
      <sz val="16"/>
      <color theme="1"/>
      <name val="Calibri"/>
      <family val="2"/>
      <scheme val="minor"/>
    </font>
    <font>
      <sz val="9"/>
      <name val="Calibri"/>
      <family val="2"/>
      <scheme val="minor"/>
    </font>
    <font>
      <b/>
      <sz val="9"/>
      <color rgb="FFFF0000"/>
      <name val="Calibri"/>
      <family val="2"/>
      <scheme val="minor"/>
    </font>
    <font>
      <b/>
      <sz val="11"/>
      <name val="Calibri"/>
      <family val="2"/>
      <scheme val="minor"/>
    </font>
    <font>
      <sz val="11"/>
      <name val="Calibri"/>
      <family val="2"/>
      <scheme val="minor"/>
    </font>
    <font>
      <sz val="9"/>
      <color indexed="8"/>
      <name val="Arial"/>
      <family val="2"/>
    </font>
    <font>
      <sz val="10"/>
      <color rgb="FF000000"/>
      <name val="Arial"/>
      <family val="2"/>
    </font>
    <font>
      <b/>
      <sz val="11"/>
      <color theme="0"/>
      <name val="Calibri"/>
      <family val="2"/>
      <scheme val="minor"/>
    </font>
    <font>
      <sz val="8"/>
      <color theme="0"/>
      <name val="Calibri"/>
      <family val="2"/>
      <scheme val="minor"/>
    </font>
    <font>
      <b/>
      <sz val="20"/>
      <name val="Calibri"/>
      <family val="2"/>
      <scheme val="minor"/>
    </font>
    <font>
      <b/>
      <sz val="12"/>
      <name val="Calibri"/>
      <family val="2"/>
      <scheme val="minor"/>
    </font>
    <font>
      <sz val="10"/>
      <color theme="0"/>
      <name val="Calibri"/>
      <family val="2"/>
      <scheme val="minor"/>
    </font>
    <font>
      <sz val="11"/>
      <color rgb="FF9C0006"/>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FFFF00"/>
        <bgColor indexed="64"/>
      </patternFill>
    </fill>
    <fill>
      <patternFill patternType="solid">
        <fgColor rgb="FFC6C4C4"/>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C7CE"/>
      </patternFill>
    </fill>
    <fill>
      <patternFill patternType="solid">
        <fgColor theme="5" tint="-0.249977111117893"/>
        <bgColor indexed="64"/>
      </patternFill>
    </fill>
  </fills>
  <borders count="57">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5" fillId="0" borderId="0"/>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33" fillId="0" borderId="0"/>
    <xf numFmtId="0" fontId="39" fillId="15" borderId="0" applyNumberFormat="0" applyBorder="0" applyAlignment="0" applyProtection="0"/>
  </cellStyleXfs>
  <cellXfs count="559">
    <xf numFmtId="0" fontId="0" fillId="0" borderId="0" xfId="0"/>
    <xf numFmtId="0" fontId="2" fillId="0" borderId="0" xfId="0" applyFont="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3" fillId="2" borderId="0" xfId="0" applyFont="1" applyFill="1"/>
    <xf numFmtId="4" fontId="3" fillId="2" borderId="0" xfId="0" applyNumberFormat="1" applyFont="1" applyFill="1"/>
    <xf numFmtId="0" fontId="7" fillId="2" borderId="0" xfId="0" applyFont="1" applyFill="1" applyAlignment="1">
      <alignment vertical="center"/>
    </xf>
    <xf numFmtId="0" fontId="9" fillId="4"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3" xfId="0" applyFont="1" applyFill="1" applyBorder="1" applyAlignment="1">
      <alignment horizontal="center"/>
    </xf>
    <xf numFmtId="164" fontId="11" fillId="2" borderId="3" xfId="0" applyNumberFormat="1" applyFont="1" applyFill="1" applyBorder="1" applyAlignment="1">
      <alignment horizontal="center" vertical="center"/>
    </xf>
    <xf numFmtId="0" fontId="10" fillId="2" borderId="3" xfId="0" applyFont="1" applyFill="1" applyBorder="1"/>
    <xf numFmtId="164" fontId="11" fillId="2" borderId="3" xfId="0" applyNumberFormat="1" applyFont="1" applyFill="1" applyBorder="1" applyAlignment="1">
      <alignment vertical="center"/>
    </xf>
    <xf numFmtId="164" fontId="10" fillId="2" borderId="3" xfId="0" applyNumberFormat="1" applyFont="1" applyFill="1" applyBorder="1"/>
    <xf numFmtId="0" fontId="10" fillId="2" borderId="0" xfId="0" applyFont="1" applyFill="1"/>
    <xf numFmtId="0" fontId="9" fillId="2" borderId="0" xfId="0" applyFont="1" applyFill="1" applyAlignment="1">
      <alignment horizontal="center" vertical="center"/>
    </xf>
    <xf numFmtId="14" fontId="10" fillId="2" borderId="3" xfId="0" applyNumberFormat="1" applyFont="1" applyFill="1" applyBorder="1" applyAlignment="1">
      <alignment horizontal="right"/>
    </xf>
    <xf numFmtId="0" fontId="10" fillId="2" borderId="0" xfId="0" applyFont="1" applyFill="1" applyBorder="1"/>
    <xf numFmtId="0" fontId="10" fillId="2" borderId="0" xfId="0" applyFont="1" applyFill="1" applyAlignment="1">
      <alignment vertical="center"/>
    </xf>
    <xf numFmtId="0" fontId="10" fillId="0" borderId="0" xfId="0" applyFont="1" applyAlignment="1">
      <alignment vertical="center"/>
    </xf>
    <xf numFmtId="0" fontId="9" fillId="2" borderId="3" xfId="0" applyFont="1" applyFill="1" applyBorder="1" applyAlignment="1">
      <alignment vertical="center" wrapText="1"/>
    </xf>
    <xf numFmtId="0" fontId="9" fillId="2" borderId="0" xfId="0" applyFont="1" applyFill="1" applyAlignment="1">
      <alignment vertical="center"/>
    </xf>
    <xf numFmtId="14" fontId="11" fillId="2" borderId="3" xfId="3" applyNumberFormat="1" applyFont="1" applyFill="1" applyBorder="1" applyAlignment="1">
      <alignment horizontal="center" vertical="center"/>
    </xf>
    <xf numFmtId="164" fontId="11" fillId="2" borderId="3" xfId="0" applyNumberFormat="1" applyFont="1" applyFill="1" applyBorder="1" applyAlignment="1">
      <alignment horizontal="left" vertical="center"/>
    </xf>
    <xf numFmtId="42" fontId="10" fillId="2" borderId="3" xfId="4" applyFont="1" applyFill="1" applyBorder="1" applyAlignment="1">
      <alignment vertical="center"/>
    </xf>
    <xf numFmtId="41" fontId="11" fillId="2" borderId="3" xfId="2" applyFont="1" applyFill="1" applyBorder="1" applyAlignment="1">
      <alignment vertical="center"/>
    </xf>
    <xf numFmtId="42" fontId="0" fillId="2" borderId="0" xfId="4" applyFont="1" applyFill="1" applyBorder="1"/>
    <xf numFmtId="0" fontId="9" fillId="5" borderId="13" xfId="0" applyFont="1" applyFill="1" applyBorder="1" applyAlignment="1">
      <alignment vertical="center"/>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164" fontId="9" fillId="5" borderId="12" xfId="0" applyNumberFormat="1" applyFont="1" applyFill="1" applyBorder="1" applyAlignment="1">
      <alignment vertical="center"/>
    </xf>
    <xf numFmtId="0" fontId="3" fillId="7" borderId="4" xfId="0" applyFont="1" applyFill="1" applyBorder="1"/>
    <xf numFmtId="164" fontId="3" fillId="7" borderId="3" xfId="0" applyNumberFormat="1" applyFont="1" applyFill="1" applyBorder="1"/>
    <xf numFmtId="42" fontId="10" fillId="2" borderId="11" xfId="4" applyFont="1" applyFill="1" applyBorder="1" applyAlignment="1">
      <alignment vertical="center"/>
    </xf>
    <xf numFmtId="0" fontId="8" fillId="0" borderId="0" xfId="0" applyFont="1" applyBorder="1" applyAlignment="1">
      <alignment vertical="center"/>
    </xf>
    <xf numFmtId="164" fontId="11" fillId="2" borderId="1" xfId="0" applyNumberFormat="1" applyFont="1" applyFill="1" applyBorder="1" applyAlignment="1">
      <alignment horizontal="left" vertical="center"/>
    </xf>
    <xf numFmtId="42" fontId="0" fillId="2" borderId="0" xfId="4" applyFont="1" applyFill="1" applyBorder="1" applyAlignment="1">
      <alignment horizontal="center"/>
    </xf>
    <xf numFmtId="41" fontId="11" fillId="2" borderId="3" xfId="2" applyFont="1" applyFill="1" applyBorder="1" applyAlignment="1">
      <alignment horizontal="center" vertical="center"/>
    </xf>
    <xf numFmtId="0" fontId="3" fillId="2" borderId="0" xfId="0" applyFont="1" applyFill="1" applyBorder="1" applyAlignment="1">
      <alignment vertical="center"/>
    </xf>
    <xf numFmtId="0" fontId="2" fillId="2" borderId="0" xfId="0" applyFont="1" applyFill="1" applyAlignment="1">
      <alignment horizontal="center" vertical="center"/>
    </xf>
    <xf numFmtId="0" fontId="9" fillId="5" borderId="12" xfId="0" applyFont="1" applyFill="1" applyBorder="1" applyAlignment="1">
      <alignment horizontal="center" vertical="center"/>
    </xf>
    <xf numFmtId="0" fontId="3" fillId="2" borderId="0" xfId="0" applyFont="1" applyFill="1" applyBorder="1" applyAlignment="1">
      <alignment horizontal="center" vertical="center"/>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41" fontId="11" fillId="2" borderId="22" xfId="2" applyFont="1" applyFill="1" applyBorder="1" applyAlignment="1">
      <alignment vertical="center"/>
    </xf>
    <xf numFmtId="164" fontId="11" fillId="2" borderId="22" xfId="0" applyNumberFormat="1" applyFont="1" applyFill="1" applyBorder="1" applyAlignment="1">
      <alignment horizontal="center" vertical="center"/>
    </xf>
    <xf numFmtId="42" fontId="3" fillId="3" borderId="13" xfId="4" applyFont="1" applyFill="1" applyBorder="1" applyAlignment="1">
      <alignment horizontal="center"/>
    </xf>
    <xf numFmtId="42" fontId="3" fillId="3" borderId="13" xfId="4" applyFont="1" applyFill="1" applyBorder="1"/>
    <xf numFmtId="164" fontId="9" fillId="9" borderId="16" xfId="0" applyNumberFormat="1" applyFont="1" applyFill="1" applyBorder="1"/>
    <xf numFmtId="0" fontId="3" fillId="4" borderId="3"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2" borderId="0" xfId="0" applyFont="1" applyFill="1" applyAlignment="1">
      <alignment horizontal="center" vertical="center"/>
    </xf>
    <xf numFmtId="0" fontId="8" fillId="0" borderId="0" xfId="0" applyFont="1" applyFill="1" applyBorder="1" applyAlignment="1">
      <alignment vertical="center"/>
    </xf>
    <xf numFmtId="42" fontId="3" fillId="0" borderId="0" xfId="4" applyFont="1" applyFill="1" applyBorder="1"/>
    <xf numFmtId="42" fontId="3" fillId="0" borderId="0" xfId="4" applyFont="1" applyFill="1" applyBorder="1" applyAlignment="1">
      <alignment horizontal="center"/>
    </xf>
    <xf numFmtId="0" fontId="3" fillId="0" borderId="0" xfId="0" applyFont="1" applyFill="1"/>
    <xf numFmtId="0" fontId="15" fillId="2" borderId="0" xfId="0" applyFont="1" applyFill="1" applyAlignment="1">
      <alignment vertical="center"/>
    </xf>
    <xf numFmtId="0" fontId="6" fillId="2" borderId="3" xfId="0" applyFont="1" applyFill="1" applyBorder="1" applyAlignment="1">
      <alignment vertical="center"/>
    </xf>
    <xf numFmtId="41" fontId="0" fillId="0" borderId="3" xfId="2" applyFont="1" applyBorder="1"/>
    <xf numFmtId="0" fontId="15" fillId="2" borderId="0" xfId="0" applyFont="1" applyFill="1" applyBorder="1"/>
    <xf numFmtId="0" fontId="0" fillId="2" borderId="0" xfId="0" applyFont="1" applyFill="1"/>
    <xf numFmtId="4" fontId="0" fillId="2" borderId="0" xfId="0" applyNumberFormat="1" applyFont="1" applyFill="1"/>
    <xf numFmtId="4" fontId="0" fillId="2" borderId="0" xfId="0" applyNumberFormat="1" applyFont="1" applyFill="1" applyBorder="1"/>
    <xf numFmtId="0" fontId="0" fillId="2" borderId="0" xfId="0" applyFont="1" applyFill="1" applyBorder="1"/>
    <xf numFmtId="0" fontId="0" fillId="2" borderId="3" xfId="0" applyFont="1" applyFill="1" applyBorder="1"/>
    <xf numFmtId="0" fontId="0" fillId="2" borderId="0" xfId="0" applyFont="1" applyFill="1" applyAlignment="1">
      <alignment horizontal="center" vertical="center"/>
    </xf>
    <xf numFmtId="0" fontId="0" fillId="0" borderId="0" xfId="0" applyFont="1" applyBorder="1"/>
    <xf numFmtId="0" fontId="0" fillId="0" borderId="0" xfId="0" applyFont="1"/>
    <xf numFmtId="0" fontId="0" fillId="2" borderId="0" xfId="0" applyFont="1" applyFill="1" applyAlignment="1">
      <alignment horizontal="center"/>
    </xf>
    <xf numFmtId="0" fontId="0" fillId="2" borderId="0" xfId="0" applyFont="1" applyFill="1" applyAlignment="1">
      <alignment horizontal="right"/>
    </xf>
    <xf numFmtId="0" fontId="0" fillId="2" borderId="0" xfId="0" applyFont="1" applyFill="1" applyAlignment="1">
      <alignment vertical="center"/>
    </xf>
    <xf numFmtId="0" fontId="12" fillId="2" borderId="3" xfId="0" applyFont="1" applyFill="1" applyBorder="1" applyAlignment="1">
      <alignment horizontal="center" vertical="center"/>
    </xf>
    <xf numFmtId="0" fontId="3" fillId="2" borderId="0" xfId="0" applyFont="1" applyFill="1" applyAlignment="1">
      <alignment horizontal="left"/>
    </xf>
    <xf numFmtId="0" fontId="16" fillId="0" borderId="0" xfId="0" applyFont="1" applyAlignment="1">
      <alignment horizontal="left"/>
    </xf>
    <xf numFmtId="0" fontId="9" fillId="4" borderId="30" xfId="0" applyFont="1" applyFill="1" applyBorder="1" applyAlignment="1">
      <alignment horizontal="center" vertical="center" wrapText="1"/>
    </xf>
    <xf numFmtId="42" fontId="11" fillId="2" borderId="3" xfId="4" applyFont="1" applyFill="1" applyBorder="1" applyAlignment="1">
      <alignment horizontal="center" vertical="center"/>
    </xf>
    <xf numFmtId="165" fontId="10" fillId="2" borderId="3" xfId="0" applyNumberFormat="1" applyFont="1" applyFill="1" applyBorder="1" applyAlignment="1">
      <alignment vertical="center"/>
    </xf>
    <xf numFmtId="0" fontId="0" fillId="2" borderId="0" xfId="0" applyFont="1" applyFill="1" applyAlignment="1">
      <alignment horizontal="left"/>
    </xf>
    <xf numFmtId="0" fontId="3" fillId="7" borderId="4" xfId="0" applyFont="1" applyFill="1" applyBorder="1" applyAlignment="1">
      <alignment horizontal="left"/>
    </xf>
    <xf numFmtId="0" fontId="11" fillId="2" borderId="3" xfId="0" applyNumberFormat="1" applyFont="1" applyFill="1" applyBorder="1" applyAlignment="1">
      <alignment horizontal="left" vertical="center"/>
    </xf>
    <xf numFmtId="41" fontId="0" fillId="2" borderId="3" xfId="2" applyFont="1" applyFill="1" applyBorder="1"/>
    <xf numFmtId="42" fontId="0" fillId="2" borderId="0" xfId="0" applyNumberFormat="1" applyFont="1" applyFill="1"/>
    <xf numFmtId="164" fontId="0" fillId="2" borderId="0" xfId="0" applyNumberFormat="1" applyFont="1" applyFill="1"/>
    <xf numFmtId="14" fontId="0" fillId="0" borderId="3" xfId="0" applyNumberFormat="1" applyFont="1" applyBorder="1"/>
    <xf numFmtId="42" fontId="3" fillId="2" borderId="0" xfId="4" applyFont="1" applyFill="1" applyAlignment="1">
      <alignment horizontal="center" vertical="center"/>
    </xf>
    <xf numFmtId="41" fontId="0" fillId="2" borderId="22" xfId="2" applyFont="1" applyFill="1" applyBorder="1"/>
    <xf numFmtId="166" fontId="6" fillId="2" borderId="3" xfId="4" applyNumberFormat="1" applyFont="1" applyFill="1" applyBorder="1" applyAlignment="1">
      <alignment horizontal="right" vertical="center"/>
    </xf>
    <xf numFmtId="166" fontId="0" fillId="2" borderId="3" xfId="4" applyNumberFormat="1" applyFont="1" applyFill="1" applyBorder="1"/>
    <xf numFmtId="167" fontId="0" fillId="2" borderId="3" xfId="2" applyNumberFormat="1" applyFont="1" applyFill="1" applyBorder="1"/>
    <xf numFmtId="0" fontId="3" fillId="0" borderId="5" xfId="0" applyFont="1" applyBorder="1"/>
    <xf numFmtId="167" fontId="3" fillId="2" borderId="5" xfId="2" applyNumberFormat="1" applyFont="1" applyFill="1" applyBorder="1"/>
    <xf numFmtId="42" fontId="3" fillId="2" borderId="0" xfId="0" applyNumberFormat="1" applyFont="1" applyFill="1"/>
    <xf numFmtId="0" fontId="3" fillId="0" borderId="0" xfId="0" applyFont="1" applyBorder="1"/>
    <xf numFmtId="166" fontId="0" fillId="2" borderId="0" xfId="4" applyNumberFormat="1" applyFont="1" applyFill="1"/>
    <xf numFmtId="0" fontId="18" fillId="2" borderId="0" xfId="0" applyFont="1" applyFill="1"/>
    <xf numFmtId="42" fontId="10" fillId="2" borderId="10" xfId="4" applyFont="1" applyFill="1" applyBorder="1" applyAlignment="1">
      <alignment horizontal="left" vertical="center"/>
    </xf>
    <xf numFmtId="168" fontId="10" fillId="2" borderId="3" xfId="0" applyNumberFormat="1" applyFont="1" applyFill="1" applyBorder="1"/>
    <xf numFmtId="0" fontId="3" fillId="2" borderId="0" xfId="0" applyFont="1" applyFill="1" applyAlignment="1">
      <alignment horizontal="center"/>
    </xf>
    <xf numFmtId="0" fontId="6" fillId="2" borderId="0" xfId="0" applyFont="1" applyFill="1" applyAlignment="1">
      <alignment horizontal="left" vertical="center" wrapText="1"/>
    </xf>
    <xf numFmtId="44" fontId="0" fillId="2" borderId="0" xfId="0" applyNumberFormat="1" applyFont="1" applyFill="1"/>
    <xf numFmtId="42" fontId="10" fillId="2" borderId="3" xfId="4" applyFont="1" applyFill="1" applyBorder="1" applyAlignment="1">
      <alignment horizontal="left" vertical="center"/>
    </xf>
    <xf numFmtId="0" fontId="20" fillId="0" borderId="0" xfId="0" applyFont="1" applyAlignment="1">
      <alignment horizontal="left"/>
    </xf>
    <xf numFmtId="41" fontId="10" fillId="2" borderId="3" xfId="2" applyFont="1" applyFill="1" applyBorder="1" applyAlignment="1">
      <alignment horizontal="center"/>
    </xf>
    <xf numFmtId="42" fontId="0" fillId="0" borderId="0" xfId="0" applyNumberFormat="1"/>
    <xf numFmtId="0" fontId="15" fillId="0" borderId="0" xfId="0" applyFont="1"/>
    <xf numFmtId="41" fontId="0" fillId="0" borderId="0" xfId="2" applyFont="1"/>
    <xf numFmtId="0" fontId="20" fillId="4" borderId="14"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0" fillId="0" borderId="0" xfId="0" applyAlignment="1">
      <alignment horizontal="center"/>
    </xf>
    <xf numFmtId="41" fontId="0" fillId="0" borderId="2" xfId="2" applyFont="1" applyBorder="1"/>
    <xf numFmtId="0" fontId="3" fillId="5" borderId="3" xfId="0" applyFont="1" applyFill="1" applyBorder="1" applyAlignment="1">
      <alignment horizontal="center" vertical="center"/>
    </xf>
    <xf numFmtId="0" fontId="3" fillId="5" borderId="3" xfId="0" applyFont="1" applyFill="1" applyBorder="1" applyAlignment="1">
      <alignment horizontal="center"/>
    </xf>
    <xf numFmtId="41" fontId="10" fillId="0" borderId="0" xfId="0" applyNumberFormat="1" applyFont="1"/>
    <xf numFmtId="164" fontId="22" fillId="2" borderId="3" xfId="0" applyNumberFormat="1" applyFont="1" applyFill="1" applyBorder="1" applyAlignment="1">
      <alignment horizontal="center" vertical="center" wrapText="1"/>
    </xf>
    <xf numFmtId="0" fontId="2" fillId="2" borderId="3" xfId="0" applyFont="1" applyFill="1" applyBorder="1" applyAlignment="1">
      <alignment horizontal="center" wrapText="1"/>
    </xf>
    <xf numFmtId="0" fontId="3" fillId="0" borderId="3" xfId="0" applyFont="1" applyFill="1" applyBorder="1" applyAlignment="1">
      <alignment horizontal="center" vertical="center"/>
    </xf>
    <xf numFmtId="0" fontId="2" fillId="0" borderId="3" xfId="0" applyFont="1" applyBorder="1" applyAlignment="1">
      <alignment horizontal="center" vertical="center"/>
    </xf>
    <xf numFmtId="0" fontId="15" fillId="5" borderId="3" xfId="0" applyFont="1" applyFill="1" applyBorder="1" applyAlignment="1">
      <alignment horizontal="center" vertical="center" wrapText="1"/>
    </xf>
    <xf numFmtId="0" fontId="15" fillId="5" borderId="2" xfId="0" applyFont="1" applyFill="1" applyBorder="1" applyAlignment="1">
      <alignment horizontal="center" vertical="center" wrapText="1"/>
    </xf>
    <xf numFmtId="41" fontId="15" fillId="5" borderId="3" xfId="2" applyFont="1" applyFill="1" applyBorder="1" applyAlignment="1">
      <alignment vertical="center"/>
    </xf>
    <xf numFmtId="14" fontId="15" fillId="0" borderId="3" xfId="0" applyNumberFormat="1" applyFont="1" applyFill="1" applyBorder="1" applyAlignment="1">
      <alignment horizontal="center" vertical="center"/>
    </xf>
    <xf numFmtId="41" fontId="0" fillId="0" borderId="3" xfId="0" applyNumberFormat="1" applyBorder="1"/>
    <xf numFmtId="14" fontId="21" fillId="0" borderId="0" xfId="0" applyNumberFormat="1" applyFont="1"/>
    <xf numFmtId="0" fontId="23" fillId="8" borderId="0" xfId="0" applyFont="1" applyFill="1" applyAlignment="1">
      <alignment horizontal="center"/>
    </xf>
    <xf numFmtId="0" fontId="0" fillId="10" borderId="3" xfId="0" applyFont="1" applyFill="1" applyBorder="1" applyAlignment="1">
      <alignment horizontal="center"/>
    </xf>
    <xf numFmtId="0" fontId="20" fillId="2" borderId="0" xfId="0" applyFont="1" applyFill="1" applyAlignment="1">
      <alignment horizontal="left"/>
    </xf>
    <xf numFmtId="0" fontId="15" fillId="2" borderId="0" xfId="0" applyFont="1" applyFill="1" applyAlignment="1">
      <alignment horizontal="left"/>
    </xf>
    <xf numFmtId="0" fontId="16" fillId="2" borderId="0" xfId="0" applyFont="1" applyFill="1" applyAlignment="1"/>
    <xf numFmtId="42" fontId="11" fillId="0" borderId="10" xfId="4" applyFont="1" applyFill="1" applyBorder="1" applyAlignment="1">
      <alignment horizontal="left" vertical="center"/>
    </xf>
    <xf numFmtId="0" fontId="25" fillId="2" borderId="0" xfId="0" applyFont="1" applyFill="1"/>
    <xf numFmtId="42" fontId="15" fillId="0" borderId="0" xfId="4" applyFont="1" applyFill="1" applyBorder="1" applyAlignment="1"/>
    <xf numFmtId="164" fontId="2" fillId="0" borderId="0" xfId="0" applyNumberFormat="1" applyFont="1" applyFill="1" applyBorder="1" applyAlignment="1"/>
    <xf numFmtId="41" fontId="0" fillId="10" borderId="3" xfId="2" applyFont="1" applyFill="1" applyBorder="1" applyAlignment="1">
      <alignment horizontal="center" vertical="center"/>
    </xf>
    <xf numFmtId="41" fontId="0" fillId="10" borderId="3" xfId="2" applyFont="1" applyFill="1" applyBorder="1" applyAlignment="1">
      <alignment horizontal="center"/>
    </xf>
    <xf numFmtId="0" fontId="0" fillId="0" borderId="0" xfId="0" applyFont="1" applyAlignment="1">
      <alignment vertical="center"/>
    </xf>
    <xf numFmtId="0" fontId="20" fillId="0" borderId="0" xfId="0" applyFont="1" applyAlignment="1">
      <alignment horizontal="center" vertic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 xfId="0" applyFont="1" applyFill="1" applyBorder="1" applyAlignment="1">
      <alignment horizontal="left" vertical="center"/>
    </xf>
    <xf numFmtId="0" fontId="0" fillId="2" borderId="3" xfId="0" applyFont="1" applyFill="1" applyBorder="1" applyAlignment="1">
      <alignment vertical="center"/>
    </xf>
    <xf numFmtId="0" fontId="0" fillId="2" borderId="33" xfId="0" applyFont="1" applyFill="1" applyBorder="1" applyAlignment="1">
      <alignment vertical="center"/>
    </xf>
    <xf numFmtId="0" fontId="0" fillId="2" borderId="33" xfId="0" applyFont="1" applyFill="1" applyBorder="1" applyAlignment="1">
      <alignment horizontal="center" vertical="center"/>
    </xf>
    <xf numFmtId="0" fontId="0" fillId="0" borderId="0" xfId="0" applyFont="1" applyFill="1" applyAlignment="1">
      <alignment vertical="center"/>
    </xf>
    <xf numFmtId="0" fontId="10" fillId="2" borderId="0" xfId="0" applyFont="1" applyFill="1" applyBorder="1" applyAlignment="1">
      <alignment horizontal="left" vertical="center"/>
    </xf>
    <xf numFmtId="41" fontId="10" fillId="2" borderId="0" xfId="0" applyNumberFormat="1" applyFont="1" applyFill="1" applyBorder="1" applyAlignment="1">
      <alignment horizontal="left" vertical="center"/>
    </xf>
    <xf numFmtId="0" fontId="10" fillId="2" borderId="0" xfId="0" applyFont="1" applyFill="1" applyAlignment="1">
      <alignment horizontal="left" vertical="center"/>
    </xf>
    <xf numFmtId="42" fontId="11" fillId="0" borderId="3" xfId="4" applyFont="1" applyFill="1" applyBorder="1" applyAlignment="1">
      <alignment horizontal="left" vertical="center"/>
    </xf>
    <xf numFmtId="42" fontId="0" fillId="2" borderId="0" xfId="4" applyFont="1" applyFill="1" applyBorder="1" applyAlignment="1">
      <alignment vertical="center"/>
    </xf>
    <xf numFmtId="0" fontId="2" fillId="2" borderId="0" xfId="0" applyFont="1" applyFill="1" applyAlignment="1">
      <alignment vertical="center" wrapText="1"/>
    </xf>
    <xf numFmtId="41" fontId="2" fillId="2" borderId="0" xfId="2" applyFont="1" applyFill="1" applyAlignment="1">
      <alignment horizontal="center" vertical="center"/>
    </xf>
    <xf numFmtId="0" fontId="9" fillId="4" borderId="35" xfId="0" applyFont="1" applyFill="1" applyBorder="1" applyAlignment="1">
      <alignment horizontal="center" vertical="center" wrapText="1"/>
    </xf>
    <xf numFmtId="42" fontId="10" fillId="2" borderId="9" xfId="4" applyFont="1" applyFill="1" applyBorder="1" applyAlignment="1">
      <alignment horizontal="left" vertical="center"/>
    </xf>
    <xf numFmtId="0" fontId="0" fillId="3" borderId="37" xfId="0" applyFont="1" applyFill="1" applyBorder="1" applyAlignment="1">
      <alignment vertical="center"/>
    </xf>
    <xf numFmtId="0" fontId="0" fillId="3" borderId="38" xfId="0" applyFont="1" applyFill="1" applyBorder="1" applyAlignment="1">
      <alignment vertical="center"/>
    </xf>
    <xf numFmtId="0" fontId="0" fillId="3" borderId="38" xfId="0" applyFont="1" applyFill="1" applyBorder="1" applyAlignment="1">
      <alignment horizontal="center" vertical="center"/>
    </xf>
    <xf numFmtId="42" fontId="0" fillId="3" borderId="38" xfId="4" applyFont="1" applyFill="1" applyBorder="1" applyAlignment="1">
      <alignment vertical="center"/>
    </xf>
    <xf numFmtId="42" fontId="3" fillId="3" borderId="39" xfId="4" applyFont="1" applyFill="1" applyBorder="1" applyAlignment="1">
      <alignment vertical="center"/>
    </xf>
    <xf numFmtId="164" fontId="9" fillId="5" borderId="18" xfId="0" applyNumberFormat="1" applyFont="1" applyFill="1" applyBorder="1" applyAlignment="1">
      <alignment vertical="center"/>
    </xf>
    <xf numFmtId="41" fontId="0" fillId="2" borderId="42" xfId="2" applyFont="1" applyFill="1" applyBorder="1"/>
    <xf numFmtId="41" fontId="15" fillId="5" borderId="22" xfId="2" applyFont="1" applyFill="1" applyBorder="1" applyAlignment="1">
      <alignment vertical="center"/>
    </xf>
    <xf numFmtId="17" fontId="10" fillId="2" borderId="3" xfId="0" applyNumberFormat="1" applyFont="1" applyFill="1" applyBorder="1" applyAlignment="1">
      <alignment horizontal="center"/>
    </xf>
    <xf numFmtId="0" fontId="10" fillId="2" borderId="0" xfId="0" applyFont="1" applyFill="1" applyBorder="1" applyAlignment="1">
      <alignment vertical="center"/>
    </xf>
    <xf numFmtId="0" fontId="4" fillId="2" borderId="0" xfId="0" applyFont="1" applyFill="1" applyBorder="1" applyAlignment="1">
      <alignment vertical="center"/>
    </xf>
    <xf numFmtId="0" fontId="2" fillId="2" borderId="0" xfId="0" applyFont="1" applyFill="1" applyBorder="1" applyAlignment="1">
      <alignment vertical="center"/>
    </xf>
    <xf numFmtId="0" fontId="2" fillId="0" borderId="0" xfId="0" applyFont="1" applyBorder="1" applyAlignment="1">
      <alignment vertical="center"/>
    </xf>
    <xf numFmtId="0" fontId="9" fillId="6" borderId="18" xfId="0" applyFont="1" applyFill="1" applyBorder="1" applyAlignment="1">
      <alignment horizontal="center" vertical="center" wrapText="1"/>
    </xf>
    <xf numFmtId="0" fontId="4" fillId="2" borderId="0" xfId="0" applyFont="1" applyFill="1" applyBorder="1" applyAlignment="1">
      <alignment horizontal="center" vertical="center"/>
    </xf>
    <xf numFmtId="0" fontId="12" fillId="2" borderId="8"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vertical="center"/>
    </xf>
    <xf numFmtId="14" fontId="10" fillId="0" borderId="3" xfId="0" applyNumberFormat="1" applyFont="1" applyFill="1" applyBorder="1" applyAlignment="1">
      <alignment vertical="center"/>
    </xf>
    <xf numFmtId="0" fontId="10" fillId="0" borderId="3" xfId="0" applyFont="1" applyFill="1" applyBorder="1" applyAlignment="1">
      <alignment horizontal="right" vertical="center"/>
    </xf>
    <xf numFmtId="0" fontId="0" fillId="2" borderId="0" xfId="0" applyFont="1" applyFill="1" applyBorder="1" applyAlignment="1">
      <alignment vertical="center"/>
    </xf>
    <xf numFmtId="0" fontId="10"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24" fillId="0" borderId="0" xfId="0" applyFont="1" applyFill="1" applyBorder="1" applyAlignment="1">
      <alignment vertical="center"/>
    </xf>
    <xf numFmtId="0" fontId="23" fillId="2" borderId="3" xfId="0" applyFont="1" applyFill="1" applyBorder="1" applyAlignment="1">
      <alignment vertical="center"/>
    </xf>
    <xf numFmtId="42" fontId="23" fillId="2" borderId="3" xfId="4" applyFont="1" applyFill="1" applyBorder="1" applyAlignment="1">
      <alignment vertical="center"/>
    </xf>
    <xf numFmtId="0" fontId="0" fillId="2" borderId="44" xfId="0" applyFont="1" applyFill="1" applyBorder="1" applyAlignment="1">
      <alignment vertical="center"/>
    </xf>
    <xf numFmtId="0" fontId="10" fillId="2" borderId="32" xfId="0" applyFont="1" applyFill="1" applyBorder="1" applyAlignment="1">
      <alignment horizontal="center" vertical="center"/>
    </xf>
    <xf numFmtId="0" fontId="8" fillId="2" borderId="0" xfId="0" applyFont="1" applyFill="1" applyBorder="1" applyAlignment="1">
      <alignment vertical="center"/>
    </xf>
    <xf numFmtId="0" fontId="16" fillId="2" borderId="0" xfId="0" applyFont="1" applyFill="1" applyAlignment="1">
      <alignment horizontal="left"/>
    </xf>
    <xf numFmtId="14" fontId="20" fillId="2" borderId="3" xfId="0" applyNumberFormat="1" applyFont="1" applyFill="1" applyBorder="1" applyAlignment="1">
      <alignment horizontal="right"/>
    </xf>
    <xf numFmtId="0" fontId="20" fillId="2" borderId="3" xfId="0" applyFont="1" applyFill="1" applyBorder="1" applyAlignment="1">
      <alignment horizontal="right"/>
    </xf>
    <xf numFmtId="0" fontId="3" fillId="2" borderId="3" xfId="0" applyFont="1" applyFill="1" applyBorder="1" applyAlignment="1">
      <alignment horizontal="left" vertical="center"/>
    </xf>
    <xf numFmtId="14" fontId="3" fillId="2" borderId="3" xfId="0" applyNumberFormat="1" applyFont="1" applyFill="1" applyBorder="1" applyAlignment="1">
      <alignment horizontal="center" vertical="center"/>
    </xf>
    <xf numFmtId="0" fontId="8" fillId="2" borderId="3" xfId="0" applyFont="1" applyFill="1" applyBorder="1" applyAlignment="1">
      <alignment horizontal="center" vertical="center"/>
    </xf>
    <xf numFmtId="0" fontId="19" fillId="2" borderId="3" xfId="0" applyFont="1" applyFill="1" applyBorder="1" applyAlignment="1">
      <alignment horizontal="center" vertical="center"/>
    </xf>
    <xf numFmtId="17" fontId="10" fillId="2" borderId="36" xfId="0" applyNumberFormat="1" applyFont="1" applyFill="1" applyBorder="1" applyAlignment="1">
      <alignment horizontal="center" vertical="center"/>
    </xf>
    <xf numFmtId="17" fontId="10" fillId="2" borderId="8" xfId="0" applyNumberFormat="1" applyFont="1" applyFill="1" applyBorder="1" applyAlignment="1">
      <alignment horizontal="center" vertical="center"/>
    </xf>
    <xf numFmtId="17" fontId="10" fillId="2" borderId="3" xfId="0" applyNumberFormat="1" applyFont="1" applyFill="1" applyBorder="1" applyAlignment="1">
      <alignment horizontal="left" vertical="center" wrapText="1"/>
    </xf>
    <xf numFmtId="0" fontId="9" fillId="4" borderId="46" xfId="0" applyFont="1" applyFill="1" applyBorder="1" applyAlignment="1">
      <alignment horizontal="center" vertical="center" wrapText="1"/>
    </xf>
    <xf numFmtId="14" fontId="10" fillId="2" borderId="3" xfId="0" applyNumberFormat="1" applyFont="1" applyFill="1" applyBorder="1" applyAlignment="1">
      <alignment horizontal="left"/>
    </xf>
    <xf numFmtId="164" fontId="11" fillId="5" borderId="3" xfId="0" applyNumberFormat="1" applyFont="1" applyFill="1" applyBorder="1" applyAlignment="1">
      <alignment horizontal="center" vertical="center"/>
    </xf>
    <xf numFmtId="168" fontId="10" fillId="5" borderId="3" xfId="0" applyNumberFormat="1" applyFont="1" applyFill="1" applyBorder="1"/>
    <xf numFmtId="0" fontId="16" fillId="2" borderId="0" xfId="0" applyFont="1" applyFill="1" applyBorder="1"/>
    <xf numFmtId="0" fontId="9" fillId="2" borderId="0" xfId="0" applyFont="1" applyFill="1" applyBorder="1"/>
    <xf numFmtId="0" fontId="15" fillId="2" borderId="3" xfId="0" applyFont="1" applyFill="1" applyBorder="1" applyAlignment="1"/>
    <xf numFmtId="14" fontId="15" fillId="2" borderId="3" xfId="0" applyNumberFormat="1" applyFont="1" applyFill="1" applyBorder="1" applyAlignment="1">
      <alignment horizontal="right"/>
    </xf>
    <xf numFmtId="0" fontId="15" fillId="2" borderId="3" xfId="0" applyFont="1" applyFill="1" applyBorder="1" applyAlignment="1">
      <alignment horizontal="left"/>
    </xf>
    <xf numFmtId="0" fontId="15" fillId="2" borderId="3" xfId="0" applyFont="1" applyFill="1" applyBorder="1" applyAlignment="1">
      <alignment horizontal="right"/>
    </xf>
    <xf numFmtId="0" fontId="16" fillId="0" borderId="0" xfId="0" applyFont="1" applyBorder="1" applyAlignment="1">
      <alignment vertical="center"/>
    </xf>
    <xf numFmtId="0" fontId="16" fillId="2" borderId="0" xfId="0" applyFont="1" applyFill="1" applyBorder="1" applyAlignment="1">
      <alignment vertical="center"/>
    </xf>
    <xf numFmtId="0" fontId="2" fillId="2" borderId="0" xfId="0" applyFont="1" applyFill="1" applyBorder="1" applyAlignment="1">
      <alignment horizontal="center" vertical="center"/>
    </xf>
    <xf numFmtId="0" fontId="7" fillId="2" borderId="0" xfId="0" applyFont="1" applyFill="1" applyBorder="1" applyAlignment="1">
      <alignment vertical="center"/>
    </xf>
    <xf numFmtId="0" fontId="16"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3" xfId="0" applyFont="1" applyFill="1" applyBorder="1" applyAlignment="1">
      <alignment horizontal="right" vertical="center"/>
    </xf>
    <xf numFmtId="14" fontId="10" fillId="0" borderId="3" xfId="0" applyNumberFormat="1" applyFont="1" applyFill="1" applyBorder="1" applyAlignment="1">
      <alignment horizontal="right" vertical="center"/>
    </xf>
    <xf numFmtId="0" fontId="20" fillId="0" borderId="0" xfId="0" applyFont="1" applyFill="1" applyBorder="1" applyAlignment="1">
      <alignment horizontal="left" vertical="center"/>
    </xf>
    <xf numFmtId="0" fontId="20" fillId="0" borderId="0" xfId="0" applyFont="1" applyBorder="1" applyAlignment="1">
      <alignment horizontal="left" vertical="center"/>
    </xf>
    <xf numFmtId="0" fontId="9" fillId="5" borderId="32" xfId="0" applyFont="1" applyFill="1" applyBorder="1" applyAlignment="1">
      <alignment horizontal="center" vertical="center"/>
    </xf>
    <xf numFmtId="0" fontId="9" fillId="5" borderId="33" xfId="0" applyFont="1" applyFill="1" applyBorder="1" applyAlignment="1">
      <alignment vertical="center"/>
    </xf>
    <xf numFmtId="164" fontId="9" fillId="5" borderId="33" xfId="0" applyNumberFormat="1" applyFont="1" applyFill="1" applyBorder="1" applyAlignment="1">
      <alignment vertical="center"/>
    </xf>
    <xf numFmtId="168" fontId="9" fillId="5" borderId="34" xfId="0" applyNumberFormat="1" applyFont="1" applyFill="1" applyBorder="1" applyAlignment="1">
      <alignment vertical="center"/>
    </xf>
    <xf numFmtId="0" fontId="9" fillId="0" borderId="0" xfId="0" applyFont="1" applyFill="1" applyBorder="1" applyAlignment="1">
      <alignment horizontal="left"/>
    </xf>
    <xf numFmtId="0" fontId="10" fillId="0" borderId="0" xfId="0" applyFont="1" applyFill="1" applyBorder="1" applyAlignment="1">
      <alignment horizontal="right" vertical="center"/>
    </xf>
    <xf numFmtId="0" fontId="20" fillId="4" borderId="12" xfId="0" applyFont="1" applyFill="1" applyBorder="1" applyAlignment="1">
      <alignment horizontal="center" vertical="center" wrapText="1"/>
    </xf>
    <xf numFmtId="0" fontId="4" fillId="2" borderId="0" xfId="0" applyFont="1" applyFill="1"/>
    <xf numFmtId="0" fontId="20" fillId="2" borderId="0" xfId="0" applyFont="1" applyFill="1" applyBorder="1" applyAlignment="1">
      <alignment vertical="center"/>
    </xf>
    <xf numFmtId="0" fontId="20" fillId="2" borderId="0" xfId="0" applyFont="1" applyFill="1" applyBorder="1" applyAlignment="1">
      <alignment horizontal="center" vertical="center"/>
    </xf>
    <xf numFmtId="0" fontId="20" fillId="2" borderId="0" xfId="0" applyFont="1" applyFill="1" applyAlignment="1">
      <alignment horizontal="right"/>
    </xf>
    <xf numFmtId="0" fontId="20" fillId="0" borderId="0" xfId="0" applyFont="1" applyAlignment="1">
      <alignment horizontal="right"/>
    </xf>
    <xf numFmtId="164" fontId="28" fillId="2" borderId="1" xfId="0" applyNumberFormat="1" applyFont="1" applyFill="1" applyBorder="1" applyAlignment="1">
      <alignment horizontal="left" vertical="center"/>
    </xf>
    <xf numFmtId="164" fontId="28" fillId="2" borderId="9" xfId="0" applyNumberFormat="1" applyFont="1" applyFill="1" applyBorder="1" applyAlignment="1">
      <alignment horizontal="left" vertical="center"/>
    </xf>
    <xf numFmtId="164" fontId="28" fillId="2" borderId="49" xfId="0" applyNumberFormat="1" applyFont="1" applyFill="1" applyBorder="1" applyAlignment="1">
      <alignment horizontal="left" vertical="center"/>
    </xf>
    <xf numFmtId="164" fontId="20" fillId="9" borderId="16" xfId="0" applyNumberFormat="1" applyFont="1" applyFill="1" applyBorder="1"/>
    <xf numFmtId="164" fontId="20" fillId="9" borderId="18" xfId="0" applyNumberFormat="1" applyFont="1" applyFill="1" applyBorder="1"/>
    <xf numFmtId="0" fontId="20" fillId="0" borderId="0" xfId="0" applyFont="1" applyFill="1"/>
    <xf numFmtId="0" fontId="20" fillId="2" borderId="0" xfId="0" applyFont="1" applyFill="1"/>
    <xf numFmtId="41" fontId="21" fillId="2" borderId="0" xfId="2" applyFont="1" applyFill="1" applyAlignment="1">
      <alignment vertical="center"/>
    </xf>
    <xf numFmtId="164" fontId="11" fillId="11" borderId="1" xfId="0" applyNumberFormat="1" applyFont="1" applyFill="1" applyBorder="1" applyAlignment="1">
      <alignment horizontal="left" vertical="center"/>
    </xf>
    <xf numFmtId="164" fontId="11" fillId="11" borderId="9" xfId="0" applyNumberFormat="1" applyFont="1" applyFill="1" applyBorder="1" applyAlignment="1">
      <alignment horizontal="left" vertical="center"/>
    </xf>
    <xf numFmtId="164" fontId="11" fillId="11" borderId="49" xfId="0" applyNumberFormat="1" applyFont="1" applyFill="1" applyBorder="1" applyAlignment="1">
      <alignment horizontal="left" vertical="center"/>
    </xf>
    <xf numFmtId="42" fontId="9" fillId="5" borderId="18" xfId="0" applyNumberFormat="1" applyFont="1" applyFill="1" applyBorder="1" applyAlignment="1">
      <alignment vertical="center"/>
    </xf>
    <xf numFmtId="42" fontId="11" fillId="11" borderId="3" xfId="4" applyFont="1" applyFill="1" applyBorder="1" applyAlignment="1">
      <alignment vertical="center"/>
    </xf>
    <xf numFmtId="42" fontId="11" fillId="11" borderId="9" xfId="4" applyFont="1" applyFill="1" applyBorder="1" applyAlignment="1">
      <alignment vertical="center"/>
    </xf>
    <xf numFmtId="0" fontId="12" fillId="2" borderId="36" xfId="0" applyFont="1" applyFill="1" applyBorder="1" applyAlignment="1">
      <alignment horizontal="center" vertical="center" wrapText="1"/>
    </xf>
    <xf numFmtId="0" fontId="12" fillId="2" borderId="2" xfId="0" applyFont="1" applyFill="1" applyBorder="1" applyAlignment="1">
      <alignment horizontal="justify" vertical="center" wrapText="1"/>
    </xf>
    <xf numFmtId="164" fontId="11" fillId="2" borderId="2" xfId="0" applyNumberFormat="1" applyFont="1" applyFill="1" applyBorder="1" applyAlignment="1">
      <alignment vertical="center"/>
    </xf>
    <xf numFmtId="42" fontId="10" fillId="2" borderId="2" xfId="4" applyFont="1" applyFill="1" applyBorder="1" applyAlignment="1">
      <alignment vertical="center"/>
    </xf>
    <xf numFmtId="42" fontId="10" fillId="11" borderId="11" xfId="4" applyNumberFormat="1" applyFont="1" applyFill="1" applyBorder="1" applyAlignment="1">
      <alignment vertical="center"/>
    </xf>
    <xf numFmtId="42" fontId="11" fillId="11" borderId="11" xfId="4" applyFont="1" applyFill="1" applyBorder="1" applyAlignment="1">
      <alignment vertical="center"/>
    </xf>
    <xf numFmtId="0" fontId="9" fillId="6" borderId="32" xfId="0" applyFont="1" applyFill="1" applyBorder="1" applyAlignment="1">
      <alignment horizontal="center" vertical="center" wrapText="1"/>
    </xf>
    <xf numFmtId="0" fontId="9" fillId="6" borderId="33" xfId="0" applyFont="1" applyFill="1" applyBorder="1" applyAlignment="1">
      <alignment horizontal="center" vertical="center"/>
    </xf>
    <xf numFmtId="164" fontId="9" fillId="6" borderId="33" xfId="0" applyNumberFormat="1" applyFont="1" applyFill="1" applyBorder="1" applyAlignment="1">
      <alignment horizontal="center" vertical="center" wrapText="1"/>
    </xf>
    <xf numFmtId="164" fontId="9" fillId="6" borderId="34" xfId="0" applyNumberFormat="1"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14" xfId="0" applyFont="1" applyFill="1" applyBorder="1" applyAlignment="1">
      <alignment horizontal="center" vertical="center"/>
    </xf>
    <xf numFmtId="164" fontId="9" fillId="6" borderId="14" xfId="0" applyNumberFormat="1" applyFont="1" applyFill="1" applyBorder="1" applyAlignment="1">
      <alignment horizontal="center" vertical="center" wrapText="1"/>
    </xf>
    <xf numFmtId="164" fontId="9" fillId="6" borderId="15" xfId="0" applyNumberFormat="1" applyFont="1" applyFill="1" applyBorder="1" applyAlignment="1">
      <alignment horizontal="center" vertical="center" wrapText="1"/>
    </xf>
    <xf numFmtId="0" fontId="9" fillId="2" borderId="31" xfId="0" applyFont="1" applyFill="1" applyBorder="1" applyAlignment="1">
      <alignment horizontal="center" vertical="center" wrapText="1"/>
    </xf>
    <xf numFmtId="164" fontId="11" fillId="2" borderId="43" xfId="0" applyNumberFormat="1" applyFont="1" applyFill="1" applyBorder="1" applyAlignment="1">
      <alignment vertical="center"/>
    </xf>
    <xf numFmtId="17" fontId="12" fillId="2" borderId="4" xfId="2" applyNumberFormat="1" applyFont="1" applyFill="1" applyBorder="1" applyAlignment="1">
      <alignment horizontal="center" vertical="center" wrapText="1"/>
    </xf>
    <xf numFmtId="164" fontId="9" fillId="5" borderId="24" xfId="0" applyNumberFormat="1" applyFont="1" applyFill="1" applyBorder="1" applyAlignment="1">
      <alignment vertical="center"/>
    </xf>
    <xf numFmtId="17" fontId="12" fillId="2" borderId="6" xfId="2" applyNumberFormat="1" applyFont="1" applyFill="1" applyBorder="1" applyAlignment="1">
      <alignment horizontal="center" vertical="center" wrapText="1"/>
    </xf>
    <xf numFmtId="0" fontId="10" fillId="2" borderId="20" xfId="0" applyFont="1" applyFill="1" applyBorder="1" applyAlignment="1">
      <alignment vertical="center"/>
    </xf>
    <xf numFmtId="164" fontId="11" fillId="2" borderId="51" xfId="0" applyNumberFormat="1" applyFont="1" applyFill="1" applyBorder="1" applyAlignment="1">
      <alignment vertical="center"/>
    </xf>
    <xf numFmtId="17" fontId="12" fillId="2" borderId="38" xfId="2" applyNumberFormat="1" applyFont="1" applyFill="1" applyBorder="1" applyAlignment="1">
      <alignment horizontal="center" vertical="center" wrapText="1"/>
    </xf>
    <xf numFmtId="164" fontId="11" fillId="2" borderId="33" xfId="0" applyNumberFormat="1" applyFont="1" applyFill="1" applyBorder="1" applyAlignment="1">
      <alignment vertical="center"/>
    </xf>
    <xf numFmtId="164" fontId="11" fillId="2" borderId="40" xfId="0" applyNumberFormat="1" applyFont="1" applyFill="1" applyBorder="1" applyAlignment="1">
      <alignment vertical="center"/>
    </xf>
    <xf numFmtId="164" fontId="9" fillId="5" borderId="14" xfId="0" applyNumberFormat="1" applyFont="1" applyFill="1" applyBorder="1" applyAlignment="1">
      <alignment vertical="center"/>
    </xf>
    <xf numFmtId="164" fontId="20" fillId="9" borderId="12" xfId="0" applyNumberFormat="1" applyFont="1" applyFill="1" applyBorder="1"/>
    <xf numFmtId="0" fontId="10" fillId="2" borderId="0" xfId="0" applyFont="1" applyFill="1" applyAlignment="1">
      <alignment horizontal="center" vertical="center"/>
    </xf>
    <xf numFmtId="0" fontId="10" fillId="0" borderId="0" xfId="0" applyFont="1" applyFill="1" applyBorder="1" applyAlignment="1">
      <alignment vertical="center"/>
    </xf>
    <xf numFmtId="41" fontId="10" fillId="2" borderId="20" xfId="2" applyFont="1" applyFill="1" applyBorder="1" applyAlignment="1">
      <alignment vertical="center"/>
    </xf>
    <xf numFmtId="41" fontId="10" fillId="2" borderId="7" xfId="2" applyFont="1" applyFill="1" applyBorder="1" applyAlignment="1">
      <alignment vertical="center"/>
    </xf>
    <xf numFmtId="41" fontId="10" fillId="2" borderId="3" xfId="2" applyFont="1" applyFill="1" applyBorder="1" applyAlignment="1">
      <alignment vertical="center"/>
    </xf>
    <xf numFmtId="41" fontId="11" fillId="2" borderId="1" xfId="2" applyFont="1" applyFill="1" applyBorder="1" applyAlignment="1">
      <alignment horizontal="right" vertical="center"/>
    </xf>
    <xf numFmtId="41" fontId="11" fillId="2" borderId="23" xfId="2" applyFont="1" applyFill="1" applyBorder="1" applyAlignment="1">
      <alignment horizontal="right" vertical="center"/>
    </xf>
    <xf numFmtId="0" fontId="30" fillId="5" borderId="0" xfId="0" applyFont="1" applyFill="1" applyAlignment="1">
      <alignment horizontal="left"/>
    </xf>
    <xf numFmtId="0" fontId="31" fillId="5" borderId="0" xfId="0" applyFont="1" applyFill="1" applyAlignment="1">
      <alignment horizontal="center"/>
    </xf>
    <xf numFmtId="0" fontId="31" fillId="5" borderId="0" xfId="0" applyFont="1" applyFill="1"/>
    <xf numFmtId="0" fontId="31" fillId="2" borderId="0" xfId="0" applyFont="1" applyFill="1"/>
    <xf numFmtId="0" fontId="31" fillId="2" borderId="0" xfId="0" applyFont="1" applyFill="1" applyAlignment="1">
      <alignment horizontal="center"/>
    </xf>
    <xf numFmtId="164" fontId="11" fillId="5" borderId="0" xfId="0" applyNumberFormat="1" applyFont="1" applyFill="1" applyBorder="1"/>
    <xf numFmtId="164" fontId="11" fillId="5" borderId="0" xfId="0" applyNumberFormat="1" applyFont="1" applyFill="1" applyBorder="1" applyAlignment="1">
      <alignment horizontal="center"/>
    </xf>
    <xf numFmtId="9" fontId="31" fillId="5" borderId="0" xfId="0" applyNumberFormat="1" applyFont="1" applyFill="1" applyAlignment="1">
      <alignment horizontal="center"/>
    </xf>
    <xf numFmtId="42" fontId="31" fillId="5" borderId="0" xfId="4" applyFont="1" applyFill="1" applyAlignment="1">
      <alignment horizontal="center"/>
    </xf>
    <xf numFmtId="17" fontId="10" fillId="2" borderId="43" xfId="0" applyNumberFormat="1" applyFont="1" applyFill="1" applyBorder="1" applyAlignment="1">
      <alignment horizontal="center" vertical="center"/>
    </xf>
    <xf numFmtId="42" fontId="10" fillId="0" borderId="11" xfId="4" applyFont="1" applyFill="1" applyBorder="1" applyAlignment="1">
      <alignment horizontal="left" vertical="center"/>
    </xf>
    <xf numFmtId="42" fontId="0" fillId="2" borderId="0" xfId="4" applyFont="1" applyFill="1"/>
    <xf numFmtId="0" fontId="10" fillId="2" borderId="3" xfId="0" applyFont="1" applyFill="1" applyBorder="1" applyAlignment="1">
      <alignment horizontal="right"/>
    </xf>
    <xf numFmtId="0" fontId="11" fillId="2" borderId="3" xfId="0" applyFont="1" applyFill="1" applyBorder="1" applyAlignment="1">
      <alignment horizontal="left" vertical="center"/>
    </xf>
    <xf numFmtId="42" fontId="0" fillId="2" borderId="0" xfId="4" applyFont="1" applyFill="1" applyAlignment="1">
      <alignment horizontal="center"/>
    </xf>
    <xf numFmtId="42" fontId="0" fillId="2" borderId="0" xfId="0" applyNumberFormat="1" applyFont="1" applyFill="1" applyAlignment="1">
      <alignment horizontal="center"/>
    </xf>
    <xf numFmtId="166" fontId="0" fillId="2" borderId="3" xfId="4" applyNumberFormat="1" applyFont="1" applyFill="1" applyBorder="1" applyAlignment="1">
      <alignment horizontal="left" vertical="top"/>
    </xf>
    <xf numFmtId="14" fontId="0" fillId="0" borderId="3" xfId="0" applyNumberFormat="1" applyBorder="1"/>
    <xf numFmtId="0" fontId="32" fillId="0" borderId="3" xfId="0" applyFont="1" applyBorder="1"/>
    <xf numFmtId="41" fontId="32" fillId="0" borderId="3" xfId="2" applyFont="1" applyBorder="1" applyAlignment="1">
      <alignment horizontal="right" vertical="center"/>
    </xf>
    <xf numFmtId="42" fontId="0" fillId="2" borderId="0" xfId="0" applyNumberFormat="1" applyFont="1" applyFill="1" applyAlignment="1">
      <alignment vertical="center"/>
    </xf>
    <xf numFmtId="0" fontId="11" fillId="2" borderId="0" xfId="0" applyFont="1" applyFill="1" applyBorder="1" applyAlignment="1">
      <alignment horizontal="left" vertical="center"/>
    </xf>
    <xf numFmtId="17" fontId="11" fillId="2" borderId="8" xfId="0" applyNumberFormat="1"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xf>
    <xf numFmtId="17" fontId="11" fillId="2" borderId="10" xfId="0" applyNumberFormat="1" applyFont="1" applyFill="1" applyBorder="1" applyAlignment="1">
      <alignment horizontal="left" vertical="center" wrapText="1"/>
    </xf>
    <xf numFmtId="42" fontId="11" fillId="2" borderId="10" xfId="4" applyFont="1" applyFill="1" applyBorder="1" applyAlignment="1">
      <alignment horizontal="left" vertical="center"/>
    </xf>
    <xf numFmtId="9" fontId="12" fillId="2" borderId="0" xfId="5" applyFont="1" applyFill="1" applyAlignment="1">
      <alignment horizontal="center" vertical="center"/>
    </xf>
    <xf numFmtId="0" fontId="11" fillId="2" borderId="0" xfId="0" applyFont="1" applyFill="1" applyAlignment="1">
      <alignment horizontal="left" vertical="center"/>
    </xf>
    <xf numFmtId="42" fontId="0" fillId="2" borderId="0" xfId="4" applyFont="1" applyFill="1" applyAlignment="1">
      <alignment vertical="center"/>
    </xf>
    <xf numFmtId="42" fontId="11" fillId="0" borderId="10" xfId="4" applyFont="1" applyBorder="1" applyAlignment="1">
      <alignment horizontal="left" vertical="center"/>
    </xf>
    <xf numFmtId="42" fontId="10" fillId="0" borderId="11" xfId="4" applyFont="1" applyBorder="1" applyAlignment="1">
      <alignment horizontal="left" vertical="center"/>
    </xf>
    <xf numFmtId="1" fontId="0" fillId="2" borderId="0" xfId="0" applyNumberFormat="1" applyFont="1" applyFill="1" applyAlignment="1">
      <alignment vertical="center"/>
    </xf>
    <xf numFmtId="1" fontId="8" fillId="0" borderId="0" xfId="0" applyNumberFormat="1" applyFont="1" applyBorder="1" applyAlignment="1">
      <alignment vertical="center"/>
    </xf>
    <xf numFmtId="1" fontId="8" fillId="0" borderId="0" xfId="0" applyNumberFormat="1" applyFont="1" applyBorder="1" applyAlignment="1">
      <alignment horizontal="center" vertical="center"/>
    </xf>
    <xf numFmtId="1" fontId="10" fillId="2" borderId="0" xfId="0" applyNumberFormat="1" applyFont="1" applyFill="1" applyAlignment="1">
      <alignment vertical="center"/>
    </xf>
    <xf numFmtId="1" fontId="3" fillId="2" borderId="0" xfId="5" applyNumberFormat="1" applyFont="1" applyFill="1" applyBorder="1" applyAlignment="1">
      <alignment vertical="center"/>
    </xf>
    <xf numFmtId="1" fontId="9" fillId="2" borderId="0" xfId="0" applyNumberFormat="1" applyFont="1" applyFill="1" applyAlignment="1">
      <alignment horizontal="center" vertical="center"/>
    </xf>
    <xf numFmtId="1" fontId="12" fillId="2" borderId="0" xfId="0" applyNumberFormat="1" applyFont="1" applyFill="1" applyAlignment="1">
      <alignment horizontal="center" vertical="center"/>
    </xf>
    <xf numFmtId="168" fontId="9" fillId="5" borderId="33" xfId="0" applyNumberFormat="1" applyFont="1" applyFill="1" applyBorder="1" applyAlignment="1">
      <alignment vertical="center"/>
    </xf>
    <xf numFmtId="166" fontId="10" fillId="11" borderId="2" xfId="4" applyNumberFormat="1" applyFont="1" applyFill="1" applyBorder="1" applyAlignment="1">
      <alignment vertical="center"/>
    </xf>
    <xf numFmtId="41" fontId="11" fillId="8" borderId="9" xfId="2" applyFont="1" applyFill="1" applyBorder="1" applyAlignment="1">
      <alignment vertical="center"/>
    </xf>
    <xf numFmtId="0" fontId="0" fillId="8" borderId="9" xfId="0" applyFont="1" applyFill="1" applyBorder="1" applyAlignment="1">
      <alignment vertical="center"/>
    </xf>
    <xf numFmtId="0" fontId="0" fillId="8" borderId="34" xfId="0" applyFont="1" applyFill="1" applyBorder="1" applyAlignment="1">
      <alignment vertical="center"/>
    </xf>
    <xf numFmtId="0" fontId="32" fillId="0" borderId="3" xfId="0" applyFont="1" applyBorder="1" applyAlignment="1">
      <alignment vertical="center"/>
    </xf>
    <xf numFmtId="168" fontId="10" fillId="5" borderId="3" xfId="0" applyNumberFormat="1" applyFont="1" applyFill="1" applyBorder="1" applyAlignment="1">
      <alignment horizontal="center"/>
    </xf>
    <xf numFmtId="168" fontId="11" fillId="5" borderId="3" xfId="0" applyNumberFormat="1" applyFont="1" applyFill="1" applyBorder="1" applyAlignment="1">
      <alignment horizontal="center" vertical="center"/>
    </xf>
    <xf numFmtId="168" fontId="3" fillId="7" borderId="3" xfId="0" applyNumberFormat="1" applyFont="1" applyFill="1" applyBorder="1"/>
    <xf numFmtId="0" fontId="11" fillId="2" borderId="3" xfId="0" applyFont="1" applyFill="1" applyBorder="1"/>
    <xf numFmtId="17" fontId="11" fillId="2" borderId="3" xfId="0" applyNumberFormat="1" applyFont="1" applyFill="1" applyBorder="1" applyAlignment="1">
      <alignment horizontal="center"/>
    </xf>
    <xf numFmtId="0" fontId="11" fillId="2" borderId="3" xfId="0" applyFont="1" applyFill="1" applyBorder="1" applyAlignment="1">
      <alignment horizontal="right"/>
    </xf>
    <xf numFmtId="0" fontId="11" fillId="2" borderId="3" xfId="0" applyFont="1" applyFill="1" applyBorder="1" applyAlignment="1">
      <alignment horizontal="center"/>
    </xf>
    <xf numFmtId="168" fontId="11" fillId="2" borderId="3" xfId="0" applyNumberFormat="1" applyFont="1" applyFill="1" applyBorder="1"/>
    <xf numFmtId="164" fontId="31" fillId="2" borderId="0" xfId="0" applyNumberFormat="1" applyFont="1" applyFill="1"/>
    <xf numFmtId="42" fontId="31" fillId="2" borderId="0" xfId="4" applyFont="1" applyFill="1"/>
    <xf numFmtId="0" fontId="10" fillId="2" borderId="1" xfId="0" applyFont="1" applyFill="1" applyBorder="1" applyAlignment="1">
      <alignment vertical="center"/>
    </xf>
    <xf numFmtId="0" fontId="10" fillId="2" borderId="22" xfId="0" applyFont="1" applyFill="1" applyBorder="1"/>
    <xf numFmtId="17" fontId="10" fillId="2" borderId="3" xfId="0" applyNumberFormat="1" applyFont="1" applyFill="1" applyBorder="1" applyAlignment="1">
      <alignment horizontal="center" vertical="center"/>
    </xf>
    <xf numFmtId="1" fontId="0" fillId="2" borderId="0" xfId="0" applyNumberFormat="1" applyFont="1" applyFill="1" applyAlignment="1">
      <alignment horizontal="center"/>
    </xf>
    <xf numFmtId="1" fontId="8" fillId="2" borderId="0" xfId="0" applyNumberFormat="1" applyFont="1" applyFill="1" applyBorder="1" applyAlignment="1">
      <alignment horizontal="center" vertical="center"/>
    </xf>
    <xf numFmtId="1" fontId="0" fillId="2" borderId="0" xfId="0" applyNumberFormat="1" applyFont="1" applyFill="1" applyAlignment="1">
      <alignment horizontal="center" vertical="center"/>
    </xf>
    <xf numFmtId="1" fontId="20" fillId="4" borderId="17" xfId="0" applyNumberFormat="1" applyFont="1" applyFill="1" applyBorder="1" applyAlignment="1">
      <alignment horizontal="center" vertical="center" wrapText="1"/>
    </xf>
    <xf numFmtId="1" fontId="0" fillId="2" borderId="0" xfId="4" applyNumberFormat="1" applyFont="1" applyFill="1" applyBorder="1" applyAlignment="1">
      <alignment horizontal="center"/>
    </xf>
    <xf numFmtId="0" fontId="9" fillId="0" borderId="3" xfId="0" applyFont="1" applyFill="1" applyBorder="1" applyAlignment="1">
      <alignment horizontal="left" vertical="center"/>
    </xf>
    <xf numFmtId="0" fontId="12" fillId="2" borderId="45" xfId="0" applyFont="1" applyFill="1" applyBorder="1" applyAlignment="1">
      <alignment horizontal="center" vertical="center" wrapText="1"/>
    </xf>
    <xf numFmtId="0" fontId="8" fillId="0" borderId="0" xfId="0" applyFont="1" applyBorder="1" applyAlignment="1">
      <alignment horizontal="center" vertical="center"/>
    </xf>
    <xf numFmtId="0" fontId="8" fillId="2" borderId="0" xfId="0" applyFont="1" applyFill="1" applyBorder="1" applyAlignment="1">
      <alignment horizontal="center" vertical="center"/>
    </xf>
    <xf numFmtId="0" fontId="10" fillId="2" borderId="3" xfId="0" applyFont="1" applyFill="1" applyBorder="1" applyAlignment="1">
      <alignment horizontal="left"/>
    </xf>
    <xf numFmtId="0" fontId="3" fillId="7" borderId="1" xfId="0" applyFont="1" applyFill="1" applyBorder="1" applyAlignment="1">
      <alignment horizontal="center"/>
    </xf>
    <xf numFmtId="0" fontId="3" fillId="7" borderId="4" xfId="0" applyFont="1" applyFill="1" applyBorder="1" applyAlignment="1">
      <alignment horizontal="center"/>
    </xf>
    <xf numFmtId="0" fontId="8" fillId="2" borderId="0" xfId="0" applyFont="1" applyFill="1" applyAlignment="1">
      <alignment horizontal="center"/>
    </xf>
    <xf numFmtId="0" fontId="8" fillId="2" borderId="0" xfId="0" applyFont="1" applyFill="1" applyBorder="1" applyAlignment="1">
      <alignment horizontal="center"/>
    </xf>
    <xf numFmtId="0" fontId="3" fillId="5" borderId="2" xfId="0" applyFont="1" applyFill="1" applyBorder="1" applyAlignment="1">
      <alignment horizontal="center" vertical="center"/>
    </xf>
    <xf numFmtId="14" fontId="0" fillId="8" borderId="3" xfId="0" applyNumberFormat="1" applyFill="1" applyBorder="1"/>
    <xf numFmtId="166" fontId="0" fillId="8" borderId="3" xfId="4" applyNumberFormat="1" applyFont="1" applyFill="1" applyBorder="1"/>
    <xf numFmtId="41" fontId="0" fillId="8" borderId="22" xfId="2" applyFont="1" applyFill="1" applyBorder="1"/>
    <xf numFmtId="167" fontId="0" fillId="8" borderId="3" xfId="2" applyNumberFormat="1" applyFont="1" applyFill="1" applyBorder="1"/>
    <xf numFmtId="166" fontId="6" fillId="8" borderId="3" xfId="4" applyNumberFormat="1" applyFont="1" applyFill="1" applyBorder="1" applyAlignment="1">
      <alignment horizontal="right" vertical="center"/>
    </xf>
    <xf numFmtId="0" fontId="8" fillId="2" borderId="0" xfId="0" applyFont="1" applyFill="1" applyBorder="1" applyAlignment="1">
      <alignment horizontal="center" vertical="center"/>
    </xf>
    <xf numFmtId="10" fontId="9" fillId="5" borderId="0" xfId="5" applyNumberFormat="1" applyFont="1" applyFill="1" applyBorder="1" applyAlignment="1">
      <alignment horizontal="center" vertical="center"/>
    </xf>
    <xf numFmtId="0" fontId="8" fillId="2" borderId="0" xfId="0" applyFont="1" applyFill="1" applyBorder="1" applyAlignment="1">
      <alignment horizontal="left" vertical="center"/>
    </xf>
    <xf numFmtId="0" fontId="0" fillId="2" borderId="0" xfId="0" applyFont="1" applyFill="1" applyAlignment="1">
      <alignment horizontal="left" vertical="center"/>
    </xf>
    <xf numFmtId="0" fontId="20" fillId="4" borderId="17" xfId="0" applyFont="1" applyFill="1" applyBorder="1" applyAlignment="1">
      <alignment horizontal="left" vertical="center"/>
    </xf>
    <xf numFmtId="164" fontId="11" fillId="2" borderId="23" xfId="0" applyNumberFormat="1" applyFont="1" applyFill="1" applyBorder="1" applyAlignment="1">
      <alignment horizontal="left" vertical="center"/>
    </xf>
    <xf numFmtId="42" fontId="3" fillId="3" borderId="13" xfId="4" applyFont="1" applyFill="1" applyBorder="1" applyAlignment="1">
      <alignment horizontal="left"/>
    </xf>
    <xf numFmtId="42" fontId="3" fillId="0" borderId="0" xfId="4" applyFont="1" applyFill="1" applyBorder="1" applyAlignment="1">
      <alignment horizontal="left"/>
    </xf>
    <xf numFmtId="42" fontId="0" fillId="2" borderId="0" xfId="4" applyFont="1" applyFill="1" applyBorder="1" applyAlignment="1">
      <alignment horizontal="left"/>
    </xf>
    <xf numFmtId="0" fontId="35" fillId="2" borderId="0" xfId="0" applyFont="1" applyFill="1" applyAlignment="1">
      <alignment vertical="center"/>
    </xf>
    <xf numFmtId="0" fontId="21" fillId="2" borderId="0" xfId="0" applyFont="1" applyFill="1" applyAlignment="1">
      <alignment vertical="center"/>
    </xf>
    <xf numFmtId="0" fontId="34" fillId="2" borderId="0" xfId="0" applyFont="1" applyFill="1" applyAlignment="1">
      <alignment horizontal="center" vertical="center"/>
    </xf>
    <xf numFmtId="17" fontId="21" fillId="2" borderId="0" xfId="0" applyNumberFormat="1" applyFont="1" applyFill="1" applyAlignment="1">
      <alignment vertical="center"/>
    </xf>
    <xf numFmtId="41" fontId="21" fillId="2" borderId="0" xfId="0" applyNumberFormat="1" applyFont="1" applyFill="1" applyAlignment="1">
      <alignment vertical="center"/>
    </xf>
    <xf numFmtId="41" fontId="21" fillId="2" borderId="0" xfId="0" applyNumberFormat="1" applyFont="1" applyFill="1" applyAlignment="1">
      <alignment horizontal="center" vertical="center"/>
    </xf>
    <xf numFmtId="41" fontId="34" fillId="2" borderId="0" xfId="0" applyNumberFormat="1" applyFont="1" applyFill="1" applyAlignment="1">
      <alignment vertical="center"/>
    </xf>
    <xf numFmtId="41" fontId="11" fillId="8" borderId="3" xfId="2" applyFont="1" applyFill="1" applyBorder="1" applyAlignment="1">
      <alignment horizontal="center" vertical="center"/>
    </xf>
    <xf numFmtId="42" fontId="11" fillId="8" borderId="1" xfId="4" applyFont="1" applyFill="1" applyBorder="1" applyAlignment="1">
      <alignment horizontal="center" vertical="center"/>
    </xf>
    <xf numFmtId="0" fontId="0" fillId="8" borderId="1" xfId="0" applyFont="1" applyFill="1" applyBorder="1" applyAlignment="1">
      <alignment vertical="center"/>
    </xf>
    <xf numFmtId="0" fontId="0" fillId="8" borderId="48" xfId="0" applyFont="1" applyFill="1" applyBorder="1" applyAlignment="1">
      <alignment vertical="center"/>
    </xf>
    <xf numFmtId="42" fontId="3" fillId="2" borderId="0" xfId="0" applyNumberFormat="1" applyFont="1" applyFill="1" applyBorder="1" applyAlignment="1">
      <alignment vertical="center"/>
    </xf>
    <xf numFmtId="42" fontId="3" fillId="5" borderId="0" xfId="0" applyNumberFormat="1" applyFont="1" applyFill="1" applyBorder="1" applyAlignment="1">
      <alignment vertical="center"/>
    </xf>
    <xf numFmtId="41" fontId="3" fillId="5" borderId="0" xfId="2" applyFont="1" applyFill="1" applyBorder="1" applyAlignment="1">
      <alignment vertical="center"/>
    </xf>
    <xf numFmtId="0" fontId="31" fillId="5" borderId="0" xfId="0" applyFont="1" applyFill="1" applyAlignment="1">
      <alignment horizontal="center" vertical="center" wrapText="1"/>
    </xf>
    <xf numFmtId="42" fontId="31" fillId="5" borderId="0" xfId="4" applyFont="1" applyFill="1" applyAlignment="1">
      <alignment horizontal="center" wrapText="1"/>
    </xf>
    <xf numFmtId="42" fontId="10" fillId="8" borderId="3" xfId="4" applyFont="1" applyFill="1" applyBorder="1"/>
    <xf numFmtId="42" fontId="10" fillId="2" borderId="3" xfId="4" applyFont="1" applyFill="1" applyBorder="1"/>
    <xf numFmtId="0" fontId="10" fillId="2" borderId="23" xfId="0" applyFont="1" applyFill="1" applyBorder="1" applyAlignment="1">
      <alignment vertical="center"/>
    </xf>
    <xf numFmtId="42" fontId="3" fillId="3" borderId="13" xfId="4" applyFont="1" applyFill="1" applyBorder="1" applyAlignment="1">
      <alignment vertical="center"/>
    </xf>
    <xf numFmtId="42" fontId="3" fillId="0" borderId="0" xfId="4" applyFont="1" applyFill="1" applyBorder="1" applyAlignment="1">
      <alignment vertical="center"/>
    </xf>
    <xf numFmtId="0" fontId="31" fillId="5" borderId="0" xfId="0" applyFont="1" applyFill="1" applyAlignment="1">
      <alignment vertical="center"/>
    </xf>
    <xf numFmtId="0" fontId="31" fillId="2" borderId="0" xfId="0" applyFont="1" applyFill="1" applyAlignment="1">
      <alignment vertical="center"/>
    </xf>
    <xf numFmtId="0" fontId="31" fillId="5" borderId="0" xfId="0" applyFont="1" applyFill="1" applyAlignment="1">
      <alignment horizontal="center" vertical="center"/>
    </xf>
    <xf numFmtId="9" fontId="31" fillId="5" borderId="0" xfId="0" applyNumberFormat="1" applyFont="1" applyFill="1" applyAlignment="1">
      <alignment horizontal="center" vertical="center"/>
    </xf>
    <xf numFmtId="0" fontId="10" fillId="2" borderId="23" xfId="0" applyFont="1" applyFill="1" applyBorder="1" applyAlignment="1">
      <alignment horizontal="center"/>
    </xf>
    <xf numFmtId="0" fontId="10" fillId="8" borderId="3" xfId="0" applyFont="1" applyFill="1" applyBorder="1" applyAlignment="1">
      <alignment vertical="center"/>
    </xf>
    <xf numFmtId="164" fontId="11" fillId="2" borderId="4" xfId="0" applyNumberFormat="1" applyFont="1" applyFill="1" applyBorder="1" applyAlignment="1">
      <alignment horizontal="left" vertical="center"/>
    </xf>
    <xf numFmtId="42" fontId="3" fillId="3" borderId="52" xfId="4" applyFont="1" applyFill="1" applyBorder="1"/>
    <xf numFmtId="41" fontId="0" fillId="2" borderId="0" xfId="2" applyFont="1" applyFill="1" applyAlignment="1">
      <alignment vertical="center"/>
    </xf>
    <xf numFmtId="41" fontId="2" fillId="2" borderId="0" xfId="2" applyFont="1" applyFill="1" applyAlignment="1">
      <alignment vertical="center"/>
    </xf>
    <xf numFmtId="41" fontId="0" fillId="2" borderId="0" xfId="0" applyNumberFormat="1" applyFont="1" applyFill="1" applyAlignment="1">
      <alignment vertical="center"/>
    </xf>
    <xf numFmtId="41" fontId="31" fillId="2" borderId="0" xfId="2" applyFont="1" applyFill="1" applyAlignment="1">
      <alignment vertical="center"/>
    </xf>
    <xf numFmtId="164" fontId="11" fillId="8" borderId="1" xfId="0" applyNumberFormat="1" applyFont="1" applyFill="1" applyBorder="1" applyAlignment="1">
      <alignment horizontal="left" vertical="center"/>
    </xf>
    <xf numFmtId="0" fontId="10" fillId="12" borderId="3" xfId="0" applyFont="1" applyFill="1" applyBorder="1" applyAlignment="1">
      <alignment vertical="center"/>
    </xf>
    <xf numFmtId="41" fontId="0" fillId="2" borderId="0" xfId="0" applyNumberFormat="1" applyFont="1" applyFill="1" applyAlignment="1">
      <alignment horizontal="left" vertical="center"/>
    </xf>
    <xf numFmtId="164" fontId="11" fillId="8" borderId="1" xfId="0" applyNumberFormat="1" applyFont="1" applyFill="1" applyBorder="1" applyAlignment="1">
      <alignment horizontal="left" vertical="center" wrapText="1"/>
    </xf>
    <xf numFmtId="164" fontId="11" fillId="12" borderId="4" xfId="0" applyNumberFormat="1" applyFont="1" applyFill="1" applyBorder="1" applyAlignment="1">
      <alignment horizontal="left" vertical="center"/>
    </xf>
    <xf numFmtId="164" fontId="11" fillId="0" borderId="1" xfId="0" applyNumberFormat="1" applyFont="1" applyFill="1" applyBorder="1" applyAlignment="1">
      <alignment horizontal="left" vertical="center"/>
    </xf>
    <xf numFmtId="164" fontId="11" fillId="13" borderId="1" xfId="0" applyNumberFormat="1" applyFont="1" applyFill="1" applyBorder="1" applyAlignment="1">
      <alignment horizontal="left" vertical="center"/>
    </xf>
    <xf numFmtId="164" fontId="11" fillId="13" borderId="4" xfId="0" applyNumberFormat="1" applyFont="1" applyFill="1" applyBorder="1" applyAlignment="1">
      <alignment horizontal="left" vertical="center"/>
    </xf>
    <xf numFmtId="0" fontId="10" fillId="13" borderId="3" xfId="0" applyFont="1" applyFill="1" applyBorder="1" applyAlignment="1">
      <alignment vertical="center"/>
    </xf>
    <xf numFmtId="164" fontId="11" fillId="8" borderId="4" xfId="0" applyNumberFormat="1" applyFont="1" applyFill="1" applyBorder="1" applyAlignment="1">
      <alignment horizontal="left" vertical="center"/>
    </xf>
    <xf numFmtId="0" fontId="20" fillId="0" borderId="14" xfId="0" applyFont="1" applyFill="1" applyBorder="1" applyAlignment="1">
      <alignment horizontal="center" vertical="center" wrapText="1"/>
    </xf>
    <xf numFmtId="0" fontId="10" fillId="0" borderId="3" xfId="0" applyFont="1" applyFill="1" applyBorder="1" applyAlignment="1">
      <alignment vertical="center"/>
    </xf>
    <xf numFmtId="0" fontId="10" fillId="0" borderId="3" xfId="0" applyFont="1" applyFill="1" applyBorder="1"/>
    <xf numFmtId="0" fontId="20" fillId="0" borderId="26" xfId="0" applyFont="1" applyFill="1" applyBorder="1" applyAlignment="1">
      <alignment horizontal="center" vertical="center" wrapText="1"/>
    </xf>
    <xf numFmtId="0" fontId="0" fillId="2" borderId="3" xfId="0" applyFont="1" applyFill="1" applyBorder="1" applyAlignment="1">
      <alignment horizontal="center"/>
    </xf>
    <xf numFmtId="0" fontId="15" fillId="0" borderId="26" xfId="0" applyFont="1" applyFill="1" applyBorder="1" applyAlignment="1">
      <alignment horizontal="center" vertical="center" wrapText="1"/>
    </xf>
    <xf numFmtId="164" fontId="11" fillId="14" borderId="1" xfId="0" applyNumberFormat="1" applyFont="1" applyFill="1" applyBorder="1" applyAlignment="1">
      <alignment horizontal="left" vertical="center"/>
    </xf>
    <xf numFmtId="0" fontId="10" fillId="8" borderId="3" xfId="0" applyFont="1" applyFill="1" applyBorder="1"/>
    <xf numFmtId="164" fontId="11" fillId="14" borderId="4" xfId="0" applyNumberFormat="1" applyFont="1" applyFill="1" applyBorder="1" applyAlignment="1">
      <alignment horizontal="left" vertical="center"/>
    </xf>
    <xf numFmtId="0" fontId="10" fillId="14" borderId="22" xfId="0" applyFont="1" applyFill="1" applyBorder="1"/>
    <xf numFmtId="0" fontId="10" fillId="8" borderId="23" xfId="0" applyFont="1" applyFill="1" applyBorder="1" applyAlignment="1">
      <alignment horizontal="center"/>
    </xf>
    <xf numFmtId="0" fontId="10" fillId="8" borderId="22" xfId="0" applyFont="1" applyFill="1" applyBorder="1"/>
    <xf numFmtId="0" fontId="10" fillId="14" borderId="23" xfId="0" applyFont="1" applyFill="1" applyBorder="1" applyAlignment="1">
      <alignment horizontal="center"/>
    </xf>
    <xf numFmtId="0" fontId="22" fillId="2" borderId="0" xfId="0" applyFont="1" applyFill="1" applyAlignment="1">
      <alignment vertical="center"/>
    </xf>
    <xf numFmtId="0" fontId="22" fillId="2" borderId="0" xfId="0" applyFont="1" applyFill="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0" fontId="11" fillId="2" borderId="0" xfId="0" applyFont="1" applyFill="1" applyBorder="1" applyAlignment="1">
      <alignment vertical="center"/>
    </xf>
    <xf numFmtId="0" fontId="11" fillId="2" borderId="0" xfId="0" applyFont="1" applyFill="1" applyAlignment="1">
      <alignment vertical="center"/>
    </xf>
    <xf numFmtId="0" fontId="11" fillId="2" borderId="0" xfId="0" applyFont="1" applyFill="1" applyBorder="1" applyAlignment="1">
      <alignment horizontal="center" vertical="center" wrapText="1"/>
    </xf>
    <xf numFmtId="0" fontId="11" fillId="2" borderId="0" xfId="0" applyFont="1" applyFill="1" applyAlignment="1">
      <alignment horizontal="center" vertical="center" wrapText="1"/>
    </xf>
    <xf numFmtId="42" fontId="11" fillId="2" borderId="0" xfId="0" applyNumberFormat="1" applyFont="1" applyFill="1" applyBorder="1" applyAlignment="1">
      <alignment vertical="center"/>
    </xf>
    <xf numFmtId="42" fontId="11" fillId="2" borderId="0" xfId="4" applyFont="1" applyFill="1" applyAlignment="1">
      <alignment vertical="center"/>
    </xf>
    <xf numFmtId="42" fontId="11" fillId="2" borderId="0" xfId="0" applyNumberFormat="1" applyFont="1" applyFill="1" applyAlignment="1">
      <alignment vertical="center"/>
    </xf>
    <xf numFmtId="0" fontId="12" fillId="2" borderId="0" xfId="0" applyFont="1" applyFill="1" applyBorder="1" applyAlignment="1">
      <alignment vertical="center"/>
    </xf>
    <xf numFmtId="0" fontId="12" fillId="2" borderId="0" xfId="0" applyFont="1" applyFill="1" applyAlignment="1">
      <alignment vertical="center"/>
    </xf>
    <xf numFmtId="164" fontId="22" fillId="2" borderId="0" xfId="0" applyNumberFormat="1" applyFont="1" applyFill="1" applyAlignment="1">
      <alignment vertical="center"/>
    </xf>
    <xf numFmtId="164" fontId="35" fillId="2" borderId="0" xfId="0" applyNumberFormat="1" applyFont="1" applyFill="1" applyAlignment="1">
      <alignment vertical="center"/>
    </xf>
    <xf numFmtId="14" fontId="10" fillId="2" borderId="3" xfId="0" applyNumberFormat="1" applyFont="1" applyFill="1" applyBorder="1" applyAlignment="1">
      <alignment horizontal="right" vertical="center"/>
    </xf>
    <xf numFmtId="14" fontId="11" fillId="2" borderId="3" xfId="0" applyNumberFormat="1" applyFont="1" applyFill="1" applyBorder="1" applyAlignment="1">
      <alignment horizontal="right" vertical="center"/>
    </xf>
    <xf numFmtId="164" fontId="11" fillId="2" borderId="2" xfId="0" applyNumberFormat="1" applyFont="1" applyFill="1" applyBorder="1" applyAlignment="1">
      <alignment horizontal="center" vertical="center" wrapText="1"/>
    </xf>
    <xf numFmtId="164" fontId="11" fillId="2" borderId="3" xfId="0" applyNumberFormat="1" applyFont="1" applyFill="1" applyBorder="1" applyAlignment="1">
      <alignment horizontal="center" vertical="center" wrapText="1"/>
    </xf>
    <xf numFmtId="164" fontId="38" fillId="2" borderId="0" xfId="0" applyNumberFormat="1" applyFont="1" applyFill="1" applyAlignment="1">
      <alignment vertical="center"/>
    </xf>
    <xf numFmtId="0" fontId="38" fillId="2" borderId="0" xfId="0" applyFont="1" applyFill="1" applyAlignment="1">
      <alignment vertical="center"/>
    </xf>
    <xf numFmtId="41" fontId="10" fillId="0" borderId="55" xfId="2" applyFont="1" applyBorder="1" applyAlignment="1">
      <alignment horizontal="center" vertical="center"/>
    </xf>
    <xf numFmtId="41" fontId="9" fillId="2" borderId="16" xfId="0" applyNumberFormat="1" applyFont="1" applyFill="1" applyBorder="1" applyAlignment="1">
      <alignment vertical="center"/>
    </xf>
    <xf numFmtId="9" fontId="10" fillId="0" borderId="22" xfId="0" applyNumberFormat="1" applyFont="1" applyBorder="1" applyAlignment="1">
      <alignment horizontal="center" vertical="center" wrapText="1"/>
    </xf>
    <xf numFmtId="9" fontId="9" fillId="0" borderId="22" xfId="0" applyNumberFormat="1" applyFont="1" applyBorder="1" applyAlignment="1">
      <alignment horizontal="center" vertical="center" wrapText="1"/>
    </xf>
    <xf numFmtId="9" fontId="9" fillId="0" borderId="56" xfId="0" applyNumberFormat="1" applyFont="1" applyBorder="1" applyAlignment="1">
      <alignment horizontal="center" vertical="center" wrapText="1"/>
    </xf>
    <xf numFmtId="41" fontId="9" fillId="5" borderId="14" xfId="2" applyFont="1" applyFill="1" applyBorder="1" applyAlignment="1">
      <alignment vertical="center"/>
    </xf>
    <xf numFmtId="41" fontId="9" fillId="5" borderId="14" xfId="2" applyFont="1" applyFill="1" applyBorder="1" applyAlignment="1">
      <alignment horizontal="center" vertical="center"/>
    </xf>
    <xf numFmtId="41" fontId="9" fillId="5" borderId="15" xfId="2" applyFont="1" applyFill="1" applyBorder="1" applyAlignment="1">
      <alignment horizontal="center" vertical="center"/>
    </xf>
    <xf numFmtId="42" fontId="10" fillId="2" borderId="18" xfId="4" applyFont="1" applyFill="1" applyBorder="1" applyAlignment="1">
      <alignment vertical="center"/>
    </xf>
    <xf numFmtId="164" fontId="11" fillId="0" borderId="2" xfId="0" applyNumberFormat="1" applyFont="1" applyFill="1" applyBorder="1" applyAlignment="1">
      <alignment horizontal="center" vertical="center" wrapText="1"/>
    </xf>
    <xf numFmtId="0" fontId="9" fillId="8" borderId="0" xfId="0" applyFont="1" applyFill="1" applyAlignment="1">
      <alignment horizontal="left" vertical="center"/>
    </xf>
    <xf numFmtId="41" fontId="9" fillId="2" borderId="0" xfId="2" applyFont="1" applyFill="1" applyAlignment="1">
      <alignment horizontal="center" vertical="center"/>
    </xf>
    <xf numFmtId="41" fontId="11" fillId="0" borderId="3" xfId="2" applyFont="1" applyFill="1" applyBorder="1" applyAlignment="1">
      <alignment horizontal="center" vertical="center"/>
    </xf>
    <xf numFmtId="41" fontId="11" fillId="8" borderId="3" xfId="2" applyFont="1" applyFill="1" applyBorder="1" applyAlignment="1">
      <alignment horizontal="center" vertical="center" wrapText="1"/>
    </xf>
    <xf numFmtId="17" fontId="10" fillId="8" borderId="10" xfId="0" applyNumberFormat="1" applyFont="1" applyFill="1" applyBorder="1" applyAlignment="1">
      <alignment horizontal="left" vertical="center" wrapText="1"/>
    </xf>
    <xf numFmtId="17" fontId="11" fillId="8" borderId="10" xfId="0" applyNumberFormat="1" applyFont="1" applyFill="1" applyBorder="1" applyAlignment="1">
      <alignment horizontal="left" vertical="center" wrapText="1"/>
    </xf>
    <xf numFmtId="41" fontId="10" fillId="2" borderId="0" xfId="2" applyFont="1" applyFill="1" applyAlignment="1">
      <alignment horizontal="left" vertical="center"/>
    </xf>
    <xf numFmtId="41" fontId="12" fillId="2" borderId="0" xfId="2" applyFont="1" applyFill="1" applyAlignment="1">
      <alignment horizontal="center" vertical="center"/>
    </xf>
    <xf numFmtId="41" fontId="11" fillId="2" borderId="0" xfId="2" applyFont="1" applyFill="1" applyAlignment="1">
      <alignment horizontal="left" vertical="center"/>
    </xf>
    <xf numFmtId="41" fontId="9" fillId="2" borderId="0" xfId="2" applyFont="1" applyFill="1" applyBorder="1" applyAlignment="1">
      <alignment horizontal="left" vertical="center"/>
    </xf>
    <xf numFmtId="41" fontId="9" fillId="2" borderId="0" xfId="2" applyFont="1" applyFill="1" applyAlignment="1">
      <alignment horizontal="left" vertical="center"/>
    </xf>
    <xf numFmtId="42" fontId="11" fillId="8" borderId="10" xfId="4" applyFont="1" applyFill="1" applyBorder="1" applyAlignment="1">
      <alignment horizontal="left" vertical="center"/>
    </xf>
    <xf numFmtId="164" fontId="11" fillId="0" borderId="3" xfId="0" applyNumberFormat="1" applyFont="1" applyFill="1" applyBorder="1" applyAlignment="1">
      <alignment horizontal="center" vertical="center" wrapText="1"/>
    </xf>
    <xf numFmtId="41" fontId="12" fillId="2" borderId="0" xfId="2" applyFont="1" applyFill="1" applyAlignment="1">
      <alignment horizontal="left" vertical="center"/>
    </xf>
    <xf numFmtId="41" fontId="12" fillId="8" borderId="0" xfId="2" applyFont="1" applyFill="1" applyAlignment="1">
      <alignment horizontal="center" vertical="center"/>
    </xf>
    <xf numFmtId="0" fontId="23" fillId="2" borderId="0" xfId="0" applyFont="1" applyFill="1"/>
    <xf numFmtId="42" fontId="10" fillId="14" borderId="3" xfId="4" applyFont="1" applyFill="1" applyBorder="1"/>
    <xf numFmtId="42" fontId="11" fillId="8" borderId="3" xfId="4" applyFont="1" applyFill="1" applyBorder="1"/>
    <xf numFmtId="41" fontId="0" fillId="2" borderId="0" xfId="2" applyFont="1" applyFill="1"/>
    <xf numFmtId="42" fontId="39" fillId="15" borderId="0" xfId="7" applyNumberFormat="1"/>
    <xf numFmtId="164" fontId="39" fillId="15" borderId="0" xfId="7" applyNumberFormat="1"/>
    <xf numFmtId="0" fontId="0" fillId="8" borderId="3" xfId="0" applyFont="1" applyFill="1" applyBorder="1" applyAlignment="1">
      <alignment horizontal="center"/>
    </xf>
    <xf numFmtId="17" fontId="10" fillId="8" borderId="3" xfId="0" applyNumberFormat="1" applyFont="1" applyFill="1" applyBorder="1" applyAlignment="1">
      <alignment horizontal="center"/>
    </xf>
    <xf numFmtId="0" fontId="10" fillId="8" borderId="3" xfId="0" applyFont="1" applyFill="1" applyBorder="1" applyAlignment="1">
      <alignment horizontal="right"/>
    </xf>
    <xf numFmtId="0" fontId="10" fillId="8" borderId="3" xfId="0" applyFont="1" applyFill="1" applyBorder="1" applyAlignment="1">
      <alignment horizontal="center"/>
    </xf>
    <xf numFmtId="0" fontId="0" fillId="8" borderId="0" xfId="0" applyFont="1" applyFill="1"/>
    <xf numFmtId="42" fontId="10" fillId="16" borderId="3" xfId="4" applyFont="1" applyFill="1" applyBorder="1"/>
    <xf numFmtId="42" fontId="11" fillId="14" borderId="3" xfId="4" applyFont="1" applyFill="1" applyBorder="1"/>
    <xf numFmtId="41" fontId="8" fillId="2" borderId="0" xfId="2" applyFont="1" applyFill="1" applyBorder="1" applyAlignment="1">
      <alignment horizontal="center" vertical="center"/>
    </xf>
    <xf numFmtId="41" fontId="20" fillId="4" borderId="17" xfId="2" applyFont="1" applyFill="1" applyBorder="1" applyAlignment="1">
      <alignment horizontal="center" vertical="center" wrapText="1"/>
    </xf>
    <xf numFmtId="41" fontId="3" fillId="3" borderId="13" xfId="2" applyFont="1" applyFill="1" applyBorder="1"/>
    <xf numFmtId="41" fontId="3" fillId="0" borderId="0" xfId="2" applyFont="1" applyFill="1" applyBorder="1"/>
    <xf numFmtId="41" fontId="0" fillId="2" borderId="0" xfId="2" applyFont="1" applyFill="1" applyBorder="1"/>
    <xf numFmtId="0" fontId="8" fillId="2" borderId="0" xfId="0" applyFont="1" applyFill="1" applyBorder="1" applyAlignment="1">
      <alignment horizontal="center" vertical="center"/>
    </xf>
    <xf numFmtId="0" fontId="8" fillId="2" borderId="0" xfId="0" applyFont="1" applyFill="1" applyBorder="1" applyAlignment="1">
      <alignment horizontal="center" vertical="center"/>
    </xf>
    <xf numFmtId="1" fontId="11" fillId="2" borderId="1" xfId="0" applyNumberFormat="1" applyFont="1" applyFill="1" applyBorder="1" applyAlignment="1">
      <alignment horizontal="center" vertical="center"/>
    </xf>
    <xf numFmtId="1" fontId="11" fillId="2" borderId="23" xfId="0" applyNumberFormat="1" applyFont="1" applyFill="1" applyBorder="1" applyAlignment="1">
      <alignment horizontal="center" vertical="center"/>
    </xf>
    <xf numFmtId="1" fontId="3" fillId="3" borderId="13" xfId="4" applyNumberFormat="1" applyFont="1" applyFill="1" applyBorder="1" applyAlignment="1">
      <alignment horizontal="center"/>
    </xf>
    <xf numFmtId="1" fontId="3" fillId="0" borderId="0" xfId="4" applyNumberFormat="1" applyFont="1" applyFill="1" applyBorder="1" applyAlignment="1">
      <alignment horizontal="center"/>
    </xf>
    <xf numFmtId="1" fontId="0" fillId="2" borderId="0" xfId="0" applyNumberFormat="1" applyFont="1" applyFill="1" applyAlignment="1">
      <alignment horizontal="left"/>
    </xf>
    <xf numFmtId="41" fontId="0" fillId="2" borderId="0" xfId="2" applyFont="1" applyFill="1" applyAlignment="1">
      <alignment horizontal="left"/>
    </xf>
    <xf numFmtId="41" fontId="0" fillId="2" borderId="0" xfId="2" applyFont="1" applyFill="1" applyAlignment="1">
      <alignment horizontal="left" wrapText="1"/>
    </xf>
    <xf numFmtId="164" fontId="11" fillId="2" borderId="1" xfId="0" applyNumberFormat="1" applyFont="1" applyFill="1" applyBorder="1" applyAlignment="1">
      <alignment horizontal="center" vertical="center"/>
    </xf>
    <xf numFmtId="164" fontId="11" fillId="2" borderId="23" xfId="0" applyNumberFormat="1" applyFont="1" applyFill="1" applyBorder="1" applyAlignment="1">
      <alignment horizontal="center" vertical="center"/>
    </xf>
    <xf numFmtId="164" fontId="22" fillId="5" borderId="3" xfId="0" applyNumberFormat="1" applyFont="1" applyFill="1" applyBorder="1" applyAlignment="1">
      <alignment horizontal="left" vertical="center"/>
    </xf>
    <xf numFmtId="0" fontId="15" fillId="5" borderId="53" xfId="0" applyFont="1" applyFill="1" applyBorder="1" applyAlignment="1">
      <alignment horizontal="center" vertical="center" wrapText="1"/>
    </xf>
    <xf numFmtId="0" fontId="15" fillId="5" borderId="54" xfId="0" applyFont="1" applyFill="1" applyBorder="1" applyAlignment="1">
      <alignment horizontal="center" vertical="center" wrapText="1"/>
    </xf>
    <xf numFmtId="0" fontId="0" fillId="8" borderId="0" xfId="0" applyFont="1" applyFill="1" applyAlignment="1">
      <alignment vertical="center"/>
    </xf>
    <xf numFmtId="0" fontId="3" fillId="8" borderId="0" xfId="0" applyFont="1" applyFill="1" applyBorder="1" applyAlignment="1">
      <alignment vertical="center"/>
    </xf>
    <xf numFmtId="41" fontId="0" fillId="2" borderId="3" xfId="2" applyFont="1" applyFill="1" applyBorder="1" applyAlignment="1">
      <alignment vertical="center"/>
    </xf>
    <xf numFmtId="0" fontId="20" fillId="4" borderId="13" xfId="0" applyFont="1" applyFill="1" applyBorder="1" applyAlignment="1">
      <alignment horizontal="center" vertical="center" wrapText="1"/>
    </xf>
    <xf numFmtId="164" fontId="11" fillId="11" borderId="4" xfId="0" applyNumberFormat="1" applyFont="1" applyFill="1" applyBorder="1" applyAlignment="1">
      <alignment horizontal="left" vertical="center"/>
    </xf>
    <xf numFmtId="10" fontId="11" fillId="11" borderId="4" xfId="5" applyNumberFormat="1" applyFont="1" applyFill="1" applyBorder="1" applyAlignment="1">
      <alignment horizontal="left" vertical="center"/>
    </xf>
    <xf numFmtId="10" fontId="0" fillId="2" borderId="0" xfId="0" applyNumberFormat="1" applyFont="1" applyFill="1" applyAlignment="1">
      <alignment vertical="center"/>
    </xf>
    <xf numFmtId="0" fontId="9" fillId="0" borderId="0" xfId="0" applyFont="1" applyBorder="1" applyAlignment="1">
      <alignment horizontal="center" vertical="center"/>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0" borderId="3" xfId="0" applyFont="1" applyFill="1" applyBorder="1" applyAlignment="1">
      <alignment horizontal="left" vertical="center"/>
    </xf>
    <xf numFmtId="164" fontId="9" fillId="6" borderId="46" xfId="0" applyNumberFormat="1" applyFont="1" applyFill="1" applyBorder="1" applyAlignment="1">
      <alignment horizontal="center" vertical="center"/>
    </xf>
    <xf numFmtId="164" fontId="9" fillId="6" borderId="6" xfId="0" applyNumberFormat="1" applyFont="1" applyFill="1" applyBorder="1" applyAlignment="1">
      <alignment horizontal="center" vertical="center"/>
    </xf>
    <xf numFmtId="164" fontId="9" fillId="6" borderId="47" xfId="0" applyNumberFormat="1" applyFont="1" applyFill="1" applyBorder="1" applyAlignment="1">
      <alignment horizontal="center" vertical="center"/>
    </xf>
    <xf numFmtId="164" fontId="9" fillId="6" borderId="46" xfId="0" applyNumberFormat="1" applyFont="1" applyFill="1" applyBorder="1" applyAlignment="1">
      <alignment horizontal="center" vertical="center" wrapText="1"/>
    </xf>
    <xf numFmtId="164" fontId="9" fillId="6" borderId="6" xfId="0" applyNumberFormat="1" applyFont="1" applyFill="1" applyBorder="1" applyAlignment="1">
      <alignment horizontal="center" vertical="center" wrapText="1"/>
    </xf>
    <xf numFmtId="164" fontId="9" fillId="6" borderId="7" xfId="0" applyNumberFormat="1"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47" xfId="0" applyFont="1" applyFill="1" applyBorder="1" applyAlignment="1">
      <alignment horizontal="center" vertical="center" wrapText="1"/>
    </xf>
    <xf numFmtId="0" fontId="27" fillId="0" borderId="0" xfId="0" applyFont="1" applyBorder="1" applyAlignment="1">
      <alignment horizontal="center" vertical="center"/>
    </xf>
    <xf numFmtId="0" fontId="19" fillId="0" borderId="0" xfId="0" applyFont="1" applyBorder="1" applyAlignment="1">
      <alignment horizontal="center" vertical="center"/>
    </xf>
    <xf numFmtId="0" fontId="12" fillId="2" borderId="27"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0" borderId="0" xfId="0" applyFont="1" applyBorder="1" applyAlignment="1">
      <alignment horizontal="center" vertical="center"/>
    </xf>
    <xf numFmtId="0" fontId="9" fillId="4" borderId="1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6" xfId="0" applyFont="1" applyFill="1" applyBorder="1" applyAlignment="1">
      <alignment horizontal="center" vertical="center"/>
    </xf>
    <xf numFmtId="0" fontId="9" fillId="4" borderId="29" xfId="0" applyFont="1" applyFill="1" applyBorder="1" applyAlignment="1">
      <alignment horizontal="center" vertical="center"/>
    </xf>
    <xf numFmtId="0" fontId="24" fillId="0" borderId="0" xfId="0" applyFont="1" applyFill="1" applyBorder="1" applyAlignment="1">
      <alignment horizontal="center" vertical="center"/>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24" xfId="0" applyFont="1" applyFill="1" applyBorder="1" applyAlignment="1">
      <alignment horizontal="center" vertical="center" wrapText="1"/>
    </xf>
    <xf numFmtId="42" fontId="29" fillId="0" borderId="12" xfId="4" applyFont="1" applyFill="1" applyBorder="1" applyAlignment="1">
      <alignment horizontal="center"/>
    </xf>
    <xf numFmtId="42" fontId="29" fillId="0" borderId="24" xfId="4" applyFont="1" applyFill="1" applyBorder="1" applyAlignment="1">
      <alignment horizontal="center"/>
    </xf>
    <xf numFmtId="0" fontId="8" fillId="2" borderId="0"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9" fillId="0" borderId="3" xfId="0" applyFont="1" applyFill="1" applyBorder="1" applyAlignment="1">
      <alignment horizontal="left"/>
    </xf>
    <xf numFmtId="0" fontId="10" fillId="2" borderId="3" xfId="0" applyFont="1" applyFill="1" applyBorder="1" applyAlignment="1">
      <alignment horizontal="left"/>
    </xf>
    <xf numFmtId="0" fontId="3" fillId="7" borderId="1" xfId="0" applyFont="1" applyFill="1" applyBorder="1" applyAlignment="1">
      <alignment horizontal="center"/>
    </xf>
    <xf numFmtId="0" fontId="3" fillId="7" borderId="4" xfId="0" applyFont="1" applyFill="1" applyBorder="1" applyAlignment="1">
      <alignment horizontal="center"/>
    </xf>
    <xf numFmtId="0" fontId="3" fillId="7" borderId="42" xfId="0" applyFont="1" applyFill="1" applyBorder="1" applyAlignment="1">
      <alignment horizontal="center"/>
    </xf>
    <xf numFmtId="0" fontId="8" fillId="2" borderId="0" xfId="0" applyFont="1" applyFill="1" applyAlignment="1">
      <alignment horizontal="center"/>
    </xf>
    <xf numFmtId="0" fontId="6" fillId="2" borderId="0" xfId="0" applyFont="1" applyFill="1" applyAlignment="1">
      <alignment horizontal="left" vertical="top" wrapText="1"/>
    </xf>
    <xf numFmtId="0" fontId="8" fillId="2" borderId="0" xfId="0" applyFont="1" applyFill="1" applyBorder="1" applyAlignment="1">
      <alignment horizontal="center"/>
    </xf>
    <xf numFmtId="0" fontId="0" fillId="0" borderId="25" xfId="0" applyBorder="1" applyAlignment="1">
      <alignment horizontal="center"/>
    </xf>
    <xf numFmtId="0" fontId="3" fillId="5" borderId="22"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2" xfId="0" applyFont="1" applyFill="1" applyBorder="1" applyAlignment="1">
      <alignment horizontal="center" vertical="center"/>
    </xf>
    <xf numFmtId="0" fontId="8" fillId="0" borderId="25" xfId="0" applyFont="1" applyBorder="1" applyAlignment="1">
      <alignment horizontal="center"/>
    </xf>
    <xf numFmtId="164" fontId="11" fillId="14" borderId="1" xfId="0" applyNumberFormat="1" applyFont="1" applyFill="1" applyBorder="1" applyAlignment="1">
      <alignment horizontal="left" vertical="center" wrapText="1"/>
    </xf>
  </cellXfs>
  <cellStyles count="8">
    <cellStyle name="Incorrecto" xfId="7" builtinId="27"/>
    <cellStyle name="Millares" xfId="3" builtinId="3"/>
    <cellStyle name="Millares [0]" xfId="2" builtinId="6"/>
    <cellStyle name="Moneda [0]" xfId="4" builtinId="7"/>
    <cellStyle name="Normal" xfId="0" builtinId="0"/>
    <cellStyle name="Normal 2" xfId="1" xr:uid="{00000000-0005-0000-0000-000003000000}"/>
    <cellStyle name="Normal 6" xfId="6" xr:uid="{91DFCC7F-4BB0-4FB7-A35A-A3C3393C3B53}"/>
    <cellStyle name="Porcentaje" xfId="5"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C8E6"/>
      <color rgb="FFC6C4C4"/>
      <color rgb="FFA59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571500</xdr:colOff>
      <xdr:row>0</xdr:row>
      <xdr:rowOff>19050</xdr:rowOff>
    </xdr:from>
    <xdr:to>
      <xdr:col>7</xdr:col>
      <xdr:colOff>171450</xdr:colOff>
      <xdr:row>2</xdr:row>
      <xdr:rowOff>142875</xdr:rowOff>
    </xdr:to>
    <xdr:grpSp>
      <xdr:nvGrpSpPr>
        <xdr:cNvPr id="10" name="Grupo 9">
          <a:extLst>
            <a:ext uri="{FF2B5EF4-FFF2-40B4-BE49-F238E27FC236}">
              <a16:creationId xmlns:a16="http://schemas.microsoft.com/office/drawing/2014/main" id="{00000000-0008-0000-0000-00000A000000}"/>
            </a:ext>
          </a:extLst>
        </xdr:cNvPr>
        <xdr:cNvGrpSpPr/>
      </xdr:nvGrpSpPr>
      <xdr:grpSpPr>
        <a:xfrm>
          <a:off x="2400300" y="19050"/>
          <a:ext cx="5915025" cy="695325"/>
          <a:chOff x="1393152" y="356854"/>
          <a:chExt cx="8220293" cy="643271"/>
        </a:xfrm>
      </xdr:grpSpPr>
      <xdr:pic>
        <xdr:nvPicPr>
          <xdr:cNvPr id="11" name="Graphic 7">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53516" y="356854"/>
            <a:ext cx="1759929" cy="580097"/>
          </a:xfrm>
          <a:prstGeom prst="rect">
            <a:avLst/>
          </a:prstGeom>
        </xdr:spPr>
      </xdr:pic>
      <xdr:pic>
        <xdr:nvPicPr>
          <xdr:cNvPr id="12" name="Picture 29">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4391407" y="418890"/>
            <a:ext cx="2307412" cy="485985"/>
          </a:xfrm>
          <a:prstGeom prst="rect">
            <a:avLst/>
          </a:prstGeom>
        </xdr:spPr>
      </xdr:pic>
      <xdr:pic>
        <xdr:nvPicPr>
          <xdr:cNvPr id="13" name="Picture 7">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a:stretch>
            <a:fillRect/>
          </a:stretch>
        </xdr:blipFill>
        <xdr:spPr>
          <a:xfrm>
            <a:off x="1393152" y="390524"/>
            <a:ext cx="1834456" cy="609601"/>
          </a:xfrm>
          <a:prstGeom prst="rect">
            <a:avLst/>
          </a:prstGeom>
        </xdr:spPr>
      </xdr:pic>
    </xdr:grpSp>
    <xdr:clientData/>
  </xdr:twoCellAnchor>
  <xdr:twoCellAnchor editAs="oneCell">
    <xdr:from>
      <xdr:col>7</xdr:col>
      <xdr:colOff>342900</xdr:colOff>
      <xdr:row>0</xdr:row>
      <xdr:rowOff>114300</xdr:rowOff>
    </xdr:from>
    <xdr:to>
      <xdr:col>8</xdr:col>
      <xdr:colOff>412054</xdr:colOff>
      <xdr:row>2</xdr:row>
      <xdr:rowOff>19050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8486775" y="114300"/>
          <a:ext cx="1164529"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0</xdr:row>
      <xdr:rowOff>1</xdr:rowOff>
    </xdr:from>
    <xdr:to>
      <xdr:col>9</xdr:col>
      <xdr:colOff>2024062</xdr:colOff>
      <xdr:row>2</xdr:row>
      <xdr:rowOff>23813</xdr:rowOff>
    </xdr:to>
    <xdr:grpSp>
      <xdr:nvGrpSpPr>
        <xdr:cNvPr id="7" name="Grupo 6">
          <a:extLst>
            <a:ext uri="{FF2B5EF4-FFF2-40B4-BE49-F238E27FC236}">
              <a16:creationId xmlns:a16="http://schemas.microsoft.com/office/drawing/2014/main" id="{00000000-0008-0000-0100-000007000000}"/>
            </a:ext>
          </a:extLst>
        </xdr:cNvPr>
        <xdr:cNvGrpSpPr/>
      </xdr:nvGrpSpPr>
      <xdr:grpSpPr>
        <a:xfrm>
          <a:off x="873919" y="1"/>
          <a:ext cx="11830049" cy="607218"/>
          <a:chOff x="1393152" y="356854"/>
          <a:chExt cx="8220293" cy="643271"/>
        </a:xfrm>
      </xdr:grpSpPr>
      <xdr:pic>
        <xdr:nvPicPr>
          <xdr:cNvPr id="8" name="Graphic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53516" y="356854"/>
            <a:ext cx="1759929" cy="580097"/>
          </a:xfrm>
          <a:prstGeom prst="rect">
            <a:avLst/>
          </a:prstGeom>
        </xdr:spPr>
      </xdr:pic>
      <xdr:pic>
        <xdr:nvPicPr>
          <xdr:cNvPr id="9" name="Picture 29">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4391407" y="418890"/>
            <a:ext cx="2307412" cy="485985"/>
          </a:xfrm>
          <a:prstGeom prst="rect">
            <a:avLst/>
          </a:prstGeom>
        </xdr:spPr>
      </xdr:pic>
      <xdr:pic>
        <xdr:nvPicPr>
          <xdr:cNvPr id="13" name="Picture 7">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a:stretch>
            <a:fillRect/>
          </a:stretch>
        </xdr:blipFill>
        <xdr:spPr>
          <a:xfrm>
            <a:off x="1393152" y="390524"/>
            <a:ext cx="1834456" cy="609601"/>
          </a:xfrm>
          <a:prstGeom prst="rect">
            <a:avLst/>
          </a:prstGeom>
        </xdr:spPr>
      </xdr:pic>
    </xdr:grpSp>
    <xdr:clientData/>
  </xdr:twoCellAnchor>
  <xdr:twoCellAnchor editAs="oneCell">
    <xdr:from>
      <xdr:col>11</xdr:col>
      <xdr:colOff>9525</xdr:colOff>
      <xdr:row>0</xdr:row>
      <xdr:rowOff>76200</xdr:rowOff>
    </xdr:from>
    <xdr:to>
      <xdr:col>11</xdr:col>
      <xdr:colOff>1406960</xdr:colOff>
      <xdr:row>2</xdr:row>
      <xdr:rowOff>66675</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12296775" y="76200"/>
          <a:ext cx="1397435"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2250280</xdr:colOff>
      <xdr:row>0</xdr:row>
      <xdr:rowOff>0</xdr:rowOff>
    </xdr:from>
    <xdr:to>
      <xdr:col>24</xdr:col>
      <xdr:colOff>1273968</xdr:colOff>
      <xdr:row>1</xdr:row>
      <xdr:rowOff>257175</xdr:rowOff>
    </xdr:to>
    <xdr:grpSp>
      <xdr:nvGrpSpPr>
        <xdr:cNvPr id="9" name="Grupo 8">
          <a:extLst>
            <a:ext uri="{FF2B5EF4-FFF2-40B4-BE49-F238E27FC236}">
              <a16:creationId xmlns:a16="http://schemas.microsoft.com/office/drawing/2014/main" id="{00000000-0008-0000-0200-000009000000}"/>
            </a:ext>
          </a:extLst>
        </xdr:cNvPr>
        <xdr:cNvGrpSpPr/>
      </xdr:nvGrpSpPr>
      <xdr:grpSpPr>
        <a:xfrm>
          <a:off x="8663780" y="0"/>
          <a:ext cx="21489988" cy="587375"/>
          <a:chOff x="1393152" y="356854"/>
          <a:chExt cx="8220293" cy="643271"/>
        </a:xfrm>
      </xdr:grpSpPr>
      <xdr:pic>
        <xdr:nvPicPr>
          <xdr:cNvPr id="10" name="Graphic 7">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53516" y="356854"/>
            <a:ext cx="1759929" cy="580097"/>
          </a:xfrm>
          <a:prstGeom prst="rect">
            <a:avLst/>
          </a:prstGeom>
        </xdr:spPr>
      </xdr:pic>
      <xdr:pic>
        <xdr:nvPicPr>
          <xdr:cNvPr id="11" name="Picture 29">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3"/>
          <a:stretch>
            <a:fillRect/>
          </a:stretch>
        </xdr:blipFill>
        <xdr:spPr>
          <a:xfrm>
            <a:off x="4391407" y="418890"/>
            <a:ext cx="2307412" cy="485985"/>
          </a:xfrm>
          <a:prstGeom prst="rect">
            <a:avLst/>
          </a:prstGeom>
        </xdr:spPr>
      </xdr:pic>
      <xdr:pic>
        <xdr:nvPicPr>
          <xdr:cNvPr id="12" name="Picture 7">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4"/>
          <a:stretch>
            <a:fillRect/>
          </a:stretch>
        </xdr:blipFill>
        <xdr:spPr>
          <a:xfrm>
            <a:off x="1393152" y="390524"/>
            <a:ext cx="1834456" cy="609601"/>
          </a:xfrm>
          <a:prstGeom prst="rect">
            <a:avLst/>
          </a:prstGeom>
        </xdr:spPr>
      </xdr:pic>
    </xdr:grpSp>
    <xdr:clientData/>
  </xdr:twoCellAnchor>
  <xdr:twoCellAnchor editAs="oneCell">
    <xdr:from>
      <xdr:col>26</xdr:col>
      <xdr:colOff>0</xdr:colOff>
      <xdr:row>0</xdr:row>
      <xdr:rowOff>0</xdr:rowOff>
    </xdr:from>
    <xdr:to>
      <xdr:col>27</xdr:col>
      <xdr:colOff>107026</xdr:colOff>
      <xdr:row>1</xdr:row>
      <xdr:rowOff>190499</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tretch>
          <a:fillRect/>
        </a:stretch>
      </xdr:blipFill>
      <xdr:spPr>
        <a:xfrm>
          <a:off x="14930438" y="0"/>
          <a:ext cx="1280982" cy="5238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1984</xdr:rowOff>
    </xdr:from>
    <xdr:to>
      <xdr:col>7</xdr:col>
      <xdr:colOff>1041797</xdr:colOff>
      <xdr:row>3</xdr:row>
      <xdr:rowOff>39687</xdr:rowOff>
    </xdr:to>
    <xdr:grpSp>
      <xdr:nvGrpSpPr>
        <xdr:cNvPr id="9" name="Grupo 8">
          <a:extLst>
            <a:ext uri="{FF2B5EF4-FFF2-40B4-BE49-F238E27FC236}">
              <a16:creationId xmlns:a16="http://schemas.microsoft.com/office/drawing/2014/main" id="{00000000-0008-0000-0300-000009000000}"/>
            </a:ext>
          </a:extLst>
        </xdr:cNvPr>
        <xdr:cNvGrpSpPr/>
      </xdr:nvGrpSpPr>
      <xdr:grpSpPr>
        <a:xfrm>
          <a:off x="1260078" y="190500"/>
          <a:ext cx="9306719" cy="414734"/>
          <a:chOff x="1393152" y="356854"/>
          <a:chExt cx="8220293" cy="643271"/>
        </a:xfrm>
      </xdr:grpSpPr>
      <xdr:pic>
        <xdr:nvPicPr>
          <xdr:cNvPr id="10" name="Graphic 7">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53516" y="356854"/>
            <a:ext cx="1759929" cy="580097"/>
          </a:xfrm>
          <a:prstGeom prst="rect">
            <a:avLst/>
          </a:prstGeom>
        </xdr:spPr>
      </xdr:pic>
      <xdr:pic>
        <xdr:nvPicPr>
          <xdr:cNvPr id="11" name="Picture 2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stretch>
            <a:fillRect/>
          </a:stretch>
        </xdr:blipFill>
        <xdr:spPr>
          <a:xfrm>
            <a:off x="4391407" y="418890"/>
            <a:ext cx="2307412" cy="485985"/>
          </a:xfrm>
          <a:prstGeom prst="rect">
            <a:avLst/>
          </a:prstGeom>
        </xdr:spPr>
      </xdr:pic>
      <xdr:pic>
        <xdr:nvPicPr>
          <xdr:cNvPr id="12" name="Picture 7">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4"/>
          <a:stretch>
            <a:fillRect/>
          </a:stretch>
        </xdr:blipFill>
        <xdr:spPr>
          <a:xfrm>
            <a:off x="1393152" y="390524"/>
            <a:ext cx="1834456" cy="609601"/>
          </a:xfrm>
          <a:prstGeom prst="rect">
            <a:avLst/>
          </a:prstGeom>
        </xdr:spPr>
      </xdr:pic>
    </xdr:grpSp>
    <xdr:clientData/>
  </xdr:twoCellAnchor>
  <xdr:twoCellAnchor editAs="oneCell">
    <xdr:from>
      <xdr:col>9</xdr:col>
      <xdr:colOff>142875</xdr:colOff>
      <xdr:row>0</xdr:row>
      <xdr:rowOff>180975</xdr:rowOff>
    </xdr:from>
    <xdr:to>
      <xdr:col>9</xdr:col>
      <xdr:colOff>1237532</xdr:colOff>
      <xdr:row>3</xdr:row>
      <xdr:rowOff>118666</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stretch>
          <a:fillRect/>
        </a:stretch>
      </xdr:blipFill>
      <xdr:spPr>
        <a:xfrm>
          <a:off x="13830300" y="180975"/>
          <a:ext cx="1094657"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1</xdr:rowOff>
    </xdr:from>
    <xdr:to>
      <xdr:col>3</xdr:col>
      <xdr:colOff>1447801</xdr:colOff>
      <xdr:row>1</xdr:row>
      <xdr:rowOff>171451</xdr:rowOff>
    </xdr:to>
    <xdr:grpSp>
      <xdr:nvGrpSpPr>
        <xdr:cNvPr id="9" name="Grupo 8">
          <a:extLst>
            <a:ext uri="{FF2B5EF4-FFF2-40B4-BE49-F238E27FC236}">
              <a16:creationId xmlns:a16="http://schemas.microsoft.com/office/drawing/2014/main" id="{00000000-0008-0000-0400-000009000000}"/>
            </a:ext>
          </a:extLst>
        </xdr:cNvPr>
        <xdr:cNvGrpSpPr/>
      </xdr:nvGrpSpPr>
      <xdr:grpSpPr>
        <a:xfrm>
          <a:off x="1" y="1"/>
          <a:ext cx="6400800" cy="457200"/>
          <a:chOff x="1393152" y="356854"/>
          <a:chExt cx="8220293" cy="643271"/>
        </a:xfrm>
      </xdr:grpSpPr>
      <xdr:pic>
        <xdr:nvPicPr>
          <xdr:cNvPr id="11" name="Graphic 7">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53516" y="356854"/>
            <a:ext cx="1759929" cy="580097"/>
          </a:xfrm>
          <a:prstGeom prst="rect">
            <a:avLst/>
          </a:prstGeom>
        </xdr:spPr>
      </xdr:pic>
      <xdr:pic>
        <xdr:nvPicPr>
          <xdr:cNvPr id="12" name="Picture 29">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a:stretch>
            <a:fillRect/>
          </a:stretch>
        </xdr:blipFill>
        <xdr:spPr>
          <a:xfrm>
            <a:off x="4391407" y="418890"/>
            <a:ext cx="2307412" cy="485985"/>
          </a:xfrm>
          <a:prstGeom prst="rect">
            <a:avLst/>
          </a:prstGeom>
        </xdr:spPr>
      </xdr:pic>
      <xdr:pic>
        <xdr:nvPicPr>
          <xdr:cNvPr id="13" name="Picture 7">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4"/>
          <a:stretch>
            <a:fillRect/>
          </a:stretch>
        </xdr:blipFill>
        <xdr:spPr>
          <a:xfrm>
            <a:off x="1393152" y="390524"/>
            <a:ext cx="1834456" cy="609601"/>
          </a:xfrm>
          <a:prstGeom prst="rect">
            <a:avLst/>
          </a:prstGeom>
        </xdr:spPr>
      </xdr:pic>
    </xdr:grpSp>
    <xdr:clientData/>
  </xdr:twoCellAnchor>
  <xdr:twoCellAnchor editAs="oneCell">
    <xdr:from>
      <xdr:col>4</xdr:col>
      <xdr:colOff>266700</xdr:colOff>
      <xdr:row>0</xdr:row>
      <xdr:rowOff>38100</xdr:rowOff>
    </xdr:from>
    <xdr:to>
      <xdr:col>4</xdr:col>
      <xdr:colOff>1407939</xdr:colOff>
      <xdr:row>1</xdr:row>
      <xdr:rowOff>219074</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a:stretch>
          <a:fillRect/>
        </a:stretch>
      </xdr:blipFill>
      <xdr:spPr>
        <a:xfrm>
          <a:off x="6267450" y="38100"/>
          <a:ext cx="1141239" cy="4667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57150</xdr:rowOff>
    </xdr:from>
    <xdr:to>
      <xdr:col>3</xdr:col>
      <xdr:colOff>1371600</xdr:colOff>
      <xdr:row>2</xdr:row>
      <xdr:rowOff>152400</xdr:rowOff>
    </xdr:to>
    <xdr:grpSp>
      <xdr:nvGrpSpPr>
        <xdr:cNvPr id="8" name="Grupo 7">
          <a:extLst>
            <a:ext uri="{FF2B5EF4-FFF2-40B4-BE49-F238E27FC236}">
              <a16:creationId xmlns:a16="http://schemas.microsoft.com/office/drawing/2014/main" id="{00000000-0008-0000-0500-000008000000}"/>
            </a:ext>
          </a:extLst>
        </xdr:cNvPr>
        <xdr:cNvGrpSpPr/>
      </xdr:nvGrpSpPr>
      <xdr:grpSpPr>
        <a:xfrm>
          <a:off x="0" y="57150"/>
          <a:ext cx="6734175" cy="476250"/>
          <a:chOff x="1393152" y="356854"/>
          <a:chExt cx="8220293" cy="643271"/>
        </a:xfrm>
      </xdr:grpSpPr>
      <xdr:pic>
        <xdr:nvPicPr>
          <xdr:cNvPr id="10" name="Graphic 7">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53516" y="356854"/>
            <a:ext cx="1759929" cy="580097"/>
          </a:xfrm>
          <a:prstGeom prst="rect">
            <a:avLst/>
          </a:prstGeom>
        </xdr:spPr>
      </xdr:pic>
      <xdr:pic>
        <xdr:nvPicPr>
          <xdr:cNvPr id="11" name="Picture 29">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3"/>
          <a:stretch>
            <a:fillRect/>
          </a:stretch>
        </xdr:blipFill>
        <xdr:spPr>
          <a:xfrm>
            <a:off x="4391407" y="418890"/>
            <a:ext cx="2307412" cy="485985"/>
          </a:xfrm>
          <a:prstGeom prst="rect">
            <a:avLst/>
          </a:prstGeom>
        </xdr:spPr>
      </xdr:pic>
      <xdr:pic>
        <xdr:nvPicPr>
          <xdr:cNvPr id="12" name="Picture 7">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4"/>
          <a:stretch>
            <a:fillRect/>
          </a:stretch>
        </xdr:blipFill>
        <xdr:spPr>
          <a:xfrm>
            <a:off x="1393152" y="390524"/>
            <a:ext cx="1834456" cy="609601"/>
          </a:xfrm>
          <a:prstGeom prst="rect">
            <a:avLst/>
          </a:prstGeom>
        </xdr:spPr>
      </xdr:pic>
    </xdr:grpSp>
    <xdr:clientData/>
  </xdr:twoCellAnchor>
  <xdr:twoCellAnchor editAs="oneCell">
    <xdr:from>
      <xdr:col>3</xdr:col>
      <xdr:colOff>1762125</xdr:colOff>
      <xdr:row>0</xdr:row>
      <xdr:rowOff>114300</xdr:rowOff>
    </xdr:from>
    <xdr:to>
      <xdr:col>5</xdr:col>
      <xdr:colOff>186586</xdr:colOff>
      <xdr:row>2</xdr:row>
      <xdr:rowOff>152400</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5"/>
        <a:stretch>
          <a:fillRect/>
        </a:stretch>
      </xdr:blipFill>
      <xdr:spPr>
        <a:xfrm>
          <a:off x="7124700" y="114300"/>
          <a:ext cx="1024786" cy="419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uario\FS\GRP_PYT_PPTO_EST\GPPE\PROYECTO%20INOCUIDAD\CRONOGRAMA-%20PLAN%20TRABAJO%20PROYECTO\PLAN%20DE%20TRABAJO%207%20SEPT-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PROYECTO 2015"/>
      <sheetName val="FORMULACION"/>
      <sheetName val="CRONOGRAMA PROYECTO 2016"/>
      <sheetName val="COSTEO "/>
      <sheetName val="NUMERO TOMA MUESTRAS"/>
      <sheetName val="COSTEO X PLANTA"/>
      <sheetName val="DESCRIPCIÓN MUESTRAS ANALIZADAS"/>
      <sheetName val="INDICADORES FICHA EBI"/>
    </sheetNames>
    <sheetDataSet>
      <sheetData sheetId="0"/>
      <sheetData sheetId="1">
        <row r="1">
          <cell r="A1">
            <v>1</v>
          </cell>
          <cell r="B1" t="str">
            <v>ENERO</v>
          </cell>
          <cell r="C1">
            <v>2015</v>
          </cell>
          <cell r="D1" t="str">
            <v>1 Programa Educación Sanitaria</v>
          </cell>
        </row>
        <row r="2">
          <cell r="A2">
            <v>2</v>
          </cell>
          <cell r="B2" t="str">
            <v>FEBRERO</v>
          </cell>
          <cell r="C2">
            <v>2016</v>
          </cell>
          <cell r="D2" t="str">
            <v>2. Programa de cooperación Internacional</v>
          </cell>
        </row>
        <row r="3">
          <cell r="A3">
            <v>3</v>
          </cell>
          <cell r="B3" t="str">
            <v>MARZO</v>
          </cell>
          <cell r="C3">
            <v>2017</v>
          </cell>
          <cell r="D3" t="str">
            <v>3. Programa nacional de tecnovigilancia</v>
          </cell>
        </row>
        <row r="4">
          <cell r="A4">
            <v>4</v>
          </cell>
          <cell r="B4" t="str">
            <v>ABRIL</v>
          </cell>
          <cell r="C4">
            <v>2018</v>
          </cell>
          <cell r="D4" t="str">
            <v>4. Programa nacional de reactovigilancia</v>
          </cell>
        </row>
        <row r="5">
          <cell r="A5">
            <v>5</v>
          </cell>
          <cell r="B5" t="str">
            <v>MAYO</v>
          </cell>
          <cell r="D5" t="str">
            <v xml:space="preserve">5. Programa nacional de vigilancia y control de microorganismos patógenos y calidad microbiológica y físico-química  en alimentos y bebidas. </v>
          </cell>
        </row>
        <row r="6">
          <cell r="A6">
            <v>6</v>
          </cell>
          <cell r="B6" t="str">
            <v>JUNIO</v>
          </cell>
          <cell r="D6" t="str">
            <v>6. Programa nacional de vigilancia y control de nutrientes de interés en salud pública</v>
          </cell>
        </row>
        <row r="7">
          <cell r="A7">
            <v>7</v>
          </cell>
          <cell r="B7" t="str">
            <v>JULIO</v>
          </cell>
          <cell r="D7" t="str">
            <v>7. Programa nacional de vigilancia y control de residuos y contaminantes químicos en alimentos y bebidas.</v>
          </cell>
        </row>
        <row r="8">
          <cell r="A8">
            <v>8</v>
          </cell>
          <cell r="B8" t="str">
            <v>AGOSTO</v>
          </cell>
          <cell r="D8" t="str">
            <v xml:space="preserve">8. Programa nacional de Farmacovigilancia </v>
          </cell>
        </row>
        <row r="9">
          <cell r="A9">
            <v>9</v>
          </cell>
          <cell r="B9" t="str">
            <v>SEPTIEMBRE</v>
          </cell>
          <cell r="D9" t="str">
            <v>9. Programa nacional  de demuestra de calidad</v>
          </cell>
        </row>
        <row r="10">
          <cell r="A10">
            <v>10</v>
          </cell>
          <cell r="B10" t="str">
            <v>OCTUBRE</v>
          </cell>
          <cell r="D10" t="str">
            <v>10. Fortalecimiento de la Inspección, Vigilancia y Control Sanitaria con enfoque de riesgos.</v>
          </cell>
        </row>
        <row r="11">
          <cell r="A11">
            <v>11</v>
          </cell>
          <cell r="B11" t="str">
            <v>NOVIEMBRE</v>
          </cell>
          <cell r="D11" t="str">
            <v>11. Programa apoyo a la competitividad de la Industria</v>
          </cell>
        </row>
        <row r="12">
          <cell r="A12">
            <v>12</v>
          </cell>
          <cell r="B12" t="str">
            <v>DICIEMBRE</v>
          </cell>
          <cell r="D12" t="str">
            <v>12. Programa de fortalecimiento sistema de gestión integrado</v>
          </cell>
        </row>
        <row r="13">
          <cell r="A13">
            <v>13</v>
          </cell>
          <cell r="D13" t="str">
            <v>13. Programa de fortalecimiento institucional</v>
          </cell>
        </row>
        <row r="14">
          <cell r="A14">
            <v>14</v>
          </cell>
          <cell r="D14" t="str">
            <v>14. Programa modernización de los sistemas de información actuales del Invima</v>
          </cell>
        </row>
        <row r="15">
          <cell r="A15">
            <v>15</v>
          </cell>
          <cell r="D15" t="str">
            <v>15. Programa de seguimiento e implementación a la estrategia de Gobierno en Línea</v>
          </cell>
        </row>
        <row r="16">
          <cell r="A16">
            <v>16</v>
          </cell>
          <cell r="D16" t="str">
            <v>16. Programa de mejoramiento de calidad de vida laboral</v>
          </cell>
        </row>
        <row r="17">
          <cell r="A17">
            <v>17</v>
          </cell>
          <cell r="D17" t="str">
            <v>17. Programa Efectividad técnica de los laboratorios Nacionales</v>
          </cell>
        </row>
        <row r="18">
          <cell r="A18">
            <v>18</v>
          </cell>
          <cell r="D18" t="str">
            <v>18. Programa Gestión de  la red  nacional contra la Ilegalidad y la Corrupción</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F111"/>
  <sheetViews>
    <sheetView showGridLines="0" tabSelected="1" zoomScaleNormal="100" zoomScaleSheetLayoutView="100" workbookViewId="0">
      <selection activeCell="C9" sqref="C9"/>
    </sheetView>
  </sheetViews>
  <sheetFormatPr baseColWidth="10" defaultColWidth="11.42578125" defaultRowHeight="12" x14ac:dyDescent="0.25"/>
  <cols>
    <col min="1" max="1" width="11.42578125" style="1"/>
    <col min="2" max="2" width="16" style="39" customWidth="1"/>
    <col min="3" max="3" width="28.140625" style="1" customWidth="1"/>
    <col min="4" max="4" width="17.42578125" style="3" bestFit="1" customWidth="1"/>
    <col min="5" max="5" width="15" style="3" customWidth="1"/>
    <col min="6" max="6" width="15.28515625" style="3" customWidth="1"/>
    <col min="7" max="7" width="18.85546875" style="3" customWidth="1"/>
    <col min="8" max="8" width="16.42578125" style="2" customWidth="1"/>
    <col min="9" max="9" width="18" style="2" customWidth="1"/>
    <col min="10" max="10" width="16.7109375" style="415" customWidth="1"/>
    <col min="11" max="12" width="12.42578125" style="415" bestFit="1" customWidth="1"/>
    <col min="13" max="13" width="13.42578125" style="415" bestFit="1" customWidth="1"/>
    <col min="14" max="14" width="12.5703125" style="415" bestFit="1" customWidth="1"/>
    <col min="15" max="16" width="11.42578125" style="415"/>
    <col min="17" max="17" width="12.5703125" style="415" bestFit="1" customWidth="1"/>
    <col min="18" max="162" width="11.42578125" style="2"/>
    <col min="163" max="16384" width="11.42578125" style="1"/>
  </cols>
  <sheetData>
    <row r="1" spans="1:162" ht="22.5" customHeight="1" x14ac:dyDescent="0.25">
      <c r="A1" s="1" t="s">
        <v>402</v>
      </c>
      <c r="B1" s="205"/>
      <c r="C1" s="166"/>
      <c r="D1" s="164"/>
      <c r="E1" s="206"/>
      <c r="F1" s="206"/>
      <c r="G1" s="206"/>
      <c r="H1" s="165"/>
      <c r="I1" s="165"/>
    </row>
    <row r="2" spans="1:162" ht="22.5" customHeight="1" x14ac:dyDescent="0.25">
      <c r="B2" s="205"/>
      <c r="C2" s="166"/>
      <c r="D2" s="164"/>
      <c r="E2" s="164"/>
      <c r="F2" s="164"/>
      <c r="G2" s="168"/>
      <c r="H2" s="165"/>
      <c r="I2" s="165"/>
    </row>
    <row r="3" spans="1:162" x14ac:dyDescent="0.25">
      <c r="B3" s="205"/>
      <c r="C3" s="166"/>
      <c r="D3" s="164"/>
      <c r="E3" s="164"/>
      <c r="F3" s="164"/>
      <c r="G3" s="164"/>
      <c r="H3" s="165"/>
      <c r="I3" s="165"/>
    </row>
    <row r="4" spans="1:162" x14ac:dyDescent="0.25">
      <c r="B4" s="205"/>
      <c r="C4" s="166"/>
      <c r="D4" s="164"/>
      <c r="E4" s="164"/>
      <c r="F4" s="164"/>
      <c r="G4" s="164"/>
      <c r="H4" s="165"/>
      <c r="I4" s="165"/>
      <c r="J4" s="416"/>
      <c r="K4" s="416"/>
      <c r="L4" s="416"/>
    </row>
    <row r="5" spans="1:162" ht="26.25" x14ac:dyDescent="0.25">
      <c r="B5" s="513" t="s">
        <v>0</v>
      </c>
      <c r="C5" s="513"/>
      <c r="D5" s="513"/>
      <c r="E5" s="513"/>
      <c r="F5" s="513"/>
      <c r="G5" s="513"/>
      <c r="H5" s="513"/>
      <c r="I5" s="513"/>
      <c r="J5" s="417"/>
    </row>
    <row r="6" spans="1:162" ht="18.75" x14ac:dyDescent="0.25">
      <c r="B6" s="207" t="s">
        <v>1</v>
      </c>
      <c r="C6" s="170"/>
      <c r="D6" s="171"/>
      <c r="E6" s="164"/>
      <c r="F6" s="164"/>
      <c r="G6" s="164"/>
      <c r="H6" s="165"/>
      <c r="I6" s="165"/>
      <c r="J6" s="416"/>
    </row>
    <row r="7" spans="1:162" ht="12.75" x14ac:dyDescent="0.25">
      <c r="B7" s="208" t="s">
        <v>2</v>
      </c>
      <c r="C7" s="170"/>
      <c r="D7" s="171"/>
      <c r="E7" s="164"/>
      <c r="F7" s="164"/>
      <c r="G7" s="164"/>
      <c r="H7" s="165"/>
      <c r="I7" s="165"/>
      <c r="J7" s="416"/>
    </row>
    <row r="8" spans="1:162" ht="12.75" x14ac:dyDescent="0.25">
      <c r="B8" s="208"/>
      <c r="C8" s="170"/>
      <c r="D8" s="171"/>
      <c r="E8" s="164"/>
      <c r="F8" s="164"/>
      <c r="G8" s="164"/>
      <c r="H8" s="165"/>
      <c r="I8" s="165"/>
      <c r="J8" s="416"/>
    </row>
    <row r="9" spans="1:162" ht="12.75" x14ac:dyDescent="0.25">
      <c r="B9" s="335" t="s">
        <v>3</v>
      </c>
      <c r="C9" s="209" t="s">
        <v>4</v>
      </c>
      <c r="D9" s="171"/>
      <c r="E9" s="164"/>
      <c r="F9" s="164"/>
      <c r="G9" s="164"/>
      <c r="H9" s="165"/>
      <c r="I9" s="165"/>
      <c r="J9" s="416"/>
    </row>
    <row r="10" spans="1:162" ht="12.75" x14ac:dyDescent="0.25">
      <c r="B10" s="335" t="s">
        <v>5</v>
      </c>
      <c r="C10" s="210">
        <v>43567</v>
      </c>
      <c r="D10" s="164"/>
      <c r="E10" s="164"/>
      <c r="F10" s="164"/>
      <c r="G10" s="504" t="s">
        <v>6</v>
      </c>
      <c r="H10" s="504"/>
      <c r="I10" s="172">
        <v>43728</v>
      </c>
      <c r="J10" s="416"/>
    </row>
    <row r="11" spans="1:162" ht="12.75" x14ac:dyDescent="0.25">
      <c r="B11" s="335" t="s">
        <v>7</v>
      </c>
      <c r="C11" s="210">
        <v>43933</v>
      </c>
      <c r="D11" s="164"/>
      <c r="E11" s="164"/>
      <c r="F11" s="164"/>
      <c r="G11" s="504" t="s">
        <v>8</v>
      </c>
      <c r="H11" s="504"/>
      <c r="I11" s="173" t="s">
        <v>9</v>
      </c>
      <c r="J11" s="416"/>
    </row>
    <row r="12" spans="1:162" x14ac:dyDescent="0.25">
      <c r="B12" s="211"/>
      <c r="C12" s="170"/>
      <c r="D12" s="171"/>
      <c r="E12" s="164"/>
      <c r="F12" s="164"/>
      <c r="G12" s="164"/>
      <c r="H12" s="165"/>
      <c r="I12" s="165"/>
      <c r="J12" s="416"/>
    </row>
    <row r="13" spans="1:162" x14ac:dyDescent="0.25">
      <c r="B13" s="211"/>
      <c r="C13" s="170"/>
      <c r="D13" s="171"/>
      <c r="E13" s="164"/>
      <c r="F13" s="164"/>
      <c r="G13" s="164"/>
      <c r="H13" s="165"/>
      <c r="I13" s="165"/>
      <c r="J13" s="416"/>
    </row>
    <row r="14" spans="1:162" ht="15.75" x14ac:dyDescent="0.25">
      <c r="B14" s="514" t="s">
        <v>10</v>
      </c>
      <c r="C14" s="514"/>
      <c r="D14" s="514"/>
      <c r="E14" s="514"/>
      <c r="F14" s="514"/>
      <c r="G14" s="514"/>
      <c r="H14" s="514"/>
      <c r="I14" s="514"/>
      <c r="J14" s="418"/>
    </row>
    <row r="15" spans="1:162" ht="12.75" thickBot="1" x14ac:dyDescent="0.3">
      <c r="B15" s="212"/>
      <c r="C15" s="166"/>
      <c r="D15" s="164"/>
      <c r="E15" s="164"/>
      <c r="F15" s="164"/>
      <c r="G15" s="164"/>
      <c r="H15" s="165"/>
      <c r="I15" s="165"/>
      <c r="J15" s="416"/>
    </row>
    <row r="16" spans="1:162" s="19" customFormat="1" ht="10.5" customHeight="1" x14ac:dyDescent="0.25">
      <c r="B16" s="511" t="s">
        <v>11</v>
      </c>
      <c r="C16" s="512"/>
      <c r="D16" s="505" t="s">
        <v>12</v>
      </c>
      <c r="E16" s="506"/>
      <c r="F16" s="507"/>
      <c r="G16" s="508" t="s">
        <v>13</v>
      </c>
      <c r="H16" s="509"/>
      <c r="I16" s="510"/>
      <c r="J16" s="419"/>
      <c r="K16" s="420"/>
      <c r="L16" s="420"/>
      <c r="M16" s="420"/>
      <c r="N16" s="420"/>
      <c r="O16" s="420"/>
      <c r="P16" s="420"/>
      <c r="Q16" s="420"/>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row>
    <row r="17" spans="2:161" s="29" customFormat="1" ht="38.25" customHeight="1" thickBot="1" x14ac:dyDescent="0.3">
      <c r="B17" s="245" t="s">
        <v>14</v>
      </c>
      <c r="C17" s="246" t="s">
        <v>15</v>
      </c>
      <c r="D17" s="247" t="s">
        <v>16</v>
      </c>
      <c r="E17" s="247" t="s">
        <v>17</v>
      </c>
      <c r="F17" s="247" t="s">
        <v>18</v>
      </c>
      <c r="G17" s="247" t="s">
        <v>16</v>
      </c>
      <c r="H17" s="247" t="s">
        <v>17</v>
      </c>
      <c r="I17" s="248" t="s">
        <v>18</v>
      </c>
      <c r="J17" s="421"/>
      <c r="K17" s="422"/>
      <c r="L17" s="422"/>
      <c r="M17" s="422"/>
      <c r="N17" s="422"/>
      <c r="O17" s="422"/>
      <c r="P17" s="422"/>
      <c r="Q17" s="422"/>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row>
    <row r="18" spans="2:161" s="18" customFormat="1" ht="12.75" x14ac:dyDescent="0.25">
      <c r="B18" s="239">
        <v>1</v>
      </c>
      <c r="C18" s="240" t="s">
        <v>19</v>
      </c>
      <c r="D18" s="241">
        <v>326781000</v>
      </c>
      <c r="E18" s="242">
        <v>175959000</v>
      </c>
      <c r="F18" s="242">
        <v>502740000</v>
      </c>
      <c r="G18" s="312">
        <f>+GESTORES!L67+'GASTOS ADTIVOS'!K43</f>
        <v>103458262.59</v>
      </c>
      <c r="H18" s="243">
        <f>+GESTORES!M67+'GASTOS ADTIVOS'!K115</f>
        <v>120819362</v>
      </c>
      <c r="I18" s="244">
        <f>+G18+H18</f>
        <v>224277624.59</v>
      </c>
      <c r="J18" s="423"/>
      <c r="K18" s="424"/>
      <c r="L18" s="424"/>
      <c r="M18" s="425"/>
      <c r="N18" s="420"/>
      <c r="O18" s="420"/>
      <c r="P18" s="420"/>
      <c r="Q18" s="420"/>
    </row>
    <row r="19" spans="2:161" s="18" customFormat="1" ht="12.75" x14ac:dyDescent="0.25">
      <c r="B19" s="169">
        <v>2</v>
      </c>
      <c r="C19" s="20" t="s">
        <v>20</v>
      </c>
      <c r="D19" s="12">
        <v>1638000000</v>
      </c>
      <c r="E19" s="24">
        <v>504000000</v>
      </c>
      <c r="F19" s="24">
        <v>2142000000</v>
      </c>
      <c r="G19" s="237">
        <f>+EXTENSIONISTAS!Z71</f>
        <v>0</v>
      </c>
      <c r="H19" s="237">
        <f>+EXTENSIONISTAS!AA71</f>
        <v>0</v>
      </c>
      <c r="I19" s="238">
        <f>+G19+H19</f>
        <v>0</v>
      </c>
      <c r="J19" s="423"/>
      <c r="K19" s="425"/>
      <c r="L19" s="425"/>
      <c r="M19" s="420"/>
      <c r="N19" s="420"/>
      <c r="O19" s="420"/>
      <c r="P19" s="420"/>
      <c r="Q19" s="420"/>
    </row>
    <row r="20" spans="2:161" s="21" customFormat="1" ht="13.5" thickBot="1" x14ac:dyDescent="0.3">
      <c r="B20" s="213" t="s">
        <v>21</v>
      </c>
      <c r="C20" s="214"/>
      <c r="D20" s="215">
        <f>+D18+D19</f>
        <v>1964781000</v>
      </c>
      <c r="E20" s="215">
        <f>+E18+E19</f>
        <v>679959000</v>
      </c>
      <c r="F20" s="215">
        <f>+F18+F19</f>
        <v>2644740000</v>
      </c>
      <c r="G20" s="311">
        <f>SUM(G18:G19)</f>
        <v>103458262.59</v>
      </c>
      <c r="H20" s="215">
        <f>SUM(H18:H19)</f>
        <v>120819362</v>
      </c>
      <c r="I20" s="216">
        <f>SUM(I18:I19)</f>
        <v>224277624.59</v>
      </c>
      <c r="J20" s="426"/>
      <c r="K20" s="427"/>
      <c r="L20" s="427"/>
      <c r="M20" s="427"/>
      <c r="N20" s="427"/>
      <c r="O20" s="427"/>
      <c r="P20" s="427"/>
      <c r="Q20" s="427"/>
    </row>
    <row r="21" spans="2:161" s="2" customFormat="1" ht="15" customHeight="1" x14ac:dyDescent="0.25">
      <c r="B21" s="265"/>
      <c r="C21" s="163"/>
      <c r="D21" s="163"/>
      <c r="E21" s="163"/>
      <c r="F21" s="163"/>
      <c r="G21" s="351">
        <f>+G20/D20</f>
        <v>5.265638388705917E-2</v>
      </c>
      <c r="H21" s="351">
        <f t="shared" ref="H21:I21" si="0">+H20/E20</f>
        <v>0.17768624578834899</v>
      </c>
      <c r="I21" s="351">
        <f t="shared" si="0"/>
        <v>8.480138863933695E-2</v>
      </c>
      <c r="J21" s="415"/>
      <c r="K21" s="415"/>
      <c r="L21" s="415"/>
      <c r="M21" s="415"/>
      <c r="N21" s="415"/>
      <c r="O21" s="415"/>
      <c r="P21" s="415"/>
      <c r="Q21" s="415"/>
    </row>
    <row r="22" spans="2:161" ht="12.75" x14ac:dyDescent="0.25">
      <c r="B22" s="500" t="s">
        <v>22</v>
      </c>
      <c r="C22" s="500"/>
      <c r="D22" s="500"/>
      <c r="E22" s="500"/>
      <c r="F22" s="500"/>
      <c r="G22" s="500"/>
      <c r="H22" s="500"/>
      <c r="I22" s="500"/>
      <c r="J22" s="416"/>
    </row>
    <row r="23" spans="2:161" ht="13.5" thickBot="1" x14ac:dyDescent="0.3">
      <c r="B23" s="208"/>
      <c r="C23" s="266"/>
      <c r="D23" s="266"/>
      <c r="E23" s="163"/>
      <c r="F23" s="163"/>
      <c r="G23" s="163"/>
      <c r="H23" s="163"/>
      <c r="I23" s="163"/>
      <c r="J23" s="416"/>
    </row>
    <row r="24" spans="2:161" s="2" customFormat="1" ht="54.75" customHeight="1" thickBot="1" x14ac:dyDescent="0.3">
      <c r="B24" s="249" t="s">
        <v>14</v>
      </c>
      <c r="C24" s="250" t="s">
        <v>15</v>
      </c>
      <c r="D24" s="250" t="s">
        <v>23</v>
      </c>
      <c r="E24" s="251" t="s">
        <v>24</v>
      </c>
      <c r="F24" s="251" t="s">
        <v>25</v>
      </c>
      <c r="G24" s="251" t="s">
        <v>26</v>
      </c>
      <c r="H24" s="251" t="s">
        <v>27</v>
      </c>
      <c r="I24" s="252" t="s">
        <v>28</v>
      </c>
      <c r="J24" s="415"/>
      <c r="K24" s="359"/>
      <c r="L24" s="359"/>
      <c r="M24" s="359"/>
      <c r="N24" s="359"/>
      <c r="O24" s="359"/>
      <c r="P24" s="359"/>
      <c r="Q24" s="359"/>
      <c r="R24" s="359"/>
      <c r="S24" s="359"/>
    </row>
    <row r="25" spans="2:161" s="2" customFormat="1" ht="15" customHeight="1" x14ac:dyDescent="0.25">
      <c r="B25" s="515">
        <v>1</v>
      </c>
      <c r="C25" s="518" t="s">
        <v>19</v>
      </c>
      <c r="D25" s="257">
        <v>43556</v>
      </c>
      <c r="E25" s="258">
        <v>0</v>
      </c>
      <c r="F25" s="267">
        <v>0</v>
      </c>
      <c r="G25" s="267"/>
      <c r="H25" s="269">
        <f>SUMIF(GESTORES!$B$25:$B$55,D25,GESTORES!$M$25:$M$66)+SUMIF('GASTOS ADTIVOS'!$F$52:$F$113,D25,'GASTOS ADTIVOS'!$K$52:$K$113)</f>
        <v>9541266</v>
      </c>
      <c r="I25" s="268">
        <v>0</v>
      </c>
      <c r="J25" s="415"/>
      <c r="K25" s="360"/>
      <c r="L25" s="361" t="s">
        <v>342</v>
      </c>
      <c r="M25" s="361" t="s">
        <v>343</v>
      </c>
      <c r="N25" s="361" t="s">
        <v>346</v>
      </c>
      <c r="O25" s="361" t="s">
        <v>344</v>
      </c>
      <c r="P25" s="361" t="s">
        <v>345</v>
      </c>
      <c r="Q25" s="361" t="s">
        <v>346</v>
      </c>
      <c r="R25" s="359"/>
      <c r="S25" s="359"/>
    </row>
    <row r="26" spans="2:161" s="2" customFormat="1" ht="15" customHeight="1" x14ac:dyDescent="0.25">
      <c r="B26" s="516"/>
      <c r="C26" s="519"/>
      <c r="D26" s="255">
        <v>43586</v>
      </c>
      <c r="E26" s="12">
        <f>(6051500/2)*3+(6051500/30*3)</f>
        <v>9682400</v>
      </c>
      <c r="F26" s="269">
        <f ca="1">SUMIF(GESTORES!B24:$K$44,D26,GESTORES!L24:$L$31)+SUMIF('GASTOS ADTIVOS'!$F$12:$K$41,D26,'GASTOS ADTIVOS'!$K$12:$K$41)</f>
        <v>9682400</v>
      </c>
      <c r="G26" s="12">
        <f ca="1">+E26-F26</f>
        <v>0</v>
      </c>
      <c r="H26" s="269">
        <f>SUMIF(GESTORES!$B$25:$B$55,D26,GESTORES!$M$25:$M$66)+SUMIF('GASTOS ADTIVOS'!$F$52:$F$113,D26,'GASTOS ADTIVOS'!$K$52:$K$113)</f>
        <v>19043900.189999998</v>
      </c>
      <c r="I26" s="259">
        <f>+$E$18-H26</f>
        <v>156915099.81</v>
      </c>
      <c r="J26" s="415"/>
      <c r="K26" s="362">
        <v>43556</v>
      </c>
      <c r="L26" s="232">
        <f>SUMIFS(GESTORES!$L$25:$L$44,GESTORES!$B$25:$B$44,K26)</f>
        <v>0</v>
      </c>
      <c r="M26" s="360">
        <v>0</v>
      </c>
      <c r="N26" s="363">
        <f>+M26+L26</f>
        <v>0</v>
      </c>
      <c r="O26" s="232">
        <f>SUMIFS(GESTORES!$M$25:$M$45,GESTORES!$B$25:$B$45,K26)</f>
        <v>0</v>
      </c>
      <c r="P26" s="232">
        <f>SUMIFS('GASTOS ADTIVOS'!$K$52:$K$105,'GASTOS ADTIVOS'!$F$52:$F$105,K26)</f>
        <v>9541266</v>
      </c>
      <c r="Q26" s="364">
        <f>+P26+O26</f>
        <v>9541266</v>
      </c>
      <c r="R26" s="359"/>
      <c r="S26" s="359"/>
    </row>
    <row r="27" spans="2:161" s="2" customFormat="1" ht="15" customHeight="1" x14ac:dyDescent="0.25">
      <c r="B27" s="516"/>
      <c r="C27" s="519"/>
      <c r="D27" s="255">
        <v>43617</v>
      </c>
      <c r="E27" s="12">
        <f>6051500*4</f>
        <v>24206000</v>
      </c>
      <c r="F27" s="269">
        <f ca="1">SUMIF(GESTORES!B25:$K$44,D27,GESTORES!L25:$L$31)+SUMIF('GASTOS ADTIVOS'!$F$12:$K$41,D27,'GASTOS ADTIVOS'!$K$12:$K$41)</f>
        <v>24280391.48</v>
      </c>
      <c r="G27" s="12">
        <f ca="1">+E27-F27</f>
        <v>-74391.480000000447</v>
      </c>
      <c r="H27" s="269">
        <f>SUMIF(GESTORES!$B$25:$B$55,D27,GESTORES!$M$25:$M$66)+SUMIF('GASTOS ADTIVOS'!$F$52:$F$113,D27,'GASTOS ADTIVOS'!$K$52:$K$113)</f>
        <v>44678170.810000002</v>
      </c>
      <c r="I27" s="259">
        <f>+I26-H27</f>
        <v>112236929</v>
      </c>
      <c r="J27" s="415"/>
      <c r="K27" s="362">
        <v>43586</v>
      </c>
      <c r="L27" s="232">
        <f>SUMIFS(GESTORES!$L$25:$L$44,GESTORES!$B$25:$B$44,K27)</f>
        <v>9682400</v>
      </c>
      <c r="M27" s="360">
        <v>0</v>
      </c>
      <c r="N27" s="363">
        <f>+M27+L27</f>
        <v>9682400</v>
      </c>
      <c r="O27" s="232">
        <f>SUMIFS(GESTORES!$M$25:$M$45,GESTORES!$B$25:$B$45,K27)</f>
        <v>1781416</v>
      </c>
      <c r="P27" s="232">
        <f>SUMIFS('GASTOS ADTIVOS'!$K$52:$K$105,'GASTOS ADTIVOS'!$F$52:$F$105,K27)</f>
        <v>17262484.189999998</v>
      </c>
      <c r="Q27" s="364">
        <f>+P27+O27</f>
        <v>19043900.189999998</v>
      </c>
      <c r="R27" s="359"/>
      <c r="S27" s="359"/>
    </row>
    <row r="28" spans="2:161" s="2" customFormat="1" ht="15" customHeight="1" x14ac:dyDescent="0.25">
      <c r="B28" s="516"/>
      <c r="C28" s="519"/>
      <c r="D28" s="255">
        <v>43647</v>
      </c>
      <c r="E28" s="12">
        <f>(6051500/30)*169</f>
        <v>34090116.666666664</v>
      </c>
      <c r="F28" s="269">
        <f ca="1">SUMIF(GESTORES!B26:$K$44,D28,GESTORES!L26:$L$31)+SUMIF('GASTOS ADTIVOS'!$F$12:$K$41,D28,'GASTOS ADTIVOS'!$K$12:$K$41)</f>
        <v>33186471.109999999</v>
      </c>
      <c r="G28" s="12">
        <f t="shared" ref="G28:G37" ca="1" si="1">+E28-F28</f>
        <v>903645.55666666478</v>
      </c>
      <c r="H28" s="269">
        <f>SUMIF(GESTORES!$B$25:$B$55,D28,GESTORES!$M$25:$M$66)+SUMIF('GASTOS ADTIVOS'!$F$52:$F$113,D28,'GASTOS ADTIVOS'!$K$52:$K$113)</f>
        <v>22267137</v>
      </c>
      <c r="I28" s="259">
        <f t="shared" ref="I28:I37" si="2">+I27-H28</f>
        <v>89969792</v>
      </c>
      <c r="J28" s="415"/>
      <c r="K28" s="362">
        <v>43617</v>
      </c>
      <c r="L28" s="232">
        <f>SUMIFS(GESTORES!$L$25:$L$44,GESTORES!$B$25:$B$44,K28)</f>
        <v>24206000</v>
      </c>
      <c r="M28" s="232">
        <f>SUMIF('GASTOS ADTIVOS'!F12:F31,K28,'GASTOS ADTIVOS'!$K$12:$K$35)</f>
        <v>74391.48</v>
      </c>
      <c r="N28" s="363">
        <f>+M28+L28</f>
        <v>24280391.48</v>
      </c>
      <c r="O28" s="232">
        <f ca="1">SUMIF(GESTORES!$B$25:$B$66,K28,GESTORES!$M$25:$M$64)</f>
        <v>4451440</v>
      </c>
      <c r="P28" s="232">
        <f>SUMIFS('GASTOS ADTIVOS'!$K$52:$K$105,'GASTOS ADTIVOS'!$F$52:$F$105,K28)</f>
        <v>40226730.810000002</v>
      </c>
      <c r="Q28" s="364">
        <f ca="1">+P28+O28</f>
        <v>44678170.810000002</v>
      </c>
      <c r="R28" s="359"/>
      <c r="S28" s="359"/>
    </row>
    <row r="29" spans="2:161" s="2" customFormat="1" ht="15" customHeight="1" x14ac:dyDescent="0.25">
      <c r="B29" s="516"/>
      <c r="C29" s="519"/>
      <c r="D29" s="255">
        <v>43678</v>
      </c>
      <c r="E29" s="12">
        <f t="shared" ref="E29:E35" si="3">6051500*6</f>
        <v>36309000</v>
      </c>
      <c r="F29" s="269">
        <f ca="1">SUMIF(GESTORES!B27:$K$44,D29,GESTORES!L27:$L$31)+SUMIF('GASTOS ADTIVOS'!$F$12:$K$41,D29,'GASTOS ADTIVOS'!$K$12:$K$41)</f>
        <v>36309000</v>
      </c>
      <c r="G29" s="12">
        <f t="shared" ca="1" si="1"/>
        <v>0</v>
      </c>
      <c r="H29" s="269">
        <f>SUMIF(GESTORES!$B$25:$B$55,D29,GESTORES!$M$25:$M$66)+SUMIF('GASTOS ADTIVOS'!$F$52:$F$113,D29,'GASTOS ADTIVOS'!$K$52:$K$113)</f>
        <v>25288888</v>
      </c>
      <c r="I29" s="259">
        <f>+I28-H29</f>
        <v>64680904</v>
      </c>
      <c r="J29" s="415"/>
      <c r="K29" s="362">
        <v>43647</v>
      </c>
      <c r="L29" s="232">
        <f>SUMIFS(GESTORES!$L$25:$L$44,GESTORES!$B$25:$B$44,K29)</f>
        <v>33081533</v>
      </c>
      <c r="M29" s="232">
        <f>SUMIF('GASTOS ADTIVOS'!$F$12:$F$41,K29,'GASTOS ADTIVOS'!$K$12:$K$41)</f>
        <v>104938.11</v>
      </c>
      <c r="N29" s="363">
        <f>+M29+L29</f>
        <v>33186471.109999999</v>
      </c>
      <c r="O29" s="232">
        <f ca="1">SUMIF(GESTORES!$B$25:$B$66,K29,GESTORES!$M$25:$M$64)</f>
        <v>4098397</v>
      </c>
      <c r="P29" s="232">
        <f>SUMIFS('GASTOS ADTIVOS'!$K$52:$K$105,'GASTOS ADTIVOS'!$F$52:$F$105,K29)</f>
        <v>18168740</v>
      </c>
      <c r="Q29" s="364">
        <f ca="1">+P29+O29</f>
        <v>22267137</v>
      </c>
      <c r="R29" s="359"/>
      <c r="S29" s="359"/>
    </row>
    <row r="30" spans="2:161" s="2" customFormat="1" ht="15" customHeight="1" x14ac:dyDescent="0.25">
      <c r="B30" s="516"/>
      <c r="C30" s="519"/>
      <c r="D30" s="255">
        <v>43709</v>
      </c>
      <c r="E30" s="12">
        <f t="shared" si="3"/>
        <v>36309000</v>
      </c>
      <c r="F30" s="269">
        <f ca="1">SUMIF(GESTORES!B28:$K$44,D30,GESTORES!L28:$L$31)+SUMIF('GASTOS ADTIVOS'!$F$12:$K$41,D30,'GASTOS ADTIVOS'!$K$12:$K$41)</f>
        <v>0</v>
      </c>
      <c r="G30" s="12">
        <f t="shared" ca="1" si="1"/>
        <v>36309000</v>
      </c>
      <c r="H30" s="269">
        <f>SUMIF(GESTORES!$B$25:$B$55,D30,GESTORES!$M$25:$M$66)+SUMIF('GASTOS ADTIVOS'!$F$52:$F$113,D30,'GASTOS ADTIVOS'!$K$52:$K$113)</f>
        <v>0</v>
      </c>
      <c r="I30" s="259">
        <f t="shared" si="2"/>
        <v>64680904</v>
      </c>
      <c r="J30" s="415"/>
      <c r="K30" s="362">
        <v>43678</v>
      </c>
      <c r="L30" s="232">
        <f>SUMIFS(GESTORES!$L$25:$L$44,GESTORES!$B$25:$B$44,K30)</f>
        <v>36309000</v>
      </c>
      <c r="M30" s="232">
        <f>SUMIF('GASTOS ADTIVOS'!$F$12:$F$41,K30,'GASTOS ADTIVOS'!$K$12:$K$41)</f>
        <v>0</v>
      </c>
      <c r="N30" s="363">
        <f>+M30+L30</f>
        <v>36309000</v>
      </c>
      <c r="O30" s="232">
        <f ca="1">SUMIF(GESTORES!$B$25:$B$66,K30,GESTORES!$M$25:$M$64)</f>
        <v>4336608</v>
      </c>
      <c r="P30" s="232">
        <f>SUMIFS('GASTOS ADTIVOS'!$K$52:$K$105,'GASTOS ADTIVOS'!$F$52:$F$105,K30)</f>
        <v>20952280</v>
      </c>
      <c r="Q30" s="364">
        <f ca="1">+P30+O30</f>
        <v>25288888</v>
      </c>
      <c r="R30" s="359"/>
      <c r="S30" s="359"/>
    </row>
    <row r="31" spans="2:161" s="2" customFormat="1" ht="15" customHeight="1" x14ac:dyDescent="0.25">
      <c r="B31" s="516"/>
      <c r="C31" s="519"/>
      <c r="D31" s="255">
        <v>43739</v>
      </c>
      <c r="E31" s="12">
        <f t="shared" si="3"/>
        <v>36309000</v>
      </c>
      <c r="F31" s="269">
        <f ca="1">SUMIF(GESTORES!B29:$K$44,D31,GESTORES!L29:$L$31)+SUMIF('GASTOS ADTIVOS'!$F$12:$K$41,D31,'GASTOS ADTIVOS'!$K$12:$K$41)</f>
        <v>0</v>
      </c>
      <c r="G31" s="12">
        <f t="shared" ca="1" si="1"/>
        <v>36309000</v>
      </c>
      <c r="H31" s="269">
        <f>SUMIF(GESTORES!$B$25:$B$55,D31,GESTORES!$M$25:$M$66)+SUMIF('GASTOS ADTIVOS'!$F$52:$F$113,D31,'GASTOS ADTIVOS'!$K$52:$K$113)</f>
        <v>0</v>
      </c>
      <c r="I31" s="259">
        <f t="shared" si="2"/>
        <v>64680904</v>
      </c>
      <c r="J31" s="415"/>
      <c r="K31" s="362">
        <v>43709</v>
      </c>
      <c r="L31" s="232">
        <f>SUMIFS(GESTORES!$L$25:$L$44,GESTORES!$B$25:$B$44,K31)</f>
        <v>0</v>
      </c>
      <c r="M31" s="232">
        <f>SUMIF('GASTOS ADTIVOS'!$F$12:$F$41,K31,'GASTOS ADTIVOS'!$K$12:$K$41)</f>
        <v>0</v>
      </c>
      <c r="N31" s="363">
        <f t="shared" ref="N31:N33" si="4">+M31+L31</f>
        <v>0</v>
      </c>
      <c r="O31" s="232">
        <f ca="1">SUMIF(GESTORES!$B$25:$B$66,K31,GESTORES!$M$25:$M$64)</f>
        <v>0</v>
      </c>
      <c r="P31" s="232">
        <f>SUMIFS('GASTOS ADTIVOS'!$K$52:$K$105,'GASTOS ADTIVOS'!$F$52:$F$105,K31)</f>
        <v>0</v>
      </c>
      <c r="Q31" s="364">
        <f t="shared" ref="Q31:Q33" ca="1" si="5">+P31+O31</f>
        <v>0</v>
      </c>
      <c r="R31" s="359"/>
      <c r="S31" s="359"/>
    </row>
    <row r="32" spans="2:161" s="2" customFormat="1" ht="15" customHeight="1" x14ac:dyDescent="0.25">
      <c r="B32" s="516"/>
      <c r="C32" s="519"/>
      <c r="D32" s="255">
        <v>43770</v>
      </c>
      <c r="E32" s="12">
        <f t="shared" si="3"/>
        <v>36309000</v>
      </c>
      <c r="F32" s="269">
        <f ca="1">SUMIF(GESTORES!B30:$K$44,D32,GESTORES!L30:$L$31)+SUMIF('GASTOS ADTIVOS'!$F$12:$K$41,D32,'GASTOS ADTIVOS'!$K$12:$K$41)</f>
        <v>0</v>
      </c>
      <c r="G32" s="12">
        <f t="shared" ca="1" si="1"/>
        <v>36309000</v>
      </c>
      <c r="H32" s="269">
        <f>SUMIF(GESTORES!$B$25:$B$55,D32,GESTORES!$M$25:$M$66)+SUMIF('GASTOS ADTIVOS'!$F$52:$F$113,D32,'GASTOS ADTIVOS'!$K$52:$K$113)</f>
        <v>0</v>
      </c>
      <c r="I32" s="259">
        <f t="shared" si="2"/>
        <v>64680904</v>
      </c>
      <c r="J32" s="428"/>
      <c r="K32" s="362">
        <v>43739</v>
      </c>
      <c r="L32" s="232">
        <f>SUMIFS(GESTORES!$L$25:$L$44,GESTORES!$B$25:$B$44,K32)</f>
        <v>0</v>
      </c>
      <c r="M32" s="232">
        <f>SUMIF('GASTOS ADTIVOS'!$F$12:$F$41,K32,'GASTOS ADTIVOS'!$K$12:$K$41)</f>
        <v>0</v>
      </c>
      <c r="N32" s="363">
        <f t="shared" si="4"/>
        <v>0</v>
      </c>
      <c r="O32" s="232">
        <f ca="1">SUMIF(GESTORES!$B$25:$B$66,K32,GESTORES!$M$25:$M$64)</f>
        <v>0</v>
      </c>
      <c r="P32" s="232">
        <f>SUMIFS('GASTOS ADTIVOS'!$K$52:$K$105,'GASTOS ADTIVOS'!$F$52:$F$105,K32)</f>
        <v>0</v>
      </c>
      <c r="Q32" s="364">
        <f t="shared" ca="1" si="5"/>
        <v>0</v>
      </c>
      <c r="R32" s="359"/>
      <c r="S32" s="359"/>
    </row>
    <row r="33" spans="2:19" s="2" customFormat="1" ht="15" customHeight="1" x14ac:dyDescent="0.25">
      <c r="B33" s="516"/>
      <c r="C33" s="519"/>
      <c r="D33" s="255">
        <v>43800</v>
      </c>
      <c r="E33" s="12">
        <f t="shared" si="3"/>
        <v>36309000</v>
      </c>
      <c r="F33" s="269">
        <f ca="1">SUMIF(GESTORES!B31:$K$44,D33,GESTORES!L31:$L$31)+SUMIF('GASTOS ADTIVOS'!$F$12:$K$41,D33,'GASTOS ADTIVOS'!$K$12:$K$41)</f>
        <v>0</v>
      </c>
      <c r="G33" s="12">
        <f t="shared" ca="1" si="1"/>
        <v>36309000</v>
      </c>
      <c r="H33" s="269">
        <f>SUMIF(GESTORES!$B$25:$B$55,D33,GESTORES!$M$25:$M$66)+SUMIF('GASTOS ADTIVOS'!$F$52:$F$113,D33,'GASTOS ADTIVOS'!$K$52:$K$113)</f>
        <v>0</v>
      </c>
      <c r="I33" s="259">
        <f t="shared" si="2"/>
        <v>64680904</v>
      </c>
      <c r="J33" s="415"/>
      <c r="K33" s="362">
        <v>43770</v>
      </c>
      <c r="L33" s="232">
        <f>SUMIFS(GESTORES!$L$25:$L$44,GESTORES!$B$25:$B$44,K33)</f>
        <v>0</v>
      </c>
      <c r="M33" s="232">
        <f>SUMIF('GASTOS ADTIVOS'!$F$12:$F$41,K33,'GASTOS ADTIVOS'!$K$12:$K$41)</f>
        <v>0</v>
      </c>
      <c r="N33" s="363">
        <f t="shared" si="4"/>
        <v>0</v>
      </c>
      <c r="O33" s="232">
        <f ca="1">SUMIF(GESTORES!$B$25:$B$66,K33,GESTORES!$M$25:$M$64)</f>
        <v>0</v>
      </c>
      <c r="P33" s="232">
        <f>SUMIFS('GASTOS ADTIVOS'!$K$52:$K$105,'GASTOS ADTIVOS'!$F$52:$F$105,K33)</f>
        <v>0</v>
      </c>
      <c r="Q33" s="364">
        <f t="shared" ca="1" si="5"/>
        <v>0</v>
      </c>
      <c r="R33" s="359"/>
      <c r="S33" s="359"/>
    </row>
    <row r="34" spans="2:19" s="2" customFormat="1" ht="15" customHeight="1" x14ac:dyDescent="0.25">
      <c r="B34" s="516"/>
      <c r="C34" s="519"/>
      <c r="D34" s="255">
        <v>43831</v>
      </c>
      <c r="E34" s="12">
        <f t="shared" si="3"/>
        <v>36309000</v>
      </c>
      <c r="F34" s="269">
        <f ca="1">SUMIF(GESTORES!B32:$K$44,D34,GESTORES!L$31:$L32)+SUMIF('GASTOS ADTIVOS'!$F$12:$K$41,D34,'GASTOS ADTIVOS'!$K$12:$K$41)</f>
        <v>0</v>
      </c>
      <c r="G34" s="12">
        <f t="shared" ca="1" si="1"/>
        <v>36309000</v>
      </c>
      <c r="H34" s="269">
        <f>SUMIF(GESTORES!$B$25:$B$55,D34,GESTORES!$M$25:$M$66)+SUMIF('GASTOS ADTIVOS'!$F$52:$F$113,D34,'GASTOS ADTIVOS'!$K$52:$K$113)</f>
        <v>0</v>
      </c>
      <c r="I34" s="259">
        <f t="shared" si="2"/>
        <v>64680904</v>
      </c>
      <c r="J34" s="415"/>
      <c r="K34" s="362">
        <v>43800</v>
      </c>
      <c r="L34" s="232">
        <f>SUMIFS(GESTORES!$L$25:$L$44,GESTORES!$B$25:$B$44,K34)</f>
        <v>0</v>
      </c>
      <c r="M34" s="232">
        <f>SUMIF('GASTOS ADTIVOS'!$F$12:$F$41,K34,'GASTOS ADTIVOS'!$K$12:$K$41)</f>
        <v>0</v>
      </c>
      <c r="N34" s="363">
        <f t="shared" ref="N34:N37" si="6">+M34+L34</f>
        <v>0</v>
      </c>
      <c r="O34" s="232">
        <f ca="1">SUMIF(GESTORES!$B$25:$B$66,K34,GESTORES!$M$25:$M$64)</f>
        <v>0</v>
      </c>
      <c r="P34" s="232">
        <f>SUMIFS('GASTOS ADTIVOS'!$K$52:$K$105,'GASTOS ADTIVOS'!$F$52:$F$105,K34)</f>
        <v>0</v>
      </c>
      <c r="Q34" s="364">
        <f t="shared" ref="Q34:Q37" ca="1" si="7">+P34+O34</f>
        <v>0</v>
      </c>
      <c r="R34" s="359"/>
      <c r="S34" s="359"/>
    </row>
    <row r="35" spans="2:19" s="2" customFormat="1" ht="15" customHeight="1" x14ac:dyDescent="0.25">
      <c r="B35" s="516"/>
      <c r="C35" s="519"/>
      <c r="D35" s="255">
        <v>43862</v>
      </c>
      <c r="E35" s="12">
        <f t="shared" si="3"/>
        <v>36309000</v>
      </c>
      <c r="F35" s="269">
        <f ca="1">SUMIF(GESTORES!B33:$K$44,D35,GESTORES!L$31:$L33)+SUMIF('GASTOS ADTIVOS'!$F$12:$K$41,D35,'GASTOS ADTIVOS'!$K$12:$K$41)</f>
        <v>0</v>
      </c>
      <c r="G35" s="12">
        <f t="shared" ca="1" si="1"/>
        <v>36309000</v>
      </c>
      <c r="H35" s="269">
        <f>SUMIF(GESTORES!$B$25:$B$55,D35,GESTORES!$M$25:$M$66)+SUMIF('GASTOS ADTIVOS'!$F$52:$F$113,D35,'GASTOS ADTIVOS'!$K$52:$K$113)</f>
        <v>0</v>
      </c>
      <c r="I35" s="259">
        <f t="shared" si="2"/>
        <v>64680904</v>
      </c>
      <c r="J35" s="415"/>
      <c r="K35" s="362">
        <v>43831</v>
      </c>
      <c r="L35" s="232">
        <f>SUMIFS(GESTORES!$L$25:$L$44,GESTORES!$B$25:$B$44,K35)</f>
        <v>0</v>
      </c>
      <c r="M35" s="232">
        <f>SUMIF('GASTOS ADTIVOS'!$F$12:$F$41,K35,'GASTOS ADTIVOS'!$K$12:$K$41)</f>
        <v>0</v>
      </c>
      <c r="N35" s="363">
        <f t="shared" si="6"/>
        <v>0</v>
      </c>
      <c r="O35" s="232">
        <f ca="1">SUMIF(GESTORES!$B$25:$B$66,K35,GESTORES!$M$25:$M$64)</f>
        <v>0</v>
      </c>
      <c r="P35" s="232">
        <f>SUMIFS('GASTOS ADTIVOS'!$K$52:$K$105,'GASTOS ADTIVOS'!$F$52:$F$105,K35)</f>
        <v>0</v>
      </c>
      <c r="Q35" s="364">
        <f t="shared" ca="1" si="7"/>
        <v>0</v>
      </c>
      <c r="R35" s="359"/>
      <c r="S35" s="359"/>
    </row>
    <row r="36" spans="2:19" s="2" customFormat="1" ht="15" customHeight="1" x14ac:dyDescent="0.25">
      <c r="B36" s="516"/>
      <c r="C36" s="519"/>
      <c r="D36" s="255">
        <v>43891</v>
      </c>
      <c r="E36" s="12">
        <v>4639483</v>
      </c>
      <c r="F36" s="269">
        <f ca="1">SUMIF(GESTORES!B34:$K$44,D36,GESTORES!L$31:$L34)+SUMIF('GASTOS ADTIVOS'!$F$12:$K$41,D36,'GASTOS ADTIVOS'!$K$12:$K$41)</f>
        <v>0</v>
      </c>
      <c r="G36" s="12">
        <f t="shared" ca="1" si="1"/>
        <v>4639483</v>
      </c>
      <c r="H36" s="269">
        <f>SUMIF(GESTORES!$B$25:$B$55,D36,GESTORES!$M$25:$M$66)+SUMIF('GASTOS ADTIVOS'!$F$52:$F$113,D36,'GASTOS ADTIVOS'!$K$52:$K$113)</f>
        <v>0</v>
      </c>
      <c r="I36" s="259">
        <f t="shared" si="2"/>
        <v>64680904</v>
      </c>
      <c r="J36" s="415"/>
      <c r="K36" s="362">
        <v>43862</v>
      </c>
      <c r="L36" s="232">
        <f>SUMIFS(GESTORES!$L$25:$L$44,GESTORES!$B$25:$B$44,K36)</f>
        <v>0</v>
      </c>
      <c r="M36" s="232">
        <f>SUMIF('GASTOS ADTIVOS'!$F$12:$F$41,K36,'GASTOS ADTIVOS'!$K$12:$K$41)</f>
        <v>0</v>
      </c>
      <c r="N36" s="363">
        <f t="shared" si="6"/>
        <v>0</v>
      </c>
      <c r="O36" s="232">
        <f ca="1">SUMIF(GESTORES!$B$25:$B$66,K36,GESTORES!$M$25:$M$64)</f>
        <v>0</v>
      </c>
      <c r="P36" s="232">
        <f>SUMIFS('GASTOS ADTIVOS'!$K$52:$K$105,'GASTOS ADTIVOS'!$F$52:$F$105,K36)</f>
        <v>0</v>
      </c>
      <c r="Q36" s="364">
        <f t="shared" ca="1" si="7"/>
        <v>0</v>
      </c>
      <c r="R36" s="359"/>
      <c r="S36" s="359"/>
    </row>
    <row r="37" spans="2:19" s="2" customFormat="1" ht="15" customHeight="1" thickBot="1" x14ac:dyDescent="0.3">
      <c r="B37" s="517"/>
      <c r="C37" s="520"/>
      <c r="D37" s="260">
        <v>43922</v>
      </c>
      <c r="E37" s="261"/>
      <c r="F37" s="269">
        <f ca="1">SUMIF(GESTORES!B35:$K$44,D37,GESTORES!L$31:$L35)+SUMIF('GASTOS ADTIVOS'!$F$12:$K$41,D37,'GASTOS ADTIVOS'!$K$12:$K$41)</f>
        <v>0</v>
      </c>
      <c r="G37" s="12">
        <f t="shared" ca="1" si="1"/>
        <v>0</v>
      </c>
      <c r="H37" s="269">
        <f>SUMIF(GESTORES!$B$25:$B$55,D37,GESTORES!$M$25:$M$66)+SUMIF('GASTOS ADTIVOS'!$F$52:$F$113,D37,'GASTOS ADTIVOS'!$K$52:$K$113)</f>
        <v>0</v>
      </c>
      <c r="I37" s="262">
        <f t="shared" si="2"/>
        <v>64680904</v>
      </c>
      <c r="J37" s="415"/>
      <c r="K37" s="362">
        <v>43891</v>
      </c>
      <c r="L37" s="232">
        <f>SUMIFS(GESTORES!$L$25:$L$44,GESTORES!$B$25:$B$44,K37)</f>
        <v>0</v>
      </c>
      <c r="M37" s="232">
        <f>SUMIF('GASTOS ADTIVOS'!$F$12:$F$41,K37,'GASTOS ADTIVOS'!$K$12:$K$41)</f>
        <v>0</v>
      </c>
      <c r="N37" s="363">
        <f t="shared" si="6"/>
        <v>0</v>
      </c>
      <c r="O37" s="232">
        <f ca="1">SUMIF(GESTORES!$B$25:$B$66,K37,GESTORES!$M$25:$M$64)</f>
        <v>0</v>
      </c>
      <c r="P37" s="232">
        <f>SUMIFS('GASTOS ADTIVOS'!$K$52:$K$105,'GASTOS ADTIVOS'!$F$52:$F$105,K37)</f>
        <v>0</v>
      </c>
      <c r="Q37" s="364">
        <f t="shared" ca="1" si="7"/>
        <v>0</v>
      </c>
    </row>
    <row r="38" spans="2:19" s="2" customFormat="1" ht="15" customHeight="1" thickBot="1" x14ac:dyDescent="0.3">
      <c r="B38" s="40" t="s">
        <v>29</v>
      </c>
      <c r="C38" s="27"/>
      <c r="D38" s="27"/>
      <c r="E38" s="263">
        <f>SUM(E26:E37)</f>
        <v>326780999.66666663</v>
      </c>
      <c r="F38" s="263">
        <f ca="1">SUM(F25:F37)</f>
        <v>103458262.59</v>
      </c>
      <c r="G38" s="263">
        <f ca="1">+E38-F38</f>
        <v>223322737.07666662</v>
      </c>
      <c r="H38" s="263">
        <f>SUM(H25:H37)</f>
        <v>120819362</v>
      </c>
      <c r="I38" s="256"/>
      <c r="J38" s="428"/>
      <c r="K38" s="429"/>
      <c r="L38" s="359"/>
      <c r="M38" s="359"/>
      <c r="N38" s="365">
        <f>SUM(N26:N33)</f>
        <v>103458262.59</v>
      </c>
      <c r="O38" s="360"/>
      <c r="P38" s="360"/>
      <c r="Q38" s="365">
        <f ca="1">SUM(Q26:Q33)</f>
        <v>120819362</v>
      </c>
    </row>
    <row r="39" spans="2:19" s="2" customFormat="1" ht="15" customHeight="1" thickBot="1" x14ac:dyDescent="0.3">
      <c r="B39" s="18"/>
      <c r="C39" s="18"/>
      <c r="D39" s="18"/>
      <c r="E39" s="18"/>
      <c r="F39" s="434">
        <f ca="1">+G20-F38</f>
        <v>0</v>
      </c>
      <c r="G39" s="435"/>
      <c r="H39" s="434">
        <f>+H20-H38</f>
        <v>0</v>
      </c>
      <c r="I39" s="18"/>
      <c r="J39" s="415"/>
      <c r="K39" s="359"/>
      <c r="L39" s="359"/>
      <c r="M39" s="359"/>
      <c r="N39" s="359"/>
      <c r="O39" s="359"/>
      <c r="P39" s="359"/>
      <c r="Q39" s="359"/>
    </row>
    <row r="40" spans="2:19" s="2" customFormat="1" ht="39" thickBot="1" x14ac:dyDescent="0.3">
      <c r="B40" s="249" t="s">
        <v>14</v>
      </c>
      <c r="C40" s="250" t="s">
        <v>15</v>
      </c>
      <c r="D40" s="251" t="s">
        <v>30</v>
      </c>
      <c r="E40" s="251" t="s">
        <v>25</v>
      </c>
      <c r="F40" s="251" t="s">
        <v>26</v>
      </c>
      <c r="G40" s="251" t="s">
        <v>31</v>
      </c>
      <c r="H40" s="251" t="s">
        <v>32</v>
      </c>
      <c r="I40" s="252" t="s">
        <v>33</v>
      </c>
      <c r="J40" s="415"/>
      <c r="K40" s="359"/>
      <c r="L40" s="359"/>
      <c r="M40" s="359"/>
      <c r="N40" s="359"/>
      <c r="O40" s="359"/>
      <c r="P40" s="359"/>
      <c r="Q40" s="359"/>
    </row>
    <row r="41" spans="2:19" s="2" customFormat="1" ht="15" customHeight="1" thickBot="1" x14ac:dyDescent="0.3">
      <c r="B41" s="336">
        <v>2</v>
      </c>
      <c r="C41" s="253" t="s">
        <v>20</v>
      </c>
      <c r="D41" s="254">
        <f>+EXTENSIONISTAS!S71</f>
        <v>433628000</v>
      </c>
      <c r="E41" s="254">
        <f>+EXTENSIONISTAS!Z71</f>
        <v>0</v>
      </c>
      <c r="F41" s="242">
        <f>+$D$19-E41</f>
        <v>1638000000</v>
      </c>
      <c r="G41" s="33">
        <f>+EXTENSIONISTAS!T71</f>
        <v>115421000</v>
      </c>
      <c r="H41" s="33">
        <f>+EXTENSIONISTAS!AA71</f>
        <v>0</v>
      </c>
      <c r="I41" s="444">
        <f>+E19-H41</f>
        <v>504000000</v>
      </c>
      <c r="J41" s="415"/>
      <c r="K41" s="415"/>
      <c r="L41" s="415"/>
      <c r="M41" s="415"/>
      <c r="N41" s="415"/>
      <c r="O41" s="415"/>
      <c r="P41" s="415"/>
      <c r="Q41" s="415"/>
    </row>
    <row r="42" spans="2:19" s="2" customFormat="1" ht="15" customHeight="1" thickBot="1" x14ac:dyDescent="0.3">
      <c r="B42" s="40" t="s">
        <v>34</v>
      </c>
      <c r="C42" s="27"/>
      <c r="D42" s="159">
        <f>SUM(D41)</f>
        <v>433628000</v>
      </c>
      <c r="E42" s="30">
        <f>SUM(E41)</f>
        <v>0</v>
      </c>
      <c r="F42" s="30">
        <f>+$D$19-D42-E42</f>
        <v>1204372000</v>
      </c>
      <c r="G42" s="30">
        <f>SUM(G41)</f>
        <v>115421000</v>
      </c>
      <c r="H42" s="30">
        <f>SUM(H41)</f>
        <v>0</v>
      </c>
      <c r="I42" s="236">
        <f>+$E$19-H42-G42</f>
        <v>388579000</v>
      </c>
      <c r="J42" s="415"/>
      <c r="K42" s="415"/>
      <c r="L42" s="415"/>
      <c r="M42" s="415"/>
      <c r="N42" s="415"/>
      <c r="O42" s="415"/>
      <c r="P42" s="415"/>
      <c r="Q42" s="415"/>
    </row>
    <row r="43" spans="2:19" s="2" customFormat="1" ht="15" customHeight="1" x14ac:dyDescent="0.25">
      <c r="B43" s="265"/>
      <c r="C43" s="163"/>
      <c r="D43" s="163"/>
      <c r="E43" s="163"/>
      <c r="F43" s="163"/>
      <c r="G43" s="163"/>
      <c r="H43" s="163"/>
      <c r="I43" s="18"/>
      <c r="J43" s="415"/>
      <c r="K43" s="415"/>
      <c r="L43" s="415"/>
      <c r="M43" s="415"/>
      <c r="N43" s="415"/>
      <c r="O43" s="415"/>
      <c r="P43" s="415"/>
      <c r="Q43" s="415"/>
    </row>
    <row r="44" spans="2:19" ht="12.75" x14ac:dyDescent="0.25">
      <c r="B44" s="500" t="s">
        <v>35</v>
      </c>
      <c r="C44" s="500"/>
      <c r="D44" s="500"/>
      <c r="E44" s="500"/>
      <c r="F44" s="500"/>
      <c r="G44" s="500"/>
      <c r="H44" s="500"/>
      <c r="I44" s="500"/>
      <c r="J44" s="416"/>
    </row>
    <row r="45" spans="2:19" ht="13.5" thickBot="1" x14ac:dyDescent="0.3">
      <c r="B45" s="208"/>
      <c r="C45" s="266"/>
      <c r="D45" s="266"/>
      <c r="E45" s="163"/>
      <c r="F45" s="163"/>
      <c r="G45" s="163"/>
      <c r="H45" s="163"/>
      <c r="I45" s="163"/>
      <c r="J45" s="416"/>
    </row>
    <row r="46" spans="2:19" s="2" customFormat="1" ht="57" customHeight="1" thickBot="1" x14ac:dyDescent="0.3">
      <c r="B46" s="167" t="s">
        <v>36</v>
      </c>
      <c r="C46" s="167" t="s">
        <v>37</v>
      </c>
      <c r="D46" s="501" t="s">
        <v>38</v>
      </c>
      <c r="E46" s="502"/>
      <c r="F46" s="503"/>
      <c r="G46" s="501" t="s">
        <v>39</v>
      </c>
      <c r="H46" s="502"/>
      <c r="I46" s="503"/>
      <c r="J46" s="415"/>
      <c r="K46" s="415"/>
      <c r="L46" s="415"/>
      <c r="M46" s="415"/>
      <c r="N46" s="415"/>
      <c r="O46" s="415"/>
      <c r="P46" s="415"/>
      <c r="Q46" s="415"/>
    </row>
    <row r="47" spans="2:19" s="2" customFormat="1" ht="36" customHeight="1" thickBot="1" x14ac:dyDescent="0.3">
      <c r="B47" s="436" t="s">
        <v>40</v>
      </c>
      <c r="C47" s="438">
        <v>0.5</v>
      </c>
      <c r="D47" s="439" t="s">
        <v>41</v>
      </c>
      <c r="E47" s="439" t="s">
        <v>42</v>
      </c>
      <c r="F47" s="439" t="s">
        <v>43</v>
      </c>
      <c r="G47" s="439" t="s">
        <v>41</v>
      </c>
      <c r="H47" s="439" t="s">
        <v>42</v>
      </c>
      <c r="I47" s="440" t="s">
        <v>43</v>
      </c>
      <c r="J47" s="415"/>
      <c r="K47" s="415"/>
      <c r="L47" s="415"/>
      <c r="M47" s="415"/>
      <c r="N47" s="415"/>
      <c r="O47" s="415"/>
      <c r="P47" s="415"/>
      <c r="Q47" s="415"/>
    </row>
    <row r="48" spans="2:19" s="2" customFormat="1" ht="15" customHeight="1" thickBot="1" x14ac:dyDescent="0.3">
      <c r="B48" s="437">
        <f>+C48+D48+G48</f>
        <v>1964781000</v>
      </c>
      <c r="C48" s="441">
        <v>576927000</v>
      </c>
      <c r="D48" s="441">
        <v>693927000</v>
      </c>
      <c r="E48" s="441">
        <f>+C48*80%</f>
        <v>461541600</v>
      </c>
      <c r="F48" s="442">
        <f>175*30%</f>
        <v>52.5</v>
      </c>
      <c r="G48" s="441">
        <v>693927000</v>
      </c>
      <c r="H48" s="441">
        <f>+(C48+D48)*80%</f>
        <v>1016683200</v>
      </c>
      <c r="I48" s="443">
        <f>175*60%</f>
        <v>105</v>
      </c>
      <c r="J48" s="415"/>
      <c r="K48" s="415"/>
      <c r="L48" s="415"/>
      <c r="M48" s="415"/>
      <c r="N48" s="415"/>
      <c r="O48" s="415"/>
      <c r="P48" s="415"/>
      <c r="Q48" s="415"/>
    </row>
    <row r="49" spans="2:17" s="2" customFormat="1" ht="15" customHeight="1" x14ac:dyDescent="0.25">
      <c r="B49" s="39"/>
      <c r="D49" s="3"/>
      <c r="E49" s="3"/>
      <c r="F49" s="3"/>
      <c r="G49" s="3"/>
      <c r="J49" s="415"/>
      <c r="K49" s="415"/>
      <c r="L49" s="415"/>
      <c r="M49" s="415"/>
      <c r="N49" s="415"/>
      <c r="O49" s="415"/>
      <c r="P49" s="415"/>
      <c r="Q49" s="415"/>
    </row>
    <row r="50" spans="2:17" s="2" customFormat="1" ht="15" customHeight="1" x14ac:dyDescent="0.25">
      <c r="B50" s="39"/>
      <c r="D50" s="3"/>
      <c r="E50" s="3"/>
      <c r="F50" s="3"/>
      <c r="G50" s="3"/>
      <c r="J50" s="415"/>
      <c r="K50" s="415"/>
      <c r="L50" s="415"/>
      <c r="M50" s="415"/>
      <c r="N50" s="415"/>
      <c r="O50" s="415"/>
      <c r="P50" s="415"/>
      <c r="Q50" s="415"/>
    </row>
    <row r="51" spans="2:17" s="2" customFormat="1" ht="15" customHeight="1" x14ac:dyDescent="0.25">
      <c r="B51" s="39"/>
      <c r="D51" s="3"/>
      <c r="E51" s="3"/>
      <c r="F51" s="3"/>
      <c r="G51" s="3"/>
      <c r="J51" s="415"/>
      <c r="K51" s="415"/>
      <c r="L51" s="415"/>
      <c r="M51" s="415"/>
      <c r="N51" s="415"/>
      <c r="O51" s="415"/>
      <c r="P51" s="415"/>
      <c r="Q51" s="415"/>
    </row>
    <row r="52" spans="2:17" s="2" customFormat="1" ht="15" customHeight="1" x14ac:dyDescent="0.25">
      <c r="B52" s="39"/>
      <c r="D52" s="3"/>
      <c r="E52" s="3"/>
      <c r="F52" s="3"/>
      <c r="G52" s="3"/>
      <c r="J52" s="415"/>
      <c r="K52" s="415"/>
      <c r="L52" s="415"/>
      <c r="M52" s="415"/>
      <c r="N52" s="415"/>
      <c r="O52" s="415"/>
      <c r="P52" s="415"/>
      <c r="Q52" s="415"/>
    </row>
    <row r="53" spans="2:17" s="2" customFormat="1" ht="15" customHeight="1" x14ac:dyDescent="0.25">
      <c r="B53" s="39"/>
      <c r="D53" s="3"/>
      <c r="E53" s="3"/>
      <c r="F53" s="3"/>
      <c r="G53" s="3"/>
      <c r="J53" s="415"/>
      <c r="K53" s="415"/>
      <c r="L53" s="415"/>
      <c r="M53" s="415"/>
      <c r="N53" s="415"/>
      <c r="O53" s="415"/>
      <c r="P53" s="415"/>
      <c r="Q53" s="415"/>
    </row>
    <row r="54" spans="2:17" s="2" customFormat="1" ht="15" customHeight="1" x14ac:dyDescent="0.25">
      <c r="B54" s="39"/>
      <c r="D54" s="3"/>
      <c r="E54" s="3"/>
      <c r="F54" s="3"/>
      <c r="G54" s="3"/>
      <c r="J54" s="415"/>
      <c r="K54" s="415"/>
      <c r="L54" s="415"/>
      <c r="M54" s="415"/>
      <c r="N54" s="415"/>
      <c r="O54" s="415"/>
      <c r="P54" s="415"/>
      <c r="Q54" s="415"/>
    </row>
    <row r="55" spans="2:17" s="2" customFormat="1" ht="15" customHeight="1" x14ac:dyDescent="0.25">
      <c r="B55" s="39"/>
      <c r="D55" s="3"/>
      <c r="E55" s="3"/>
      <c r="F55" s="3"/>
      <c r="G55" s="3"/>
      <c r="J55" s="415"/>
      <c r="K55" s="415"/>
      <c r="L55" s="415"/>
      <c r="M55" s="415"/>
      <c r="N55" s="415"/>
      <c r="O55" s="415"/>
      <c r="P55" s="415"/>
      <c r="Q55" s="415"/>
    </row>
    <row r="56" spans="2:17" s="2" customFormat="1" ht="15" customHeight="1" x14ac:dyDescent="0.25">
      <c r="B56" s="39"/>
      <c r="D56" s="3"/>
      <c r="E56" s="3"/>
      <c r="F56" s="3"/>
      <c r="G56" s="3"/>
      <c r="J56" s="415"/>
      <c r="K56" s="415"/>
      <c r="L56" s="415"/>
      <c r="M56" s="415"/>
      <c r="N56" s="415"/>
      <c r="O56" s="415"/>
      <c r="P56" s="415"/>
      <c r="Q56" s="415"/>
    </row>
    <row r="57" spans="2:17" s="2" customFormat="1" ht="15" customHeight="1" x14ac:dyDescent="0.25">
      <c r="B57" s="39"/>
      <c r="D57" s="3"/>
      <c r="E57" s="3"/>
      <c r="F57" s="3"/>
      <c r="G57" s="3"/>
      <c r="J57" s="415"/>
      <c r="K57" s="415"/>
      <c r="L57" s="415"/>
      <c r="M57" s="415"/>
      <c r="N57" s="415"/>
      <c r="O57" s="415"/>
      <c r="P57" s="415"/>
      <c r="Q57" s="415"/>
    </row>
    <row r="58" spans="2:17" s="2" customFormat="1" ht="15" customHeight="1" x14ac:dyDescent="0.25">
      <c r="B58" s="39"/>
      <c r="D58" s="3"/>
      <c r="E58" s="3"/>
      <c r="F58" s="3"/>
      <c r="G58" s="3"/>
      <c r="J58" s="415"/>
      <c r="K58" s="415"/>
      <c r="L58" s="415"/>
      <c r="M58" s="415"/>
      <c r="N58" s="415"/>
      <c r="O58" s="415"/>
      <c r="P58" s="415"/>
      <c r="Q58" s="415"/>
    </row>
    <row r="59" spans="2:17" s="2" customFormat="1" ht="15" customHeight="1" x14ac:dyDescent="0.25">
      <c r="B59" s="39"/>
      <c r="D59" s="3"/>
      <c r="E59" s="3"/>
      <c r="F59" s="3"/>
      <c r="G59" s="3"/>
      <c r="J59" s="415"/>
      <c r="K59" s="415"/>
      <c r="L59" s="415"/>
      <c r="M59" s="415"/>
      <c r="N59" s="415"/>
      <c r="O59" s="415"/>
      <c r="P59" s="415"/>
      <c r="Q59" s="415"/>
    </row>
    <row r="60" spans="2:17" s="2" customFormat="1" x14ac:dyDescent="0.25">
      <c r="B60" s="39"/>
      <c r="D60" s="3"/>
      <c r="E60" s="3"/>
      <c r="F60" s="3"/>
      <c r="G60" s="3"/>
      <c r="J60" s="415"/>
      <c r="K60" s="415"/>
      <c r="L60" s="415"/>
      <c r="M60" s="415"/>
      <c r="N60" s="415"/>
      <c r="O60" s="415"/>
      <c r="P60" s="415"/>
      <c r="Q60" s="415"/>
    </row>
    <row r="61" spans="2:17" s="2" customFormat="1" x14ac:dyDescent="0.25">
      <c r="B61" s="39"/>
      <c r="D61" s="3"/>
      <c r="E61" s="3"/>
      <c r="F61" s="3"/>
      <c r="G61" s="3"/>
      <c r="J61" s="415"/>
      <c r="K61" s="415"/>
      <c r="L61" s="415"/>
      <c r="M61" s="415"/>
      <c r="N61" s="415"/>
      <c r="O61" s="415"/>
      <c r="P61" s="415"/>
      <c r="Q61" s="415"/>
    </row>
    <row r="62" spans="2:17" s="2" customFormat="1" x14ac:dyDescent="0.25">
      <c r="B62" s="39"/>
      <c r="D62" s="3"/>
      <c r="E62" s="3"/>
      <c r="F62" s="3"/>
      <c r="G62" s="3"/>
      <c r="J62" s="415"/>
      <c r="K62" s="415"/>
      <c r="L62" s="415"/>
      <c r="M62" s="415"/>
      <c r="N62" s="415"/>
      <c r="O62" s="415"/>
      <c r="P62" s="415"/>
      <c r="Q62" s="415"/>
    </row>
    <row r="63" spans="2:17" s="2" customFormat="1" x14ac:dyDescent="0.25">
      <c r="B63" s="39"/>
      <c r="D63" s="3"/>
      <c r="E63" s="3"/>
      <c r="F63" s="3"/>
      <c r="G63" s="3"/>
      <c r="J63" s="415"/>
      <c r="K63" s="415"/>
      <c r="L63" s="415"/>
      <c r="M63" s="415"/>
      <c r="N63" s="415"/>
      <c r="O63" s="415"/>
      <c r="P63" s="415"/>
      <c r="Q63" s="415"/>
    </row>
    <row r="64" spans="2:17" s="2" customFormat="1" x14ac:dyDescent="0.25">
      <c r="B64" s="39"/>
      <c r="D64" s="3"/>
      <c r="E64" s="3"/>
      <c r="F64" s="3"/>
      <c r="G64" s="3"/>
      <c r="J64" s="415"/>
      <c r="K64" s="415"/>
      <c r="L64" s="415"/>
      <c r="M64" s="415"/>
      <c r="N64" s="415"/>
      <c r="O64" s="415"/>
      <c r="P64" s="415"/>
      <c r="Q64" s="415"/>
    </row>
    <row r="65" spans="2:17" s="2" customFormat="1" x14ac:dyDescent="0.25">
      <c r="B65" s="39"/>
      <c r="D65" s="3"/>
      <c r="E65" s="3"/>
      <c r="F65" s="3"/>
      <c r="G65" s="3"/>
      <c r="J65" s="415"/>
      <c r="K65" s="415"/>
      <c r="L65" s="415"/>
      <c r="M65" s="415"/>
      <c r="N65" s="415"/>
      <c r="O65" s="415"/>
      <c r="P65" s="415"/>
      <c r="Q65" s="415"/>
    </row>
    <row r="66" spans="2:17" s="2" customFormat="1" x14ac:dyDescent="0.25">
      <c r="B66" s="39"/>
      <c r="D66" s="3"/>
      <c r="E66" s="3"/>
      <c r="F66" s="3"/>
      <c r="G66" s="3"/>
      <c r="J66" s="415"/>
      <c r="K66" s="415"/>
      <c r="L66" s="415"/>
      <c r="M66" s="415"/>
      <c r="N66" s="415"/>
      <c r="O66" s="415"/>
      <c r="P66" s="415"/>
      <c r="Q66" s="415"/>
    </row>
    <row r="67" spans="2:17" s="2" customFormat="1" x14ac:dyDescent="0.25">
      <c r="B67" s="39"/>
      <c r="D67" s="3"/>
      <c r="E67" s="3"/>
      <c r="F67" s="3"/>
      <c r="G67" s="3"/>
      <c r="J67" s="415"/>
      <c r="K67" s="415"/>
      <c r="L67" s="415"/>
      <c r="M67" s="415"/>
      <c r="N67" s="415"/>
      <c r="O67" s="415"/>
      <c r="P67" s="415"/>
      <c r="Q67" s="415"/>
    </row>
    <row r="68" spans="2:17" s="2" customFormat="1" x14ac:dyDescent="0.25">
      <c r="B68" s="39"/>
      <c r="D68" s="3"/>
      <c r="E68" s="3"/>
      <c r="F68" s="3"/>
      <c r="G68" s="3"/>
      <c r="J68" s="415"/>
      <c r="K68" s="415"/>
      <c r="L68" s="415"/>
      <c r="M68" s="415"/>
      <c r="N68" s="415"/>
      <c r="O68" s="415"/>
      <c r="P68" s="415"/>
      <c r="Q68" s="415"/>
    </row>
    <row r="69" spans="2:17" s="2" customFormat="1" x14ac:dyDescent="0.25">
      <c r="B69" s="39"/>
      <c r="D69" s="3"/>
      <c r="E69" s="3"/>
      <c r="F69" s="3"/>
      <c r="G69" s="3"/>
      <c r="J69" s="415"/>
      <c r="K69" s="415"/>
      <c r="L69" s="415"/>
      <c r="M69" s="415"/>
      <c r="N69" s="415"/>
      <c r="O69" s="415"/>
      <c r="P69" s="415"/>
      <c r="Q69" s="415"/>
    </row>
    <row r="70" spans="2:17" s="2" customFormat="1" x14ac:dyDescent="0.25">
      <c r="B70" s="39"/>
      <c r="D70" s="3"/>
      <c r="E70" s="3"/>
      <c r="F70" s="3"/>
      <c r="G70" s="3"/>
      <c r="J70" s="415"/>
      <c r="K70" s="415"/>
      <c r="L70" s="415"/>
      <c r="M70" s="415"/>
      <c r="N70" s="415"/>
      <c r="O70" s="415"/>
      <c r="P70" s="415"/>
      <c r="Q70" s="415"/>
    </row>
    <row r="71" spans="2:17" s="2" customFormat="1" x14ac:dyDescent="0.25">
      <c r="B71" s="39"/>
      <c r="D71" s="3"/>
      <c r="E71" s="3"/>
      <c r="F71" s="3"/>
      <c r="G71" s="3"/>
      <c r="J71" s="415"/>
      <c r="K71" s="415"/>
      <c r="L71" s="415"/>
      <c r="M71" s="415"/>
      <c r="N71" s="415"/>
      <c r="O71" s="415"/>
      <c r="P71" s="415"/>
      <c r="Q71" s="415"/>
    </row>
    <row r="72" spans="2:17" s="2" customFormat="1" x14ac:dyDescent="0.25">
      <c r="B72" s="39"/>
      <c r="D72" s="3"/>
      <c r="E72" s="3"/>
      <c r="F72" s="3"/>
      <c r="G72" s="3"/>
      <c r="J72" s="415"/>
      <c r="K72" s="415"/>
      <c r="L72" s="415"/>
      <c r="M72" s="415"/>
      <c r="N72" s="415"/>
      <c r="O72" s="415"/>
      <c r="P72" s="415"/>
      <c r="Q72" s="415"/>
    </row>
    <row r="73" spans="2:17" s="2" customFormat="1" x14ac:dyDescent="0.25">
      <c r="B73" s="39"/>
      <c r="D73" s="3"/>
      <c r="E73" s="3"/>
      <c r="F73" s="3"/>
      <c r="G73" s="3"/>
      <c r="J73" s="415"/>
      <c r="K73" s="415"/>
      <c r="L73" s="415"/>
      <c r="M73" s="415"/>
      <c r="N73" s="415"/>
      <c r="O73" s="415"/>
      <c r="P73" s="415"/>
      <c r="Q73" s="415"/>
    </row>
    <row r="74" spans="2:17" s="2" customFormat="1" x14ac:dyDescent="0.25">
      <c r="B74" s="39"/>
      <c r="D74" s="3"/>
      <c r="E74" s="3"/>
      <c r="F74" s="3"/>
      <c r="G74" s="3"/>
      <c r="J74" s="415"/>
      <c r="K74" s="415"/>
      <c r="L74" s="415"/>
      <c r="M74" s="415"/>
      <c r="N74" s="415"/>
      <c r="O74" s="415"/>
      <c r="P74" s="415"/>
      <c r="Q74" s="415"/>
    </row>
    <row r="75" spans="2:17" s="2" customFormat="1" x14ac:dyDescent="0.25">
      <c r="B75" s="39"/>
      <c r="D75" s="3"/>
      <c r="E75" s="3"/>
      <c r="F75" s="3"/>
      <c r="G75" s="3"/>
      <c r="J75" s="415"/>
      <c r="K75" s="415"/>
      <c r="L75" s="415"/>
      <c r="M75" s="415"/>
      <c r="N75" s="415"/>
      <c r="O75" s="415"/>
      <c r="P75" s="415"/>
      <c r="Q75" s="415"/>
    </row>
    <row r="76" spans="2:17" s="2" customFormat="1" x14ac:dyDescent="0.25">
      <c r="B76" s="39"/>
      <c r="D76" s="3"/>
      <c r="E76" s="3"/>
      <c r="F76" s="3"/>
      <c r="G76" s="3"/>
      <c r="J76" s="415"/>
      <c r="K76" s="415"/>
      <c r="L76" s="415"/>
      <c r="M76" s="415"/>
      <c r="N76" s="415"/>
      <c r="O76" s="415"/>
      <c r="P76" s="415"/>
      <c r="Q76" s="415"/>
    </row>
    <row r="77" spans="2:17" s="2" customFormat="1" x14ac:dyDescent="0.25">
      <c r="B77" s="39"/>
      <c r="D77" s="3"/>
      <c r="E77" s="3"/>
      <c r="F77" s="3"/>
      <c r="G77" s="3"/>
      <c r="J77" s="415"/>
      <c r="K77" s="415"/>
      <c r="L77" s="415"/>
      <c r="M77" s="415"/>
      <c r="N77" s="415"/>
      <c r="O77" s="415"/>
      <c r="P77" s="415"/>
      <c r="Q77" s="415"/>
    </row>
    <row r="78" spans="2:17" s="2" customFormat="1" x14ac:dyDescent="0.25">
      <c r="B78" s="39"/>
      <c r="D78" s="3"/>
      <c r="E78" s="3"/>
      <c r="F78" s="3"/>
      <c r="G78" s="3"/>
      <c r="J78" s="415"/>
      <c r="K78" s="415"/>
      <c r="L78" s="415"/>
      <c r="M78" s="415"/>
      <c r="N78" s="415"/>
      <c r="O78" s="415"/>
      <c r="P78" s="415"/>
      <c r="Q78" s="415"/>
    </row>
    <row r="79" spans="2:17" s="2" customFormat="1" x14ac:dyDescent="0.25">
      <c r="B79" s="39"/>
      <c r="D79" s="3"/>
      <c r="E79" s="3"/>
      <c r="F79" s="3"/>
      <c r="G79" s="3"/>
      <c r="J79" s="415"/>
      <c r="K79" s="415"/>
      <c r="L79" s="415"/>
      <c r="M79" s="415"/>
      <c r="N79" s="415"/>
      <c r="O79" s="415"/>
      <c r="P79" s="415"/>
      <c r="Q79" s="415"/>
    </row>
    <row r="80" spans="2:17" s="2" customFormat="1" x14ac:dyDescent="0.25">
      <c r="B80" s="39"/>
      <c r="D80" s="3"/>
      <c r="E80" s="3"/>
      <c r="F80" s="3"/>
      <c r="G80" s="3"/>
      <c r="J80" s="415"/>
      <c r="K80" s="415"/>
      <c r="L80" s="415"/>
      <c r="M80" s="415"/>
      <c r="N80" s="415"/>
      <c r="O80" s="415"/>
      <c r="P80" s="415"/>
      <c r="Q80" s="415"/>
    </row>
    <row r="81" spans="2:17" s="2" customFormat="1" x14ac:dyDescent="0.25">
      <c r="B81" s="39"/>
      <c r="D81" s="3"/>
      <c r="E81" s="3"/>
      <c r="F81" s="3"/>
      <c r="G81" s="3"/>
      <c r="J81" s="415"/>
      <c r="K81" s="415"/>
      <c r="L81" s="415"/>
      <c r="M81" s="415"/>
      <c r="N81" s="415"/>
      <c r="O81" s="415"/>
      <c r="P81" s="415"/>
      <c r="Q81" s="415"/>
    </row>
    <row r="82" spans="2:17" s="2" customFormat="1" x14ac:dyDescent="0.25">
      <c r="B82" s="39"/>
      <c r="D82" s="3"/>
      <c r="E82" s="3"/>
      <c r="F82" s="3"/>
      <c r="G82" s="3"/>
      <c r="J82" s="415"/>
      <c r="K82" s="415"/>
      <c r="L82" s="415"/>
      <c r="M82" s="415"/>
      <c r="N82" s="415"/>
      <c r="O82" s="415"/>
      <c r="P82" s="415"/>
      <c r="Q82" s="415"/>
    </row>
    <row r="83" spans="2:17" s="2" customFormat="1" x14ac:dyDescent="0.25">
      <c r="B83" s="39"/>
      <c r="D83" s="3"/>
      <c r="E83" s="3"/>
      <c r="F83" s="3"/>
      <c r="G83" s="3"/>
      <c r="J83" s="415"/>
      <c r="K83" s="415"/>
      <c r="L83" s="415"/>
      <c r="M83" s="415"/>
      <c r="N83" s="415"/>
      <c r="O83" s="415"/>
      <c r="P83" s="415"/>
      <c r="Q83" s="415"/>
    </row>
    <row r="84" spans="2:17" s="2" customFormat="1" x14ac:dyDescent="0.25">
      <c r="B84" s="39"/>
      <c r="D84" s="3"/>
      <c r="E84" s="3"/>
      <c r="F84" s="3"/>
      <c r="G84" s="3"/>
      <c r="J84" s="415"/>
      <c r="K84" s="415"/>
      <c r="L84" s="415"/>
      <c r="M84" s="415"/>
      <c r="N84" s="415"/>
      <c r="O84" s="415"/>
      <c r="P84" s="415"/>
      <c r="Q84" s="415"/>
    </row>
    <row r="85" spans="2:17" s="2" customFormat="1" x14ac:dyDescent="0.25">
      <c r="B85" s="39"/>
      <c r="D85" s="3"/>
      <c r="E85" s="3"/>
      <c r="F85" s="3"/>
      <c r="G85" s="3"/>
      <c r="J85" s="415"/>
      <c r="K85" s="415"/>
      <c r="L85" s="415"/>
      <c r="M85" s="415"/>
      <c r="N85" s="415"/>
      <c r="O85" s="415"/>
      <c r="P85" s="415"/>
      <c r="Q85" s="415"/>
    </row>
    <row r="86" spans="2:17" s="2" customFormat="1" x14ac:dyDescent="0.25">
      <c r="B86" s="39"/>
      <c r="D86" s="3"/>
      <c r="E86" s="3"/>
      <c r="F86" s="3"/>
      <c r="G86" s="3"/>
      <c r="J86" s="415"/>
      <c r="K86" s="415"/>
      <c r="L86" s="415"/>
      <c r="M86" s="415"/>
      <c r="N86" s="415"/>
      <c r="O86" s="415"/>
      <c r="P86" s="415"/>
      <c r="Q86" s="415"/>
    </row>
    <row r="87" spans="2:17" s="2" customFormat="1" x14ac:dyDescent="0.25">
      <c r="B87" s="39"/>
      <c r="D87" s="3"/>
      <c r="E87" s="3"/>
      <c r="F87" s="3"/>
      <c r="G87" s="3"/>
      <c r="J87" s="415"/>
      <c r="K87" s="415"/>
      <c r="L87" s="415"/>
      <c r="M87" s="415"/>
      <c r="N87" s="415"/>
      <c r="O87" s="415"/>
      <c r="P87" s="415"/>
      <c r="Q87" s="415"/>
    </row>
    <row r="88" spans="2:17" s="2" customFormat="1" x14ac:dyDescent="0.25">
      <c r="B88" s="39"/>
      <c r="D88" s="3"/>
      <c r="E88" s="3"/>
      <c r="F88" s="3"/>
      <c r="G88" s="3"/>
      <c r="J88" s="415"/>
      <c r="K88" s="415"/>
      <c r="L88" s="415"/>
      <c r="M88" s="415"/>
      <c r="N88" s="415"/>
      <c r="O88" s="415"/>
      <c r="P88" s="415"/>
      <c r="Q88" s="415"/>
    </row>
    <row r="89" spans="2:17" s="2" customFormat="1" x14ac:dyDescent="0.25">
      <c r="B89" s="39"/>
      <c r="D89" s="3"/>
      <c r="E89" s="3"/>
      <c r="F89" s="3"/>
      <c r="G89" s="3"/>
      <c r="J89" s="415"/>
      <c r="K89" s="415"/>
      <c r="L89" s="415"/>
      <c r="M89" s="415"/>
      <c r="N89" s="415"/>
      <c r="O89" s="415"/>
      <c r="P89" s="415"/>
      <c r="Q89" s="415"/>
    </row>
    <row r="90" spans="2:17" s="2" customFormat="1" x14ac:dyDescent="0.25">
      <c r="B90" s="39"/>
      <c r="D90" s="3"/>
      <c r="E90" s="3"/>
      <c r="F90" s="3"/>
      <c r="G90" s="3"/>
      <c r="J90" s="415"/>
      <c r="K90" s="415"/>
      <c r="L90" s="415"/>
      <c r="M90" s="415"/>
      <c r="N90" s="415"/>
      <c r="O90" s="415"/>
      <c r="P90" s="415"/>
      <c r="Q90" s="415"/>
    </row>
    <row r="91" spans="2:17" s="2" customFormat="1" x14ac:dyDescent="0.25">
      <c r="B91" s="39"/>
      <c r="D91" s="3"/>
      <c r="E91" s="3"/>
      <c r="F91" s="3"/>
      <c r="G91" s="3"/>
      <c r="J91" s="415"/>
      <c r="K91" s="415"/>
      <c r="L91" s="415"/>
      <c r="M91" s="415"/>
      <c r="N91" s="415"/>
      <c r="O91" s="415"/>
      <c r="P91" s="415"/>
      <c r="Q91" s="415"/>
    </row>
    <row r="92" spans="2:17" s="2" customFormat="1" x14ac:dyDescent="0.25">
      <c r="B92" s="39"/>
      <c r="D92" s="3"/>
      <c r="E92" s="3"/>
      <c r="F92" s="3"/>
      <c r="G92" s="3"/>
      <c r="J92" s="415"/>
      <c r="K92" s="415"/>
      <c r="L92" s="415"/>
      <c r="M92" s="415"/>
      <c r="N92" s="415"/>
      <c r="O92" s="415"/>
      <c r="P92" s="415"/>
      <c r="Q92" s="415"/>
    </row>
    <row r="93" spans="2:17" s="2" customFormat="1" x14ac:dyDescent="0.25">
      <c r="B93" s="39"/>
      <c r="D93" s="3"/>
      <c r="E93" s="3"/>
      <c r="F93" s="3"/>
      <c r="G93" s="3"/>
      <c r="J93" s="415"/>
      <c r="K93" s="415"/>
      <c r="L93" s="415"/>
      <c r="M93" s="415"/>
      <c r="N93" s="415"/>
      <c r="O93" s="415"/>
      <c r="P93" s="415"/>
      <c r="Q93" s="415"/>
    </row>
    <row r="94" spans="2:17" s="2" customFormat="1" x14ac:dyDescent="0.25">
      <c r="B94" s="39"/>
      <c r="D94" s="3"/>
      <c r="E94" s="3"/>
      <c r="F94" s="3"/>
      <c r="G94" s="3"/>
      <c r="J94" s="415"/>
      <c r="K94" s="415"/>
      <c r="L94" s="415"/>
      <c r="M94" s="415"/>
      <c r="N94" s="415"/>
      <c r="O94" s="415"/>
      <c r="P94" s="415"/>
      <c r="Q94" s="415"/>
    </row>
    <row r="95" spans="2:17" s="2" customFormat="1" x14ac:dyDescent="0.25">
      <c r="B95" s="39"/>
      <c r="D95" s="3"/>
      <c r="E95" s="3"/>
      <c r="F95" s="3"/>
      <c r="G95" s="3"/>
      <c r="J95" s="415"/>
      <c r="K95" s="415"/>
      <c r="L95" s="415"/>
      <c r="M95" s="415"/>
      <c r="N95" s="415"/>
      <c r="O95" s="415"/>
      <c r="P95" s="415"/>
      <c r="Q95" s="415"/>
    </row>
    <row r="96" spans="2:17" s="2" customFormat="1" x14ac:dyDescent="0.25">
      <c r="B96" s="39"/>
      <c r="D96" s="3"/>
      <c r="E96" s="3"/>
      <c r="F96" s="3"/>
      <c r="G96" s="3"/>
      <c r="J96" s="415"/>
      <c r="K96" s="415"/>
      <c r="L96" s="415"/>
      <c r="M96" s="415"/>
      <c r="N96" s="415"/>
      <c r="O96" s="415"/>
      <c r="P96" s="415"/>
      <c r="Q96" s="415"/>
    </row>
    <row r="97" spans="2:17" s="2" customFormat="1" x14ac:dyDescent="0.25">
      <c r="B97" s="39"/>
      <c r="D97" s="3"/>
      <c r="E97" s="3"/>
      <c r="F97" s="3"/>
      <c r="G97" s="3"/>
      <c r="J97" s="415"/>
      <c r="K97" s="415"/>
      <c r="L97" s="415"/>
      <c r="M97" s="415"/>
      <c r="N97" s="415"/>
      <c r="O97" s="415"/>
      <c r="P97" s="415"/>
      <c r="Q97" s="415"/>
    </row>
    <row r="98" spans="2:17" s="2" customFormat="1" x14ac:dyDescent="0.25">
      <c r="B98" s="39"/>
      <c r="D98" s="3"/>
      <c r="E98" s="3"/>
      <c r="F98" s="3"/>
      <c r="G98" s="3"/>
      <c r="J98" s="415"/>
      <c r="K98" s="415"/>
      <c r="L98" s="415"/>
      <c r="M98" s="415"/>
      <c r="N98" s="415"/>
      <c r="O98" s="415"/>
      <c r="P98" s="415"/>
      <c r="Q98" s="415"/>
    </row>
    <row r="99" spans="2:17" s="2" customFormat="1" x14ac:dyDescent="0.25">
      <c r="B99" s="39"/>
      <c r="D99" s="3"/>
      <c r="E99" s="3"/>
      <c r="F99" s="3"/>
      <c r="G99" s="3"/>
      <c r="J99" s="415"/>
      <c r="K99" s="415"/>
      <c r="L99" s="415"/>
      <c r="M99" s="415"/>
      <c r="N99" s="415"/>
      <c r="O99" s="415"/>
      <c r="P99" s="415"/>
      <c r="Q99" s="415"/>
    </row>
    <row r="100" spans="2:17" s="2" customFormat="1" x14ac:dyDescent="0.25">
      <c r="B100" s="39"/>
      <c r="D100" s="3"/>
      <c r="E100" s="3"/>
      <c r="F100" s="3"/>
      <c r="G100" s="3"/>
      <c r="J100" s="415"/>
      <c r="K100" s="415"/>
      <c r="L100" s="415"/>
      <c r="M100" s="415"/>
      <c r="N100" s="415"/>
      <c r="O100" s="415"/>
      <c r="P100" s="415"/>
      <c r="Q100" s="415"/>
    </row>
    <row r="101" spans="2:17" s="2" customFormat="1" x14ac:dyDescent="0.25">
      <c r="B101" s="39"/>
      <c r="D101" s="3"/>
      <c r="E101" s="3"/>
      <c r="F101" s="3"/>
      <c r="G101" s="3"/>
      <c r="J101" s="415"/>
      <c r="K101" s="415"/>
      <c r="L101" s="415"/>
      <c r="M101" s="415"/>
      <c r="N101" s="415"/>
      <c r="O101" s="415"/>
      <c r="P101" s="415"/>
      <c r="Q101" s="415"/>
    </row>
    <row r="102" spans="2:17" s="2" customFormat="1" x14ac:dyDescent="0.25">
      <c r="B102" s="39"/>
      <c r="D102" s="3"/>
      <c r="E102" s="3"/>
      <c r="F102" s="3"/>
      <c r="G102" s="3"/>
      <c r="J102" s="415"/>
      <c r="K102" s="415"/>
      <c r="L102" s="415"/>
      <c r="M102" s="415"/>
      <c r="N102" s="415"/>
      <c r="O102" s="415"/>
      <c r="P102" s="415"/>
      <c r="Q102" s="415"/>
    </row>
    <row r="103" spans="2:17" s="2" customFormat="1" x14ac:dyDescent="0.25">
      <c r="B103" s="39"/>
      <c r="D103" s="3"/>
      <c r="E103" s="3"/>
      <c r="F103" s="3"/>
      <c r="G103" s="3"/>
      <c r="J103" s="415"/>
      <c r="K103" s="415"/>
      <c r="L103" s="415"/>
      <c r="M103" s="415"/>
      <c r="N103" s="415"/>
      <c r="O103" s="415"/>
      <c r="P103" s="415"/>
      <c r="Q103" s="415"/>
    </row>
    <row r="104" spans="2:17" s="2" customFormat="1" x14ac:dyDescent="0.25">
      <c r="B104" s="39"/>
      <c r="D104" s="3"/>
      <c r="E104" s="3"/>
      <c r="F104" s="3"/>
      <c r="G104" s="3"/>
      <c r="J104" s="415"/>
      <c r="K104" s="415"/>
      <c r="L104" s="415"/>
      <c r="M104" s="415"/>
      <c r="N104" s="415"/>
      <c r="O104" s="415"/>
      <c r="P104" s="415"/>
      <c r="Q104" s="415"/>
    </row>
    <row r="105" spans="2:17" s="2" customFormat="1" x14ac:dyDescent="0.25">
      <c r="B105" s="39"/>
      <c r="D105" s="3"/>
      <c r="E105" s="3"/>
      <c r="F105" s="3"/>
      <c r="G105" s="3"/>
      <c r="J105" s="415"/>
      <c r="K105" s="415"/>
      <c r="L105" s="415"/>
      <c r="M105" s="415"/>
      <c r="N105" s="415"/>
      <c r="O105" s="415"/>
      <c r="P105" s="415"/>
      <c r="Q105" s="415"/>
    </row>
    <row r="106" spans="2:17" s="2" customFormat="1" x14ac:dyDescent="0.25">
      <c r="B106" s="39"/>
      <c r="D106" s="3"/>
      <c r="E106" s="3"/>
      <c r="F106" s="3"/>
      <c r="G106" s="3"/>
      <c r="J106" s="415"/>
      <c r="K106" s="415"/>
      <c r="L106" s="415"/>
      <c r="M106" s="415"/>
      <c r="N106" s="415"/>
      <c r="O106" s="415"/>
      <c r="P106" s="415"/>
      <c r="Q106" s="415"/>
    </row>
    <row r="107" spans="2:17" s="2" customFormat="1" x14ac:dyDescent="0.25">
      <c r="B107" s="39"/>
      <c r="D107" s="3"/>
      <c r="E107" s="3"/>
      <c r="F107" s="3"/>
      <c r="G107" s="3"/>
      <c r="J107" s="415"/>
      <c r="K107" s="415"/>
      <c r="L107" s="415"/>
      <c r="M107" s="415"/>
      <c r="N107" s="415"/>
      <c r="O107" s="415"/>
      <c r="P107" s="415"/>
      <c r="Q107" s="415"/>
    </row>
    <row r="108" spans="2:17" s="2" customFormat="1" x14ac:dyDescent="0.25">
      <c r="B108" s="39"/>
      <c r="D108" s="3"/>
      <c r="E108" s="3"/>
      <c r="F108" s="3"/>
      <c r="G108" s="3"/>
      <c r="J108" s="415"/>
      <c r="K108" s="415"/>
      <c r="L108" s="415"/>
      <c r="M108" s="415"/>
      <c r="N108" s="415"/>
      <c r="O108" s="415"/>
      <c r="P108" s="415"/>
      <c r="Q108" s="415"/>
    </row>
    <row r="109" spans="2:17" s="2" customFormat="1" x14ac:dyDescent="0.25">
      <c r="B109" s="39"/>
      <c r="D109" s="3"/>
      <c r="E109" s="3"/>
      <c r="F109" s="3"/>
      <c r="G109" s="3"/>
      <c r="J109" s="415"/>
      <c r="K109" s="415"/>
      <c r="L109" s="415"/>
      <c r="M109" s="415"/>
      <c r="N109" s="415"/>
      <c r="O109" s="415"/>
      <c r="P109" s="415"/>
      <c r="Q109" s="415"/>
    </row>
    <row r="110" spans="2:17" s="2" customFormat="1" x14ac:dyDescent="0.25">
      <c r="B110" s="39"/>
      <c r="D110" s="3"/>
      <c r="E110" s="3"/>
      <c r="F110" s="3"/>
      <c r="G110" s="3"/>
      <c r="J110" s="415"/>
      <c r="K110" s="415"/>
      <c r="L110" s="415"/>
      <c r="M110" s="415"/>
      <c r="N110" s="415"/>
      <c r="O110" s="415"/>
      <c r="P110" s="415"/>
      <c r="Q110" s="415"/>
    </row>
    <row r="111" spans="2:17" s="2" customFormat="1" x14ac:dyDescent="0.25">
      <c r="B111" s="39"/>
      <c r="D111" s="3"/>
      <c r="E111" s="3"/>
      <c r="F111" s="3"/>
      <c r="G111" s="3"/>
      <c r="J111" s="415"/>
      <c r="K111" s="415"/>
      <c r="L111" s="415"/>
      <c r="M111" s="415"/>
      <c r="N111" s="415"/>
      <c r="O111" s="415"/>
      <c r="P111" s="415"/>
      <c r="Q111" s="415"/>
    </row>
  </sheetData>
  <mergeCells count="13">
    <mergeCell ref="B5:I5"/>
    <mergeCell ref="B14:I14"/>
    <mergeCell ref="B25:B37"/>
    <mergeCell ref="C25:C37"/>
    <mergeCell ref="B22:I22"/>
    <mergeCell ref="B44:I44"/>
    <mergeCell ref="D46:F46"/>
    <mergeCell ref="G46:I46"/>
    <mergeCell ref="G10:H10"/>
    <mergeCell ref="G11:H11"/>
    <mergeCell ref="D16:F16"/>
    <mergeCell ref="G16:I16"/>
    <mergeCell ref="B16:C16"/>
  </mergeCells>
  <conditionalFormatting sqref="G26">
    <cfRule type="cellIs" dxfId="9" priority="9" operator="lessThan">
      <formula>0</formula>
    </cfRule>
  </conditionalFormatting>
  <conditionalFormatting sqref="G38">
    <cfRule type="cellIs" dxfId="8" priority="8" operator="lessThan">
      <formula>0</formula>
    </cfRule>
  </conditionalFormatting>
  <conditionalFormatting sqref="I42">
    <cfRule type="cellIs" dxfId="7" priority="6" operator="lessThan">
      <formula>0</formula>
    </cfRule>
  </conditionalFormatting>
  <conditionalFormatting sqref="A42:XFD42">
    <cfRule type="cellIs" dxfId="6" priority="4" operator="lessThan">
      <formula>0</formula>
    </cfRule>
  </conditionalFormatting>
  <conditionalFormatting sqref="G27">
    <cfRule type="cellIs" dxfId="5" priority="3" operator="lessThan">
      <formula>0</formula>
    </cfRule>
  </conditionalFormatting>
  <conditionalFormatting sqref="F39">
    <cfRule type="cellIs" dxfId="4" priority="2" operator="lessThan">
      <formula>0</formula>
    </cfRule>
  </conditionalFormatting>
  <conditionalFormatting sqref="H39">
    <cfRule type="cellIs" dxfId="3" priority="1" operator="lessThan">
      <formula>0</formula>
    </cfRule>
  </conditionalFormatting>
  <pageMargins left="0.7" right="0.7" top="0.75" bottom="0.75" header="0.3" footer="0.3"/>
  <pageSetup scale="55" orientation="landscape" r:id="rId1"/>
  <rowBreaks count="1" manualBreakCount="1">
    <brk id="39" max="16383" man="1"/>
  </rowBreaks>
  <colBreaks count="1" manualBreakCount="1">
    <brk id="10" max="1048575" man="1"/>
  </colBreaks>
  <ignoredErrors>
    <ignoredError sqref="F42"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AE8F-3492-4FF2-806C-0D49227DB1CB}">
  <dimension ref="A1:X111"/>
  <sheetViews>
    <sheetView showGridLines="0" zoomScale="80" zoomScaleNormal="80" workbookViewId="0"/>
  </sheetViews>
  <sheetFormatPr baseColWidth="10" defaultColWidth="11.42578125" defaultRowHeight="15" x14ac:dyDescent="0.25"/>
  <cols>
    <col min="1" max="1" width="4.140625" style="71" customWidth="1"/>
    <col min="2" max="2" width="18.42578125" style="71" customWidth="1"/>
    <col min="3" max="3" width="12" style="71" bestFit="1" customWidth="1"/>
    <col min="4" max="4" width="28.28515625" style="71" customWidth="1"/>
    <col min="5" max="5" width="17" style="71" customWidth="1"/>
    <col min="6" max="6" width="19.140625" style="71" customWidth="1"/>
    <col min="7" max="7" width="19.5703125" style="71" customWidth="1"/>
    <col min="8" max="8" width="19.7109375" style="66" customWidth="1"/>
    <col min="9" max="9" width="22.140625" style="71" customWidth="1"/>
    <col min="10" max="10" width="50.5703125" style="71" customWidth="1"/>
    <col min="11" max="12" width="23.5703125" style="71" customWidth="1"/>
    <col min="13" max="13" width="22" style="71" customWidth="1"/>
    <col min="14" max="14" width="21.7109375" style="71" hidden="1" customWidth="1"/>
    <col min="15" max="15" width="17.28515625" style="304" hidden="1" customWidth="1"/>
    <col min="16" max="16" width="15.7109375" style="71" hidden="1" customWidth="1"/>
    <col min="17" max="17" width="12" style="71" hidden="1" customWidth="1"/>
    <col min="18" max="18" width="12" style="71" bestFit="1" customWidth="1"/>
    <col min="19" max="19" width="11.28515625" style="71" bestFit="1" customWidth="1"/>
    <col min="20" max="20" width="9.28515625" style="71" bestFit="1" customWidth="1"/>
    <col min="21" max="21" width="11.42578125" style="71"/>
    <col min="22" max="22" width="12" style="71" bestFit="1" customWidth="1"/>
    <col min="23" max="25" width="11.42578125" style="71"/>
    <col min="26" max="26" width="12.42578125" style="71" bestFit="1" customWidth="1"/>
    <col min="27" max="16384" width="11.42578125" style="71"/>
  </cols>
  <sheetData>
    <row r="1" spans="2:20" ht="30.75" customHeight="1" x14ac:dyDescent="0.25">
      <c r="G1" s="6"/>
      <c r="J1" s="136"/>
      <c r="L1" s="2"/>
    </row>
    <row r="4" spans="2:20" ht="18.75" customHeight="1" x14ac:dyDescent="0.25">
      <c r="B4" s="523" t="s">
        <v>44</v>
      </c>
      <c r="C4" s="523"/>
      <c r="D4" s="523"/>
      <c r="E4" s="523"/>
      <c r="F4" s="523"/>
      <c r="G4" s="523"/>
      <c r="H4" s="523"/>
      <c r="I4" s="523"/>
      <c r="J4" s="523"/>
      <c r="K4" s="523"/>
      <c r="L4" s="523"/>
      <c r="M4" s="523"/>
      <c r="N4" s="523"/>
      <c r="O4" s="305"/>
      <c r="P4" s="34"/>
      <c r="Q4" s="34"/>
      <c r="R4" s="34"/>
      <c r="S4" s="34"/>
      <c r="T4" s="34"/>
    </row>
    <row r="5" spans="2:20" ht="18.75" customHeight="1" x14ac:dyDescent="0.25">
      <c r="B5" s="203" t="s">
        <v>45</v>
      </c>
      <c r="C5" s="337"/>
      <c r="D5" s="337"/>
      <c r="E5" s="337"/>
      <c r="F5" s="337"/>
      <c r="H5" s="337"/>
      <c r="I5" s="337"/>
      <c r="J5" s="337"/>
      <c r="K5" s="337"/>
      <c r="L5" s="337"/>
      <c r="M5" s="337"/>
      <c r="N5" s="337"/>
      <c r="O5" s="305"/>
      <c r="P5" s="34"/>
      <c r="Q5" s="34"/>
      <c r="R5" s="34"/>
      <c r="S5" s="34"/>
      <c r="T5" s="34"/>
    </row>
    <row r="6" spans="2:20" ht="26.25" x14ac:dyDescent="0.25">
      <c r="B6" s="21" t="str">
        <f>+'GLOBAL CONVENIO'!B7</f>
        <v>Versión 4: 14/08/19</v>
      </c>
      <c r="D6" s="337"/>
      <c r="E6" s="337"/>
      <c r="F6" s="337"/>
      <c r="H6" s="337"/>
      <c r="I6" s="337"/>
      <c r="J6" s="337"/>
      <c r="K6" s="337"/>
      <c r="L6" s="337"/>
      <c r="M6" s="337"/>
      <c r="N6" s="34"/>
      <c r="O6" s="305"/>
      <c r="P6" s="34"/>
      <c r="Q6" s="34"/>
      <c r="R6" s="34"/>
      <c r="S6" s="34"/>
      <c r="T6" s="34"/>
    </row>
    <row r="7" spans="2:20" ht="19.5" customHeight="1" x14ac:dyDescent="0.25">
      <c r="D7" s="337"/>
      <c r="E7" s="337"/>
      <c r="F7" s="337"/>
      <c r="H7" s="337"/>
      <c r="I7" s="337"/>
      <c r="J7" s="337"/>
      <c r="K7" s="337"/>
      <c r="L7" s="337"/>
      <c r="M7" s="337"/>
      <c r="N7" s="34"/>
      <c r="O7" s="305"/>
      <c r="P7" s="34"/>
      <c r="Q7" s="34"/>
      <c r="R7" s="34"/>
      <c r="S7" s="34"/>
      <c r="T7" s="34"/>
    </row>
    <row r="8" spans="2:20" ht="18.75" customHeight="1" x14ac:dyDescent="0.25">
      <c r="B8" s="186" t="str">
        <f>+'GLOBAL CONVENIO'!G10</f>
        <v>FECHA DE PRESENTACIÓN</v>
      </c>
      <c r="C8" s="141"/>
      <c r="D8" s="187">
        <f>+'GLOBAL CONVENIO'!I10</f>
        <v>43728</v>
      </c>
      <c r="E8" s="337"/>
      <c r="F8" s="337"/>
      <c r="H8" s="337"/>
      <c r="I8" s="337"/>
      <c r="J8" s="337"/>
      <c r="K8" s="337"/>
      <c r="L8" s="337"/>
      <c r="N8" s="137"/>
      <c r="O8" s="306"/>
      <c r="P8" s="34"/>
      <c r="Q8" s="34"/>
      <c r="R8" s="34"/>
      <c r="S8" s="34"/>
      <c r="T8" s="34"/>
    </row>
    <row r="9" spans="2:20" ht="18.75" customHeight="1" x14ac:dyDescent="0.25">
      <c r="B9" s="186" t="str">
        <f>+'GLOBAL CONVENIO'!G11</f>
        <v>PERIODO DE REPORTE</v>
      </c>
      <c r="C9" s="188"/>
      <c r="D9" s="189" t="str">
        <f>+'GLOBAL CONVENIO'!I11</f>
        <v>AGOSTO</v>
      </c>
      <c r="E9" s="337"/>
      <c r="G9" s="337"/>
      <c r="H9" s="337"/>
      <c r="I9" s="337"/>
      <c r="J9" s="337"/>
      <c r="K9" s="337"/>
      <c r="L9" s="337"/>
      <c r="N9" s="137"/>
      <c r="O9" s="306"/>
      <c r="P9" s="34"/>
      <c r="Q9" s="34"/>
      <c r="R9" s="34"/>
      <c r="S9" s="34"/>
      <c r="T9" s="34"/>
    </row>
    <row r="10" spans="2:20" ht="18.75" customHeight="1" thickBot="1" x14ac:dyDescent="0.3">
      <c r="E10" s="337"/>
      <c r="F10" s="337"/>
      <c r="G10" s="337"/>
      <c r="H10" s="337"/>
      <c r="I10" s="337"/>
      <c r="J10" s="337"/>
      <c r="K10" s="337"/>
      <c r="L10" s="337"/>
      <c r="M10" s="337"/>
      <c r="N10" s="34"/>
      <c r="O10" s="305"/>
      <c r="P10" s="34"/>
      <c r="Q10" s="34"/>
      <c r="R10" s="34"/>
      <c r="S10" s="34"/>
      <c r="T10" s="34"/>
    </row>
    <row r="11" spans="2:20" s="8" customFormat="1" ht="61.5" customHeight="1" x14ac:dyDescent="0.25">
      <c r="B11" s="42" t="s">
        <v>46</v>
      </c>
      <c r="C11" s="43" t="s">
        <v>47</v>
      </c>
      <c r="D11" s="43" t="s">
        <v>48</v>
      </c>
      <c r="E11" s="43" t="s">
        <v>49</v>
      </c>
      <c r="F11" s="43" t="s">
        <v>50</v>
      </c>
      <c r="G11" s="43" t="s">
        <v>51</v>
      </c>
      <c r="H11" s="43" t="s">
        <v>52</v>
      </c>
      <c r="I11" s="43" t="s">
        <v>53</v>
      </c>
      <c r="J11" s="43" t="s">
        <v>54</v>
      </c>
      <c r="K11" s="43" t="s">
        <v>55</v>
      </c>
      <c r="L11" s="193" t="s">
        <v>347</v>
      </c>
      <c r="M11" s="44" t="s">
        <v>56</v>
      </c>
      <c r="N11" s="521"/>
      <c r="O11" s="522"/>
      <c r="P11" s="522"/>
      <c r="Q11" s="522"/>
      <c r="R11" s="522"/>
    </row>
    <row r="12" spans="2:20" s="18" customFormat="1" ht="25.5" x14ac:dyDescent="0.25">
      <c r="B12" s="138">
        <v>1</v>
      </c>
      <c r="C12" s="37" t="s">
        <v>403</v>
      </c>
      <c r="D12" s="10" t="s">
        <v>404</v>
      </c>
      <c r="E12" s="449" t="s">
        <v>355</v>
      </c>
      <c r="F12" s="448" t="s">
        <v>58</v>
      </c>
      <c r="G12" s="77">
        <f t="shared" ref="G12:G17" si="0">+(I12-H12)/30</f>
        <v>7.2666666666666666</v>
      </c>
      <c r="H12" s="22">
        <v>43601</v>
      </c>
      <c r="I12" s="22">
        <v>43819</v>
      </c>
      <c r="J12" s="76">
        <v>8847475.9980151001</v>
      </c>
      <c r="K12" s="76">
        <f t="shared" ref="K12:K17" si="1">+G12*J12</f>
        <v>64291658.918909729</v>
      </c>
      <c r="L12" s="367"/>
      <c r="M12" s="313">
        <v>25</v>
      </c>
      <c r="O12" s="307"/>
    </row>
    <row r="13" spans="2:20" s="18" customFormat="1" ht="12.75" x14ac:dyDescent="0.25">
      <c r="B13" s="138">
        <v>2</v>
      </c>
      <c r="C13" s="37" t="s">
        <v>403</v>
      </c>
      <c r="D13" s="10" t="s">
        <v>404</v>
      </c>
      <c r="E13" s="366" t="s">
        <v>58</v>
      </c>
      <c r="F13" s="448" t="s">
        <v>58</v>
      </c>
      <c r="G13" s="77">
        <f t="shared" si="0"/>
        <v>7.2666666666666666</v>
      </c>
      <c r="H13" s="22">
        <v>43601</v>
      </c>
      <c r="I13" s="22">
        <v>43819</v>
      </c>
      <c r="J13" s="76">
        <v>8847475.9980151001</v>
      </c>
      <c r="K13" s="76">
        <f t="shared" si="1"/>
        <v>64291658.918909729</v>
      </c>
      <c r="L13" s="367"/>
      <c r="M13" s="313">
        <v>25</v>
      </c>
      <c r="O13" s="307"/>
    </row>
    <row r="14" spans="2:20" s="18" customFormat="1" ht="12.75" x14ac:dyDescent="0.25">
      <c r="B14" s="138">
        <v>3</v>
      </c>
      <c r="C14" s="37" t="s">
        <v>403</v>
      </c>
      <c r="D14" s="10" t="s">
        <v>404</v>
      </c>
      <c r="E14" s="366" t="s">
        <v>58</v>
      </c>
      <c r="F14" s="448" t="s">
        <v>58</v>
      </c>
      <c r="G14" s="77">
        <f t="shared" si="0"/>
        <v>7.2666666666666666</v>
      </c>
      <c r="H14" s="22">
        <v>43601</v>
      </c>
      <c r="I14" s="22">
        <v>43819</v>
      </c>
      <c r="J14" s="76">
        <v>8847475.9980151001</v>
      </c>
      <c r="K14" s="76">
        <f t="shared" si="1"/>
        <v>64291658.918909729</v>
      </c>
      <c r="L14" s="367"/>
      <c r="M14" s="313">
        <v>25</v>
      </c>
      <c r="O14" s="307"/>
    </row>
    <row r="15" spans="2:20" s="18" customFormat="1" ht="12.75" x14ac:dyDescent="0.25">
      <c r="B15" s="138">
        <v>4</v>
      </c>
      <c r="C15" s="37" t="s">
        <v>403</v>
      </c>
      <c r="D15" s="139" t="s">
        <v>404</v>
      </c>
      <c r="E15" s="366" t="s">
        <v>58</v>
      </c>
      <c r="F15" s="448" t="s">
        <v>58</v>
      </c>
      <c r="G15" s="77">
        <f t="shared" si="0"/>
        <v>6.8666666666666663</v>
      </c>
      <c r="H15" s="22">
        <v>43613</v>
      </c>
      <c r="I15" s="22">
        <v>43819</v>
      </c>
      <c r="J15" s="76">
        <v>8847475.9980151001</v>
      </c>
      <c r="K15" s="76">
        <f t="shared" si="1"/>
        <v>60752668.519703686</v>
      </c>
      <c r="L15" s="367"/>
      <c r="M15" s="313">
        <v>25</v>
      </c>
      <c r="O15" s="307"/>
    </row>
    <row r="16" spans="2:20" x14ac:dyDescent="0.2">
      <c r="B16" s="138">
        <v>5</v>
      </c>
      <c r="C16" s="37" t="s">
        <v>403</v>
      </c>
      <c r="D16" s="9" t="s">
        <v>404</v>
      </c>
      <c r="E16" s="366" t="s">
        <v>58</v>
      </c>
      <c r="F16" s="448" t="s">
        <v>58</v>
      </c>
      <c r="G16" s="77">
        <f t="shared" si="0"/>
        <v>5.7</v>
      </c>
      <c r="H16" s="22">
        <v>43648</v>
      </c>
      <c r="I16" s="22">
        <v>43819</v>
      </c>
      <c r="J16" s="76">
        <v>8847475.9980151001</v>
      </c>
      <c r="K16" s="76">
        <f t="shared" si="1"/>
        <v>50430613.188686073</v>
      </c>
      <c r="L16" s="368"/>
      <c r="M16" s="314">
        <v>25</v>
      </c>
    </row>
    <row r="17" spans="1:20" x14ac:dyDescent="0.2">
      <c r="B17" s="138">
        <v>6</v>
      </c>
      <c r="C17" s="37" t="s">
        <v>403</v>
      </c>
      <c r="D17" s="9" t="s">
        <v>404</v>
      </c>
      <c r="E17" s="366" t="s">
        <v>58</v>
      </c>
      <c r="F17" s="448" t="s">
        <v>58</v>
      </c>
      <c r="G17" s="77">
        <f t="shared" si="0"/>
        <v>5.2333333333333334</v>
      </c>
      <c r="H17" s="22">
        <v>43662</v>
      </c>
      <c r="I17" s="22">
        <v>43819</v>
      </c>
      <c r="J17" s="76">
        <v>8847475.9980151001</v>
      </c>
      <c r="K17" s="76">
        <f t="shared" si="1"/>
        <v>46301791.056279026</v>
      </c>
      <c r="L17" s="368"/>
      <c r="M17" s="314">
        <v>25</v>
      </c>
    </row>
    <row r="18" spans="1:20" ht="15.75" thickBot="1" x14ac:dyDescent="0.3">
      <c r="B18" s="181"/>
      <c r="C18" s="143"/>
      <c r="D18" s="143"/>
      <c r="E18" s="142"/>
      <c r="F18" s="143"/>
      <c r="G18" s="142"/>
      <c r="H18" s="142"/>
      <c r="I18" s="142"/>
      <c r="J18" s="142"/>
      <c r="K18" s="142"/>
      <c r="L18" s="369"/>
      <c r="M18" s="315"/>
    </row>
    <row r="19" spans="1:20" x14ac:dyDescent="0.25">
      <c r="B19" s="175"/>
      <c r="C19" s="174"/>
      <c r="D19" s="174"/>
      <c r="E19" s="174"/>
      <c r="F19" s="176"/>
      <c r="G19" s="174"/>
      <c r="H19" s="174"/>
      <c r="I19" s="174"/>
      <c r="J19" s="370"/>
      <c r="K19" s="371">
        <f>SUM(K12:K18)</f>
        <v>350360049.52139795</v>
      </c>
      <c r="L19" s="371">
        <f>SUM(L12:L18)</f>
        <v>0</v>
      </c>
      <c r="M19" s="372">
        <f>SUM(M12:M18)</f>
        <v>150</v>
      </c>
    </row>
    <row r="20" spans="1:20" x14ac:dyDescent="0.25">
      <c r="B20" s="175"/>
      <c r="C20" s="174"/>
      <c r="D20" s="174"/>
      <c r="E20" s="174"/>
      <c r="F20" s="176"/>
      <c r="G20" s="174"/>
      <c r="H20" s="174"/>
      <c r="I20" s="174"/>
      <c r="J20" s="174"/>
      <c r="K20" s="174"/>
      <c r="L20" s="174"/>
    </row>
    <row r="21" spans="1:20" s="144" customFormat="1" ht="21.75" customHeight="1" x14ac:dyDescent="0.25">
      <c r="B21" s="532" t="s">
        <v>356</v>
      </c>
      <c r="C21" s="532"/>
      <c r="D21" s="532"/>
      <c r="E21" s="532"/>
      <c r="F21" s="532"/>
      <c r="G21" s="532"/>
      <c r="H21" s="532"/>
      <c r="I21" s="532"/>
      <c r="J21" s="532"/>
      <c r="K21" s="532"/>
      <c r="L21" s="532"/>
      <c r="M21" s="532"/>
      <c r="N21" s="177"/>
      <c r="O21" s="304"/>
      <c r="P21" s="71"/>
      <c r="Q21" s="53"/>
      <c r="R21" s="53"/>
      <c r="S21" s="53"/>
      <c r="T21" s="53"/>
    </row>
    <row r="22" spans="1:20" ht="15.75" thickBot="1" x14ac:dyDescent="0.3">
      <c r="B22" s="38"/>
      <c r="C22" s="38"/>
      <c r="D22" s="38"/>
      <c r="E22" s="38"/>
      <c r="F22" s="38"/>
      <c r="G22" s="38"/>
      <c r="H22" s="41"/>
      <c r="I22" s="38"/>
      <c r="J22" s="494" t="s">
        <v>399</v>
      </c>
      <c r="K22" s="38"/>
      <c r="L22" s="38"/>
      <c r="M22" s="38"/>
      <c r="N22" s="38"/>
      <c r="O22" s="308"/>
    </row>
    <row r="23" spans="1:20" s="15" customFormat="1" ht="13.5" customHeight="1" thickBot="1" x14ac:dyDescent="0.3">
      <c r="B23" s="526" t="s">
        <v>23</v>
      </c>
      <c r="C23" s="528" t="s">
        <v>64</v>
      </c>
      <c r="D23" s="528" t="s">
        <v>48</v>
      </c>
      <c r="E23" s="528" t="s">
        <v>47</v>
      </c>
      <c r="F23" s="528" t="s">
        <v>50</v>
      </c>
      <c r="G23" s="528" t="s">
        <v>65</v>
      </c>
      <c r="H23" s="528" t="s">
        <v>66</v>
      </c>
      <c r="I23" s="528" t="s">
        <v>67</v>
      </c>
      <c r="J23" s="530" t="s">
        <v>68</v>
      </c>
      <c r="K23" s="528" t="s">
        <v>69</v>
      </c>
      <c r="L23" s="524" t="s">
        <v>70</v>
      </c>
      <c r="M23" s="525"/>
      <c r="O23" s="309"/>
    </row>
    <row r="24" spans="1:20" s="15" customFormat="1" ht="44.25" customHeight="1" thickBot="1" x14ac:dyDescent="0.3">
      <c r="B24" s="527"/>
      <c r="C24" s="529"/>
      <c r="D24" s="529"/>
      <c r="E24" s="529"/>
      <c r="F24" s="529"/>
      <c r="G24" s="529"/>
      <c r="H24" s="529"/>
      <c r="I24" s="529"/>
      <c r="J24" s="531"/>
      <c r="K24" s="529"/>
      <c r="L24" s="75" t="s">
        <v>71</v>
      </c>
      <c r="M24" s="152" t="s">
        <v>72</v>
      </c>
      <c r="O24" s="309" t="s">
        <v>396</v>
      </c>
    </row>
    <row r="25" spans="1:20" s="145" customFormat="1" ht="40.5" customHeight="1" x14ac:dyDescent="0.25">
      <c r="B25" s="190">
        <v>43586</v>
      </c>
      <c r="C25" s="139">
        <v>1</v>
      </c>
      <c r="D25" s="10" t="s">
        <v>405</v>
      </c>
      <c r="E25" s="37" t="s">
        <v>406</v>
      </c>
      <c r="F25" s="448" t="s">
        <v>58</v>
      </c>
      <c r="G25" s="430" t="s">
        <v>73</v>
      </c>
      <c r="H25" s="448" t="s">
        <v>58</v>
      </c>
      <c r="I25" s="445" t="s">
        <v>74</v>
      </c>
      <c r="J25" s="450" t="s">
        <v>75</v>
      </c>
      <c r="K25" s="302">
        <f t="shared" ref="K25:K32" si="2">+L25+M25</f>
        <v>3582330</v>
      </c>
      <c r="L25" s="96">
        <v>3025750</v>
      </c>
      <c r="M25" s="303">
        <v>556580</v>
      </c>
      <c r="N25" s="446" t="s">
        <v>354</v>
      </c>
      <c r="O25" s="447">
        <v>2381880</v>
      </c>
      <c r="P25" s="146"/>
    </row>
    <row r="26" spans="1:20" s="147" customFormat="1" ht="44.25" customHeight="1" x14ac:dyDescent="0.25">
      <c r="A26" s="145"/>
      <c r="B26" s="190">
        <v>43586</v>
      </c>
      <c r="C26" s="139">
        <f>1+C25</f>
        <v>2</v>
      </c>
      <c r="D26" s="10" t="s">
        <v>405</v>
      </c>
      <c r="E26" s="37" t="s">
        <v>406</v>
      </c>
      <c r="F26" s="448" t="s">
        <v>58</v>
      </c>
      <c r="G26" s="430" t="s">
        <v>73</v>
      </c>
      <c r="H26" s="448" t="s">
        <v>58</v>
      </c>
      <c r="I26" s="433" t="s">
        <v>76</v>
      </c>
      <c r="J26" s="450" t="s">
        <v>75</v>
      </c>
      <c r="K26" s="302">
        <f t="shared" si="2"/>
        <v>3582330</v>
      </c>
      <c r="L26" s="96">
        <v>3025750</v>
      </c>
      <c r="M26" s="303">
        <v>556580</v>
      </c>
      <c r="N26" s="15"/>
      <c r="O26" s="447">
        <v>2381880</v>
      </c>
      <c r="P26" s="146"/>
    </row>
    <row r="27" spans="1:20" s="147" customFormat="1" ht="30" customHeight="1" x14ac:dyDescent="0.25">
      <c r="A27" s="145"/>
      <c r="B27" s="190">
        <v>43586</v>
      </c>
      <c r="C27" s="139">
        <f t="shared" ref="C27:C44" si="3">1+C26</f>
        <v>3</v>
      </c>
      <c r="D27" s="10" t="s">
        <v>405</v>
      </c>
      <c r="E27" s="37" t="s">
        <v>406</v>
      </c>
      <c r="F27" s="448" t="s">
        <v>58</v>
      </c>
      <c r="G27" s="430" t="s">
        <v>73</v>
      </c>
      <c r="H27" s="448" t="s">
        <v>58</v>
      </c>
      <c r="I27" s="432" t="s">
        <v>77</v>
      </c>
      <c r="J27" s="450" t="s">
        <v>78</v>
      </c>
      <c r="K27" s="302">
        <f t="shared" si="2"/>
        <v>3582330</v>
      </c>
      <c r="L27" s="96">
        <v>3025750</v>
      </c>
      <c r="M27" s="303">
        <v>556580</v>
      </c>
      <c r="N27" s="15"/>
      <c r="O27" s="447">
        <v>2381880</v>
      </c>
      <c r="P27" s="146"/>
    </row>
    <row r="28" spans="1:20" s="147" customFormat="1" ht="30" customHeight="1" x14ac:dyDescent="0.25">
      <c r="A28" s="145"/>
      <c r="B28" s="190">
        <v>43586</v>
      </c>
      <c r="C28" s="139">
        <f t="shared" si="3"/>
        <v>4</v>
      </c>
      <c r="D28" s="10" t="s">
        <v>405</v>
      </c>
      <c r="E28" s="37" t="s">
        <v>406</v>
      </c>
      <c r="F28" s="448" t="s">
        <v>58</v>
      </c>
      <c r="G28" s="430" t="s">
        <v>73</v>
      </c>
      <c r="H28" s="448" t="s">
        <v>58</v>
      </c>
      <c r="I28" s="432" t="s">
        <v>79</v>
      </c>
      <c r="J28" s="450" t="s">
        <v>78</v>
      </c>
      <c r="K28" s="302">
        <f t="shared" si="2"/>
        <v>716826</v>
      </c>
      <c r="L28" s="96">
        <v>605150</v>
      </c>
      <c r="M28" s="303">
        <v>111676</v>
      </c>
      <c r="N28" s="15"/>
      <c r="O28" s="447">
        <v>476376</v>
      </c>
      <c r="P28" s="146"/>
    </row>
    <row r="29" spans="1:20" s="147" customFormat="1" ht="30" customHeight="1" x14ac:dyDescent="0.25">
      <c r="A29" s="145"/>
      <c r="B29" s="190">
        <v>43617</v>
      </c>
      <c r="C29" s="139">
        <f t="shared" si="3"/>
        <v>5</v>
      </c>
      <c r="D29" s="10" t="s">
        <v>405</v>
      </c>
      <c r="E29" s="37" t="s">
        <v>406</v>
      </c>
      <c r="F29" s="448" t="s">
        <v>58</v>
      </c>
      <c r="G29" s="430" t="s">
        <v>80</v>
      </c>
      <c r="H29" s="448" t="s">
        <v>58</v>
      </c>
      <c r="I29" s="432" t="s">
        <v>81</v>
      </c>
      <c r="J29" s="450" t="s">
        <v>82</v>
      </c>
      <c r="K29" s="302">
        <f t="shared" si="2"/>
        <v>7164360</v>
      </c>
      <c r="L29" s="96">
        <v>6051500</v>
      </c>
      <c r="M29" s="303">
        <v>1112860</v>
      </c>
      <c r="N29" s="15"/>
      <c r="O29" s="447">
        <v>2220880</v>
      </c>
      <c r="P29" s="447">
        <v>2326677</v>
      </c>
      <c r="Q29" s="456">
        <v>647250</v>
      </c>
    </row>
    <row r="30" spans="1:20" s="147" customFormat="1" ht="30" customHeight="1" x14ac:dyDescent="0.25">
      <c r="A30" s="145"/>
      <c r="B30" s="191">
        <v>43617</v>
      </c>
      <c r="C30" s="139">
        <f t="shared" si="3"/>
        <v>6</v>
      </c>
      <c r="D30" s="10" t="s">
        <v>405</v>
      </c>
      <c r="E30" s="37" t="s">
        <v>406</v>
      </c>
      <c r="F30" s="448" t="s">
        <v>58</v>
      </c>
      <c r="G30" s="430" t="s">
        <v>80</v>
      </c>
      <c r="H30" s="448" t="s">
        <v>58</v>
      </c>
      <c r="I30" s="433" t="s">
        <v>83</v>
      </c>
      <c r="J30" s="450" t="s">
        <v>82</v>
      </c>
      <c r="K30" s="302">
        <f t="shared" si="2"/>
        <v>7164360</v>
      </c>
      <c r="L30" s="96">
        <v>6051500</v>
      </c>
      <c r="M30" s="303">
        <v>1112860</v>
      </c>
      <c r="N30" s="15"/>
      <c r="O30" s="447">
        <v>2245880</v>
      </c>
      <c r="P30" s="455">
        <v>2368547</v>
      </c>
      <c r="Q30" s="456">
        <v>647250</v>
      </c>
    </row>
    <row r="31" spans="1:20" s="147" customFormat="1" ht="30" customHeight="1" x14ac:dyDescent="0.25">
      <c r="A31" s="145"/>
      <c r="B31" s="191">
        <v>43617</v>
      </c>
      <c r="C31" s="139">
        <f t="shared" si="3"/>
        <v>7</v>
      </c>
      <c r="D31" s="10" t="s">
        <v>405</v>
      </c>
      <c r="E31" s="37" t="s">
        <v>406</v>
      </c>
      <c r="F31" s="448" t="s">
        <v>58</v>
      </c>
      <c r="G31" s="430" t="s">
        <v>80</v>
      </c>
      <c r="H31" s="448" t="s">
        <v>58</v>
      </c>
      <c r="I31" s="433" t="s">
        <v>84</v>
      </c>
      <c r="J31" s="450" t="s">
        <v>82</v>
      </c>
      <c r="K31" s="302">
        <f t="shared" si="2"/>
        <v>7164360</v>
      </c>
      <c r="L31" s="96">
        <v>6051500</v>
      </c>
      <c r="M31" s="303">
        <v>1112860</v>
      </c>
      <c r="N31" s="15"/>
      <c r="O31" s="447">
        <v>2245880</v>
      </c>
      <c r="P31" s="455">
        <v>2368547</v>
      </c>
      <c r="Q31" s="456">
        <v>647250</v>
      </c>
    </row>
    <row r="32" spans="1:20" s="147" customFormat="1" ht="30" customHeight="1" x14ac:dyDescent="0.25">
      <c r="A32" s="145"/>
      <c r="B32" s="191">
        <v>43617</v>
      </c>
      <c r="C32" s="139">
        <f t="shared" si="3"/>
        <v>8</v>
      </c>
      <c r="D32" s="10" t="s">
        <v>405</v>
      </c>
      <c r="E32" s="37" t="s">
        <v>406</v>
      </c>
      <c r="F32" s="448" t="s">
        <v>58</v>
      </c>
      <c r="G32" s="430" t="s">
        <v>80</v>
      </c>
      <c r="H32" s="448" t="s">
        <v>58</v>
      </c>
      <c r="I32" s="433" t="s">
        <v>85</v>
      </c>
      <c r="J32" s="450" t="s">
        <v>82</v>
      </c>
      <c r="K32" s="457">
        <f t="shared" si="2"/>
        <v>7164360</v>
      </c>
      <c r="L32" s="96">
        <v>6051500</v>
      </c>
      <c r="M32" s="303">
        <v>1112860</v>
      </c>
      <c r="N32" s="15"/>
      <c r="O32" s="447">
        <v>2261880</v>
      </c>
      <c r="P32" s="455">
        <v>2352547</v>
      </c>
      <c r="Q32" s="456">
        <v>474650</v>
      </c>
    </row>
    <row r="33" spans="1:17" s="147" customFormat="1" ht="30" customHeight="1" x14ac:dyDescent="0.25">
      <c r="A33" s="145"/>
      <c r="B33" s="191">
        <v>43647</v>
      </c>
      <c r="C33" s="139">
        <f t="shared" si="3"/>
        <v>9</v>
      </c>
      <c r="D33" s="10" t="s">
        <v>405</v>
      </c>
      <c r="E33" s="37" t="s">
        <v>406</v>
      </c>
      <c r="F33" s="448" t="s">
        <v>58</v>
      </c>
      <c r="G33" s="430" t="s">
        <v>86</v>
      </c>
      <c r="H33" s="448" t="s">
        <v>58</v>
      </c>
      <c r="I33" s="458" t="s">
        <v>87</v>
      </c>
      <c r="J33" s="450" t="s">
        <v>88</v>
      </c>
      <c r="K33" s="130">
        <v>6881910</v>
      </c>
      <c r="L33" s="96">
        <v>6051500</v>
      </c>
      <c r="M33" s="282">
        <f t="shared" ref="M33:M43" si="4">+K33-L33</f>
        <v>830410</v>
      </c>
      <c r="N33" s="15"/>
      <c r="O33" s="447">
        <v>2303880</v>
      </c>
      <c r="P33" s="452">
        <v>2146330</v>
      </c>
    </row>
    <row r="34" spans="1:17" s="147" customFormat="1" ht="30" customHeight="1" x14ac:dyDescent="0.25">
      <c r="A34" s="145"/>
      <c r="B34" s="191">
        <v>43647</v>
      </c>
      <c r="C34" s="139">
        <f t="shared" si="3"/>
        <v>10</v>
      </c>
      <c r="D34" s="10" t="s">
        <v>405</v>
      </c>
      <c r="E34" s="37" t="s">
        <v>406</v>
      </c>
      <c r="F34" s="448" t="s">
        <v>58</v>
      </c>
      <c r="G34" s="430" t="s">
        <v>86</v>
      </c>
      <c r="H34" s="448" t="s">
        <v>58</v>
      </c>
      <c r="I34" s="458" t="s">
        <v>89</v>
      </c>
      <c r="J34" s="450" t="s">
        <v>88</v>
      </c>
      <c r="K34" s="130">
        <v>6732860</v>
      </c>
      <c r="L34" s="96">
        <v>6051500</v>
      </c>
      <c r="M34" s="282">
        <f t="shared" si="4"/>
        <v>681360</v>
      </c>
      <c r="N34" s="15"/>
      <c r="O34" s="447">
        <v>2303880</v>
      </c>
      <c r="P34" s="447">
        <v>2303880</v>
      </c>
    </row>
    <row r="35" spans="1:17" s="147" customFormat="1" ht="30" customHeight="1" x14ac:dyDescent="0.25">
      <c r="A35" s="145"/>
      <c r="B35" s="191">
        <v>43647</v>
      </c>
      <c r="C35" s="139">
        <f t="shared" si="3"/>
        <v>11</v>
      </c>
      <c r="D35" s="10" t="s">
        <v>405</v>
      </c>
      <c r="E35" s="37" t="s">
        <v>406</v>
      </c>
      <c r="F35" s="448" t="s">
        <v>58</v>
      </c>
      <c r="G35" s="430" t="s">
        <v>86</v>
      </c>
      <c r="H35" s="448" t="s">
        <v>58</v>
      </c>
      <c r="I35" s="458" t="s">
        <v>90</v>
      </c>
      <c r="J35" s="450" t="s">
        <v>88</v>
      </c>
      <c r="K35" s="130">
        <v>6732860</v>
      </c>
      <c r="L35" s="96">
        <v>6051500</v>
      </c>
      <c r="M35" s="282">
        <f t="shared" si="4"/>
        <v>681360</v>
      </c>
      <c r="O35" s="447">
        <v>2303880</v>
      </c>
      <c r="P35" s="452">
        <v>2303080</v>
      </c>
    </row>
    <row r="36" spans="1:17" s="147" customFormat="1" ht="30" customHeight="1" x14ac:dyDescent="0.25">
      <c r="A36" s="145"/>
      <c r="B36" s="191">
        <v>43647</v>
      </c>
      <c r="C36" s="139">
        <f t="shared" si="3"/>
        <v>12</v>
      </c>
      <c r="D36" s="10" t="s">
        <v>405</v>
      </c>
      <c r="E36" s="37" t="s">
        <v>406</v>
      </c>
      <c r="F36" s="448" t="s">
        <v>58</v>
      </c>
      <c r="G36" s="430" t="s">
        <v>86</v>
      </c>
      <c r="H36" s="448" t="s">
        <v>58</v>
      </c>
      <c r="I36" s="433" t="s">
        <v>91</v>
      </c>
      <c r="J36" s="450" t="s">
        <v>88</v>
      </c>
      <c r="K36" s="130">
        <v>6732860</v>
      </c>
      <c r="L36" s="96">
        <v>6051500</v>
      </c>
      <c r="M36" s="282">
        <f t="shared" si="4"/>
        <v>681360</v>
      </c>
      <c r="N36" s="15"/>
      <c r="O36" s="447">
        <v>2303880</v>
      </c>
      <c r="P36" s="452">
        <v>2303080</v>
      </c>
    </row>
    <row r="37" spans="1:17" s="147" customFormat="1" ht="30" customHeight="1" x14ac:dyDescent="0.25">
      <c r="A37" s="145"/>
      <c r="B37" s="191">
        <v>43647</v>
      </c>
      <c r="C37" s="139">
        <f t="shared" si="3"/>
        <v>13</v>
      </c>
      <c r="D37" s="10" t="s">
        <v>405</v>
      </c>
      <c r="E37" s="37" t="s">
        <v>406</v>
      </c>
      <c r="F37" s="448" t="s">
        <v>58</v>
      </c>
      <c r="G37" s="430" t="s">
        <v>86</v>
      </c>
      <c r="H37" s="448" t="s">
        <v>58</v>
      </c>
      <c r="I37" s="433" t="s">
        <v>92</v>
      </c>
      <c r="J37" s="450" t="s">
        <v>88</v>
      </c>
      <c r="K37" s="130">
        <v>6508468</v>
      </c>
      <c r="L37" s="96">
        <v>5849783</v>
      </c>
      <c r="M37" s="282">
        <f t="shared" si="4"/>
        <v>658685</v>
      </c>
      <c r="N37" s="15"/>
      <c r="O37" s="447">
        <v>2149888</v>
      </c>
      <c r="P37" s="452">
        <v>2303880</v>
      </c>
    </row>
    <row r="38" spans="1:17" s="300" customFormat="1" ht="30" customHeight="1" x14ac:dyDescent="0.25">
      <c r="A38" s="293"/>
      <c r="B38" s="294">
        <v>43647</v>
      </c>
      <c r="C38" s="139">
        <f t="shared" si="3"/>
        <v>14</v>
      </c>
      <c r="D38" s="10" t="s">
        <v>405</v>
      </c>
      <c r="E38" s="37" t="s">
        <v>406</v>
      </c>
      <c r="F38" s="448" t="s">
        <v>58</v>
      </c>
      <c r="G38" s="431" t="s">
        <v>86</v>
      </c>
      <c r="H38" s="448" t="s">
        <v>58</v>
      </c>
      <c r="I38" s="433" t="s">
        <v>93</v>
      </c>
      <c r="J38" s="451" t="s">
        <v>88</v>
      </c>
      <c r="K38" s="130">
        <v>3590972</v>
      </c>
      <c r="L38" s="298">
        <v>3025750</v>
      </c>
      <c r="M38" s="282">
        <f t="shared" si="4"/>
        <v>565222</v>
      </c>
      <c r="N38" s="299"/>
      <c r="O38" s="447">
        <v>155292</v>
      </c>
      <c r="P38" s="452">
        <v>2325380</v>
      </c>
    </row>
    <row r="39" spans="1:17" s="300" customFormat="1" ht="30" customHeight="1" x14ac:dyDescent="0.25">
      <c r="A39" s="293"/>
      <c r="B39" s="294">
        <v>43678</v>
      </c>
      <c r="C39" s="139">
        <f t="shared" si="3"/>
        <v>15</v>
      </c>
      <c r="D39" s="10" t="s">
        <v>405</v>
      </c>
      <c r="E39" s="37" t="s">
        <v>406</v>
      </c>
      <c r="F39" s="448" t="s">
        <v>58</v>
      </c>
      <c r="G39" s="431" t="s">
        <v>94</v>
      </c>
      <c r="H39" s="448" t="s">
        <v>58</v>
      </c>
      <c r="I39" s="433" t="s">
        <v>95</v>
      </c>
      <c r="J39" s="451" t="s">
        <v>96</v>
      </c>
      <c r="K39" s="130">
        <v>6844846</v>
      </c>
      <c r="L39" s="298">
        <v>6051500</v>
      </c>
      <c r="M39" s="282">
        <f t="shared" si="4"/>
        <v>793346</v>
      </c>
      <c r="N39" s="299"/>
      <c r="O39" s="460">
        <v>1533400</v>
      </c>
      <c r="P39" s="454">
        <v>2771080</v>
      </c>
      <c r="Q39" s="454">
        <v>2218266</v>
      </c>
    </row>
    <row r="40" spans="1:17" s="300" customFormat="1" ht="30" customHeight="1" x14ac:dyDescent="0.25">
      <c r="A40" s="293"/>
      <c r="B40" s="294">
        <v>43678</v>
      </c>
      <c r="C40" s="139">
        <f t="shared" si="3"/>
        <v>16</v>
      </c>
      <c r="D40" s="10" t="s">
        <v>405</v>
      </c>
      <c r="E40" s="37" t="s">
        <v>406</v>
      </c>
      <c r="F40" s="448" t="s">
        <v>58</v>
      </c>
      <c r="G40" s="431" t="s">
        <v>94</v>
      </c>
      <c r="H40" s="448" t="s">
        <v>58</v>
      </c>
      <c r="I40" s="433" t="s">
        <v>97</v>
      </c>
      <c r="J40" s="451" t="s">
        <v>96</v>
      </c>
      <c r="K40" s="130">
        <v>6732860</v>
      </c>
      <c r="L40" s="298">
        <v>6051500</v>
      </c>
      <c r="M40" s="282">
        <f t="shared" si="4"/>
        <v>681360</v>
      </c>
      <c r="N40" s="299"/>
      <c r="O40" s="453">
        <v>2303880</v>
      </c>
      <c r="P40" s="453">
        <v>2303880</v>
      </c>
    </row>
    <row r="41" spans="1:17" s="300" customFormat="1" ht="30" customHeight="1" x14ac:dyDescent="0.25">
      <c r="A41" s="293"/>
      <c r="B41" s="294">
        <v>43678</v>
      </c>
      <c r="C41" s="139">
        <f t="shared" si="3"/>
        <v>17</v>
      </c>
      <c r="D41" s="10" t="s">
        <v>405</v>
      </c>
      <c r="E41" s="37" t="s">
        <v>406</v>
      </c>
      <c r="F41" s="448" t="s">
        <v>58</v>
      </c>
      <c r="G41" s="431" t="s">
        <v>94</v>
      </c>
      <c r="H41" s="448" t="s">
        <v>58</v>
      </c>
      <c r="I41" s="433" t="s">
        <v>98</v>
      </c>
      <c r="J41" s="451" t="s">
        <v>96</v>
      </c>
      <c r="K41" s="130">
        <v>6732860</v>
      </c>
      <c r="L41" s="298">
        <v>6051500</v>
      </c>
      <c r="M41" s="282">
        <f t="shared" si="4"/>
        <v>681360</v>
      </c>
      <c r="N41" s="299"/>
      <c r="O41" s="453">
        <v>2303880</v>
      </c>
      <c r="P41" s="454">
        <v>2303880</v>
      </c>
    </row>
    <row r="42" spans="1:17" s="300" customFormat="1" ht="30" customHeight="1" x14ac:dyDescent="0.25">
      <c r="A42" s="293"/>
      <c r="B42" s="294">
        <v>43678</v>
      </c>
      <c r="C42" s="139">
        <f t="shared" si="3"/>
        <v>18</v>
      </c>
      <c r="D42" s="10" t="s">
        <v>405</v>
      </c>
      <c r="E42" s="37" t="s">
        <v>406</v>
      </c>
      <c r="F42" s="448" t="s">
        <v>58</v>
      </c>
      <c r="G42" s="431" t="s">
        <v>94</v>
      </c>
      <c r="H42" s="448" t="s">
        <v>58</v>
      </c>
      <c r="I42" s="433" t="s">
        <v>99</v>
      </c>
      <c r="J42" s="451" t="s">
        <v>96</v>
      </c>
      <c r="K42" s="130">
        <v>6770022</v>
      </c>
      <c r="L42" s="298">
        <v>6051500</v>
      </c>
      <c r="M42" s="282">
        <f t="shared" si="4"/>
        <v>718522</v>
      </c>
      <c r="N42" s="299"/>
      <c r="O42" s="453">
        <v>2291880</v>
      </c>
      <c r="P42" s="454">
        <v>2275742</v>
      </c>
    </row>
    <row r="43" spans="1:17" s="300" customFormat="1" ht="30" customHeight="1" x14ac:dyDescent="0.25">
      <c r="A43" s="293"/>
      <c r="B43" s="294">
        <v>43678</v>
      </c>
      <c r="C43" s="139">
        <f t="shared" si="3"/>
        <v>19</v>
      </c>
      <c r="D43" s="10" t="s">
        <v>405</v>
      </c>
      <c r="E43" s="37" t="s">
        <v>406</v>
      </c>
      <c r="F43" s="448" t="s">
        <v>58</v>
      </c>
      <c r="G43" s="431" t="s">
        <v>94</v>
      </c>
      <c r="H43" s="448" t="s">
        <v>58</v>
      </c>
      <c r="I43" s="433" t="s">
        <v>100</v>
      </c>
      <c r="J43" s="451" t="s">
        <v>96</v>
      </c>
      <c r="K43" s="130">
        <v>6732860</v>
      </c>
      <c r="L43" s="298">
        <v>6051500</v>
      </c>
      <c r="M43" s="282">
        <f t="shared" si="4"/>
        <v>681360</v>
      </c>
      <c r="N43" s="299"/>
      <c r="O43" s="452">
        <v>2303080</v>
      </c>
      <c r="P43" s="453">
        <v>2303880</v>
      </c>
    </row>
    <row r="44" spans="1:17" s="300" customFormat="1" ht="30" customHeight="1" x14ac:dyDescent="0.25">
      <c r="A44" s="293"/>
      <c r="B44" s="294">
        <v>43678</v>
      </c>
      <c r="C44" s="139">
        <f t="shared" si="3"/>
        <v>20</v>
      </c>
      <c r="D44" s="10" t="s">
        <v>405</v>
      </c>
      <c r="E44" s="37" t="s">
        <v>406</v>
      </c>
      <c r="F44" s="448" t="s">
        <v>58</v>
      </c>
      <c r="G44" s="431" t="s">
        <v>94</v>
      </c>
      <c r="H44" s="448" t="s">
        <v>58</v>
      </c>
      <c r="I44" s="433" t="s">
        <v>101</v>
      </c>
      <c r="J44" s="451" t="s">
        <v>96</v>
      </c>
      <c r="K44" s="130">
        <v>6832160</v>
      </c>
      <c r="L44" s="298">
        <v>6051500</v>
      </c>
      <c r="M44" s="282">
        <f>+K44-L44</f>
        <v>780660</v>
      </c>
      <c r="N44" s="299"/>
      <c r="O44" s="453">
        <v>2282080</v>
      </c>
      <c r="P44" s="459">
        <v>2239980</v>
      </c>
    </row>
    <row r="45" spans="1:17" s="300" customFormat="1" ht="30" customHeight="1" x14ac:dyDescent="0.25">
      <c r="A45" s="293"/>
      <c r="B45" s="294"/>
      <c r="C45" s="295"/>
      <c r="D45" s="285"/>
      <c r="E45" s="37"/>
      <c r="F45" s="37"/>
      <c r="G45" s="431"/>
      <c r="H45" s="37"/>
      <c r="I45" s="433"/>
      <c r="J45" s="297"/>
      <c r="K45" s="130"/>
      <c r="L45" s="298"/>
      <c r="M45" s="282"/>
      <c r="N45" s="299"/>
      <c r="O45" s="310"/>
    </row>
    <row r="46" spans="1:17" s="147" customFormat="1" ht="15" customHeight="1" x14ac:dyDescent="0.25">
      <c r="A46" s="145"/>
      <c r="B46" s="138"/>
      <c r="C46" s="139"/>
      <c r="D46" s="140"/>
      <c r="E46" s="37"/>
      <c r="F46" s="37"/>
      <c r="G46" s="22"/>
      <c r="H46" s="37"/>
      <c r="I46" s="433"/>
      <c r="J46" s="192"/>
      <c r="K46" s="148"/>
      <c r="L46" s="101"/>
      <c r="M46" s="153"/>
      <c r="N46" s="15"/>
      <c r="O46" s="309"/>
    </row>
    <row r="47" spans="1:17" s="147" customFormat="1" ht="15" customHeight="1" x14ac:dyDescent="0.25">
      <c r="A47" s="145"/>
      <c r="B47" s="138"/>
      <c r="C47" s="139"/>
      <c r="D47" s="140"/>
      <c r="E47" s="37"/>
      <c r="F47" s="37"/>
      <c r="G47" s="22"/>
      <c r="H47" s="37"/>
      <c r="I47" s="433"/>
      <c r="J47" s="192"/>
      <c r="K47" s="148"/>
      <c r="L47" s="101"/>
      <c r="M47" s="153"/>
      <c r="N47" s="15"/>
      <c r="O47" s="309"/>
    </row>
    <row r="48" spans="1:17" s="147" customFormat="1" ht="15" customHeight="1" x14ac:dyDescent="0.25">
      <c r="A48" s="145" t="str">
        <f t="shared" ref="A48:A66" si="5">+B48&amp;C48</f>
        <v/>
      </c>
      <c r="B48" s="138"/>
      <c r="C48" s="139"/>
      <c r="D48" s="140"/>
      <c r="E48" s="37"/>
      <c r="F48" s="37"/>
      <c r="G48" s="22"/>
      <c r="H48" s="37"/>
      <c r="I48" s="433"/>
      <c r="J48" s="192"/>
      <c r="K48" s="148"/>
      <c r="L48" s="101"/>
      <c r="M48" s="153"/>
      <c r="N48" s="15"/>
      <c r="O48" s="309"/>
    </row>
    <row r="49" spans="1:15" s="147" customFormat="1" ht="15" customHeight="1" x14ac:dyDescent="0.25">
      <c r="A49" s="145" t="str">
        <f t="shared" si="5"/>
        <v/>
      </c>
      <c r="B49" s="138"/>
      <c r="C49" s="139"/>
      <c r="D49" s="140"/>
      <c r="E49" s="37"/>
      <c r="F49" s="37"/>
      <c r="G49" s="22"/>
      <c r="H49" s="37"/>
      <c r="I49" s="433"/>
      <c r="J49" s="192"/>
      <c r="K49" s="148"/>
      <c r="L49" s="101"/>
      <c r="M49" s="153"/>
      <c r="N49" s="15"/>
      <c r="O49" s="309"/>
    </row>
    <row r="50" spans="1:15" s="147" customFormat="1" ht="15" customHeight="1" x14ac:dyDescent="0.25">
      <c r="A50" s="145" t="str">
        <f t="shared" si="5"/>
        <v/>
      </c>
      <c r="B50" s="138"/>
      <c r="C50" s="139"/>
      <c r="D50" s="140"/>
      <c r="E50" s="37"/>
      <c r="F50" s="37"/>
      <c r="G50" s="22"/>
      <c r="H50" s="37"/>
      <c r="I50" s="433"/>
      <c r="J50" s="192"/>
      <c r="K50" s="148"/>
      <c r="L50" s="101"/>
      <c r="M50" s="153"/>
      <c r="N50" s="15"/>
      <c r="O50" s="309"/>
    </row>
    <row r="51" spans="1:15" s="147" customFormat="1" ht="15" customHeight="1" x14ac:dyDescent="0.25">
      <c r="A51" s="145"/>
      <c r="B51" s="138"/>
      <c r="C51" s="139"/>
      <c r="D51" s="140"/>
      <c r="E51" s="37"/>
      <c r="F51" s="37"/>
      <c r="G51" s="22"/>
      <c r="H51" s="37"/>
      <c r="I51" s="433"/>
      <c r="J51" s="192"/>
      <c r="K51" s="148"/>
      <c r="L51" s="101"/>
      <c r="M51" s="153"/>
      <c r="N51" s="15"/>
      <c r="O51" s="309"/>
    </row>
    <row r="52" spans="1:15" s="147" customFormat="1" ht="15" customHeight="1" x14ac:dyDescent="0.25">
      <c r="A52" s="145"/>
      <c r="B52" s="138"/>
      <c r="C52" s="139"/>
      <c r="D52" s="140"/>
      <c r="E52" s="37"/>
      <c r="F52" s="37"/>
      <c r="G52" s="22"/>
      <c r="H52" s="37"/>
      <c r="I52" s="433"/>
      <c r="J52" s="192"/>
      <c r="K52" s="148"/>
      <c r="L52" s="101"/>
      <c r="M52" s="153"/>
      <c r="N52" s="15"/>
      <c r="O52" s="309"/>
    </row>
    <row r="53" spans="1:15" s="147" customFormat="1" ht="15" customHeight="1" x14ac:dyDescent="0.25">
      <c r="A53" s="145"/>
      <c r="B53" s="138"/>
      <c r="C53" s="139"/>
      <c r="D53" s="140"/>
      <c r="E53" s="37"/>
      <c r="F53" s="37"/>
      <c r="G53" s="22"/>
      <c r="H53" s="37"/>
      <c r="I53" s="433"/>
      <c r="J53" s="192"/>
      <c r="K53" s="148"/>
      <c r="L53" s="101"/>
      <c r="M53" s="153"/>
      <c r="N53" s="15"/>
      <c r="O53" s="309"/>
    </row>
    <row r="54" spans="1:15" s="147" customFormat="1" ht="15" customHeight="1" x14ac:dyDescent="0.25">
      <c r="A54" s="145"/>
      <c r="B54" s="138"/>
      <c r="C54" s="139"/>
      <c r="D54" s="140"/>
      <c r="E54" s="37"/>
      <c r="F54" s="37"/>
      <c r="G54" s="22"/>
      <c r="H54" s="37"/>
      <c r="I54" s="433"/>
      <c r="J54" s="192"/>
      <c r="K54" s="148"/>
      <c r="L54" s="101"/>
      <c r="M54" s="153"/>
      <c r="N54" s="15"/>
      <c r="O54" s="309"/>
    </row>
    <row r="55" spans="1:15" s="147" customFormat="1" ht="15" customHeight="1" x14ac:dyDescent="0.25">
      <c r="A55" s="145"/>
      <c r="B55" s="138"/>
      <c r="C55" s="139"/>
      <c r="D55" s="140"/>
      <c r="E55" s="37"/>
      <c r="F55" s="37"/>
      <c r="G55" s="22"/>
      <c r="H55" s="37"/>
      <c r="I55" s="433"/>
      <c r="J55" s="192"/>
      <c r="K55" s="148"/>
      <c r="L55" s="101"/>
      <c r="M55" s="153"/>
      <c r="N55" s="15"/>
      <c r="O55" s="309"/>
    </row>
    <row r="56" spans="1:15" s="147" customFormat="1" ht="15" customHeight="1" x14ac:dyDescent="0.25">
      <c r="A56" s="145"/>
      <c r="B56" s="138"/>
      <c r="C56" s="139"/>
      <c r="D56" s="140"/>
      <c r="E56" s="37"/>
      <c r="F56" s="37"/>
      <c r="G56" s="22"/>
      <c r="H56" s="37"/>
      <c r="I56" s="433"/>
      <c r="J56" s="192"/>
      <c r="K56" s="148"/>
      <c r="L56" s="101"/>
      <c r="M56" s="153"/>
      <c r="N56" s="15"/>
      <c r="O56" s="309"/>
    </row>
    <row r="57" spans="1:15" s="147" customFormat="1" ht="15" customHeight="1" x14ac:dyDescent="0.25">
      <c r="A57" s="145" t="str">
        <f t="shared" si="5"/>
        <v/>
      </c>
      <c r="B57" s="138"/>
      <c r="C57" s="139"/>
      <c r="D57" s="140"/>
      <c r="E57" s="37"/>
      <c r="F57" s="37"/>
      <c r="G57" s="22"/>
      <c r="H57" s="37"/>
      <c r="I57" s="433"/>
      <c r="J57" s="192"/>
      <c r="K57" s="148"/>
      <c r="L57" s="101"/>
      <c r="M57" s="153"/>
      <c r="N57" s="15"/>
      <c r="O57" s="309"/>
    </row>
    <row r="58" spans="1:15" s="147" customFormat="1" ht="15" customHeight="1" x14ac:dyDescent="0.25">
      <c r="A58" s="145" t="str">
        <f t="shared" si="5"/>
        <v/>
      </c>
      <c r="B58" s="138"/>
      <c r="C58" s="139"/>
      <c r="D58" s="140"/>
      <c r="E58" s="37"/>
      <c r="F58" s="37"/>
      <c r="G58" s="22"/>
      <c r="H58" s="37"/>
      <c r="I58" s="433"/>
      <c r="J58" s="192"/>
      <c r="K58" s="148"/>
      <c r="L58" s="101"/>
      <c r="M58" s="153"/>
      <c r="N58" s="15"/>
      <c r="O58" s="309"/>
    </row>
    <row r="59" spans="1:15" s="147" customFormat="1" ht="15" customHeight="1" x14ac:dyDescent="0.25">
      <c r="A59" s="145" t="str">
        <f t="shared" si="5"/>
        <v/>
      </c>
      <c r="B59" s="138"/>
      <c r="C59" s="139"/>
      <c r="D59" s="140"/>
      <c r="E59" s="37"/>
      <c r="F59" s="37"/>
      <c r="G59" s="22"/>
      <c r="H59" s="37"/>
      <c r="I59" s="433"/>
      <c r="J59" s="192"/>
      <c r="K59" s="148"/>
      <c r="L59" s="101"/>
      <c r="M59" s="153"/>
      <c r="N59" s="15"/>
      <c r="O59" s="309"/>
    </row>
    <row r="60" spans="1:15" s="147" customFormat="1" ht="15" customHeight="1" x14ac:dyDescent="0.25">
      <c r="A60" s="145" t="str">
        <f t="shared" si="5"/>
        <v/>
      </c>
      <c r="B60" s="138"/>
      <c r="C60" s="139"/>
      <c r="D60" s="140"/>
      <c r="E60" s="37"/>
      <c r="F60" s="37"/>
      <c r="G60" s="22"/>
      <c r="H60" s="37"/>
      <c r="I60" s="433"/>
      <c r="J60" s="192"/>
      <c r="K60" s="148"/>
      <c r="L60" s="101"/>
      <c r="M60" s="153"/>
      <c r="N60" s="15"/>
      <c r="O60" s="309"/>
    </row>
    <row r="61" spans="1:15" s="147" customFormat="1" ht="15" customHeight="1" x14ac:dyDescent="0.25">
      <c r="A61" s="145" t="str">
        <f t="shared" si="5"/>
        <v/>
      </c>
      <c r="B61" s="138"/>
      <c r="C61" s="139"/>
      <c r="D61" s="140"/>
      <c r="E61" s="37"/>
      <c r="F61" s="37"/>
      <c r="G61" s="22"/>
      <c r="H61" s="37"/>
      <c r="I61" s="433"/>
      <c r="J61" s="192"/>
      <c r="K61" s="148"/>
      <c r="L61" s="101"/>
      <c r="M61" s="153"/>
      <c r="N61" s="15"/>
      <c r="O61" s="309"/>
    </row>
    <row r="62" spans="1:15" s="147" customFormat="1" ht="15" customHeight="1" x14ac:dyDescent="0.25">
      <c r="A62" s="145" t="str">
        <f t="shared" si="5"/>
        <v/>
      </c>
      <c r="B62" s="138"/>
      <c r="C62" s="139"/>
      <c r="D62" s="140"/>
      <c r="E62" s="37"/>
      <c r="F62" s="37"/>
      <c r="G62" s="22"/>
      <c r="H62" s="37"/>
      <c r="I62" s="433"/>
      <c r="J62" s="192"/>
      <c r="K62" s="148"/>
      <c r="L62" s="101"/>
      <c r="M62" s="153"/>
      <c r="N62" s="15"/>
      <c r="O62" s="309"/>
    </row>
    <row r="63" spans="1:15" s="147" customFormat="1" ht="15" customHeight="1" x14ac:dyDescent="0.25">
      <c r="A63" s="145" t="str">
        <f t="shared" si="5"/>
        <v/>
      </c>
      <c r="B63" s="138"/>
      <c r="C63" s="139"/>
      <c r="D63" s="140"/>
      <c r="E63" s="37"/>
      <c r="F63" s="37"/>
      <c r="G63" s="22"/>
      <c r="H63" s="37"/>
      <c r="I63" s="433"/>
      <c r="J63" s="192"/>
      <c r="K63" s="148"/>
      <c r="L63" s="101"/>
      <c r="M63" s="153"/>
      <c r="N63" s="15"/>
      <c r="O63" s="309"/>
    </row>
    <row r="64" spans="1:15" s="147" customFormat="1" ht="15" customHeight="1" x14ac:dyDescent="0.25">
      <c r="A64" s="145" t="str">
        <f t="shared" si="5"/>
        <v/>
      </c>
      <c r="B64" s="138"/>
      <c r="C64" s="139"/>
      <c r="D64" s="140"/>
      <c r="E64" s="37"/>
      <c r="F64" s="37"/>
      <c r="G64" s="22"/>
      <c r="H64" s="37"/>
      <c r="I64" s="433"/>
      <c r="J64" s="192"/>
      <c r="K64" s="148"/>
      <c r="L64" s="101"/>
      <c r="M64" s="153"/>
      <c r="N64" s="15"/>
      <c r="O64" s="309"/>
    </row>
    <row r="65" spans="1:24" s="147" customFormat="1" ht="15" customHeight="1" x14ac:dyDescent="0.25">
      <c r="A65" s="145" t="str">
        <f t="shared" si="5"/>
        <v/>
      </c>
      <c r="B65" s="138"/>
      <c r="C65" s="139"/>
      <c r="D65" s="140"/>
      <c r="E65" s="37"/>
      <c r="F65" s="37"/>
      <c r="G65" s="22"/>
      <c r="H65" s="37"/>
      <c r="I65" s="433"/>
      <c r="J65" s="192"/>
      <c r="K65" s="148"/>
      <c r="L65" s="101"/>
      <c r="M65" s="153"/>
      <c r="N65" s="15"/>
      <c r="O65" s="309"/>
    </row>
    <row r="66" spans="1:24" s="147" customFormat="1" ht="15" customHeight="1" x14ac:dyDescent="0.25">
      <c r="A66" s="145" t="str">
        <f t="shared" si="5"/>
        <v/>
      </c>
      <c r="B66" s="138"/>
      <c r="C66" s="139"/>
      <c r="D66" s="140"/>
      <c r="E66" s="37"/>
      <c r="F66" s="37"/>
      <c r="G66" s="22"/>
      <c r="H66" s="37"/>
      <c r="I66" s="433"/>
      <c r="J66" s="192"/>
      <c r="K66" s="148"/>
      <c r="L66" s="101"/>
      <c r="M66" s="153"/>
      <c r="N66" s="15"/>
      <c r="O66" s="309"/>
    </row>
    <row r="67" spans="1:24" ht="15.75" thickBot="1" x14ac:dyDescent="0.3">
      <c r="B67" s="154"/>
      <c r="C67" s="155"/>
      <c r="D67" s="155" t="s">
        <v>102</v>
      </c>
      <c r="E67" s="155"/>
      <c r="F67" s="155"/>
      <c r="G67" s="156"/>
      <c r="H67" s="155"/>
      <c r="I67" s="155"/>
      <c r="J67" s="157"/>
      <c r="K67" s="158">
        <f>SUM(K25:K66)</f>
        <v>117946794</v>
      </c>
      <c r="L67" s="158">
        <f>SUM(L25:L66)</f>
        <v>103278933</v>
      </c>
      <c r="M67" s="158">
        <f>SUM(M25:M66)</f>
        <v>14667861</v>
      </c>
      <c r="N67" s="15"/>
      <c r="O67" s="309"/>
      <c r="P67" s="149"/>
      <c r="Q67" s="149"/>
      <c r="R67" s="149"/>
      <c r="S67" s="149"/>
      <c r="T67" s="149"/>
      <c r="U67" s="149"/>
      <c r="V67" s="149"/>
      <c r="W67" s="149"/>
      <c r="X67" s="149"/>
    </row>
    <row r="68" spans="1:24" x14ac:dyDescent="0.25">
      <c r="J68" s="150" t="s">
        <v>103</v>
      </c>
      <c r="K68" s="151"/>
      <c r="L68" s="180"/>
      <c r="N68" s="15"/>
      <c r="O68" s="309"/>
    </row>
    <row r="69" spans="1:24" x14ac:dyDescent="0.25">
      <c r="A69" s="144"/>
      <c r="B69" s="178" t="s">
        <v>104</v>
      </c>
      <c r="C69" s="178"/>
      <c r="D69" s="178"/>
      <c r="E69" s="178"/>
      <c r="F69" s="179">
        <v>6051500</v>
      </c>
      <c r="G69" s="144"/>
      <c r="L69" s="301"/>
      <c r="M69" s="301"/>
    </row>
    <row r="70" spans="1:24" x14ac:dyDescent="0.25">
      <c r="H70" s="71"/>
      <c r="L70" s="292"/>
      <c r="M70" s="292"/>
    </row>
    <row r="71" spans="1:24" x14ac:dyDescent="0.25">
      <c r="H71" s="71"/>
    </row>
    <row r="72" spans="1:24" x14ac:dyDescent="0.25">
      <c r="H72" s="71"/>
    </row>
    <row r="73" spans="1:24" x14ac:dyDescent="0.25">
      <c r="H73" s="71"/>
    </row>
    <row r="74" spans="1:24" x14ac:dyDescent="0.25">
      <c r="H74" s="71"/>
    </row>
    <row r="75" spans="1:24" x14ac:dyDescent="0.25">
      <c r="H75" s="71"/>
    </row>
    <row r="76" spans="1:24" x14ac:dyDescent="0.25">
      <c r="H76" s="71"/>
    </row>
    <row r="77" spans="1:24" x14ac:dyDescent="0.25">
      <c r="H77" s="71"/>
    </row>
    <row r="78" spans="1:24" x14ac:dyDescent="0.25">
      <c r="H78" s="71"/>
    </row>
    <row r="79" spans="1:24" x14ac:dyDescent="0.25">
      <c r="H79" s="71"/>
    </row>
    <row r="80" spans="1:24" x14ac:dyDescent="0.25">
      <c r="H80" s="71"/>
    </row>
    <row r="81" spans="8:8" x14ac:dyDescent="0.25">
      <c r="H81" s="71"/>
    </row>
    <row r="82" spans="8:8" x14ac:dyDescent="0.25">
      <c r="H82" s="71"/>
    </row>
    <row r="83" spans="8:8" x14ac:dyDescent="0.25">
      <c r="H83" s="71"/>
    </row>
    <row r="84" spans="8:8" x14ac:dyDescent="0.25">
      <c r="H84" s="71"/>
    </row>
    <row r="85" spans="8:8" x14ac:dyDescent="0.25">
      <c r="H85" s="71"/>
    </row>
    <row r="86" spans="8:8" x14ac:dyDescent="0.25">
      <c r="H86" s="71"/>
    </row>
    <row r="87" spans="8:8" x14ac:dyDescent="0.25">
      <c r="H87" s="71"/>
    </row>
    <row r="88" spans="8:8" x14ac:dyDescent="0.25">
      <c r="H88" s="71"/>
    </row>
    <row r="89" spans="8:8" x14ac:dyDescent="0.25">
      <c r="H89" s="71"/>
    </row>
    <row r="105" spans="2:5" x14ac:dyDescent="0.25">
      <c r="B105" s="141" t="s">
        <v>57</v>
      </c>
      <c r="C105" s="141"/>
      <c r="D105" s="495">
        <f>+SUMIF($D$25:$D$66,B105,$L$25:$L$66)</f>
        <v>0</v>
      </c>
      <c r="E105" s="141"/>
    </row>
    <row r="106" spans="2:5" x14ac:dyDescent="0.25">
      <c r="B106" s="141" t="s">
        <v>59</v>
      </c>
      <c r="C106" s="141"/>
      <c r="D106" s="495">
        <f>+SUMIF($D$25:$D$66,B106,$L$25:$L$66)</f>
        <v>0</v>
      </c>
      <c r="E106" s="141"/>
    </row>
    <row r="107" spans="2:5" x14ac:dyDescent="0.25">
      <c r="B107" s="141" t="s">
        <v>60</v>
      </c>
      <c r="C107" s="141"/>
      <c r="D107" s="495">
        <f>+SUMIF($D$25:$D$66,B107,$L$25:$L$66)</f>
        <v>0</v>
      </c>
      <c r="E107" s="141"/>
    </row>
    <row r="108" spans="2:5" x14ac:dyDescent="0.25">
      <c r="B108" s="141" t="s">
        <v>61</v>
      </c>
      <c r="C108" s="141"/>
      <c r="D108" s="495">
        <f>+SUMIF($D$25:$D$66,B108,$L$25:$L$66)</f>
        <v>0</v>
      </c>
      <c r="E108" s="141"/>
    </row>
    <row r="109" spans="2:5" x14ac:dyDescent="0.25">
      <c r="B109" s="141" t="s">
        <v>62</v>
      </c>
      <c r="C109" s="141"/>
      <c r="D109" s="495">
        <f t="shared" ref="D109:D110" si="6">+SUMIF($D$25:$D$66,B109,$L$25:$L$66)</f>
        <v>0</v>
      </c>
      <c r="E109" s="141"/>
    </row>
    <row r="110" spans="2:5" x14ac:dyDescent="0.25">
      <c r="B110" s="141" t="s">
        <v>63</v>
      </c>
      <c r="C110" s="141"/>
      <c r="D110" s="495">
        <f t="shared" si="6"/>
        <v>0</v>
      </c>
      <c r="E110" s="141"/>
    </row>
    <row r="111" spans="2:5" x14ac:dyDescent="0.25">
      <c r="D111" s="390">
        <f>SUM(D105:D110)</f>
        <v>0</v>
      </c>
    </row>
  </sheetData>
  <mergeCells count="14">
    <mergeCell ref="N11:R11"/>
    <mergeCell ref="B4:N4"/>
    <mergeCell ref="L23:M23"/>
    <mergeCell ref="B23:B24"/>
    <mergeCell ref="C23:C24"/>
    <mergeCell ref="D23:D24"/>
    <mergeCell ref="E23:E24"/>
    <mergeCell ref="F23:F24"/>
    <mergeCell ref="G23:G24"/>
    <mergeCell ref="H23:H24"/>
    <mergeCell ref="I23:I24"/>
    <mergeCell ref="J23:J24"/>
    <mergeCell ref="K23:K24"/>
    <mergeCell ref="B21:M21"/>
  </mergeCells>
  <conditionalFormatting sqref="K68">
    <cfRule type="cellIs" dxfId="2" priority="1" operator="lessThan">
      <formula>0</formula>
    </cfRule>
  </conditionalFormatting>
  <pageMargins left="0.7" right="0.7" top="0.75" bottom="0.75" header="0.3" footer="0.3"/>
  <pageSetup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E180"/>
  <sheetViews>
    <sheetView zoomScale="75" zoomScaleNormal="75" workbookViewId="0"/>
  </sheetViews>
  <sheetFormatPr baseColWidth="10" defaultColWidth="11.42578125" defaultRowHeight="15" x14ac:dyDescent="0.25"/>
  <cols>
    <col min="1" max="1" width="2.7109375" style="61" customWidth="1"/>
    <col min="2" max="2" width="4.85546875" style="61" customWidth="1"/>
    <col min="3" max="3" width="43.28515625" style="69" customWidth="1"/>
    <col min="4" max="4" width="17" style="69" customWidth="1"/>
    <col min="5" max="5" width="30" style="71" customWidth="1"/>
    <col min="6" max="6" width="17.7109375" style="69" bestFit="1" customWidth="1"/>
    <col min="7" max="7" width="14.28515625" style="61" customWidth="1"/>
    <col min="8" max="8" width="18" style="330" customWidth="1"/>
    <col min="9" max="9" width="17.7109375" style="464" customWidth="1"/>
    <col min="10" max="10" width="18" style="69" customWidth="1"/>
    <col min="11" max="11" width="11.5703125" style="69" customWidth="1"/>
    <col min="12" max="12" width="11" style="61" customWidth="1"/>
    <col min="13" max="13" width="30.28515625" style="78" customWidth="1"/>
    <col min="14" max="14" width="17.7109375" style="464" customWidth="1"/>
    <col min="15" max="15" width="15.85546875" style="70" customWidth="1"/>
    <col min="16" max="16" width="11.7109375" style="70" customWidth="1"/>
    <col min="17" max="17" width="14" style="70" customWidth="1"/>
    <col min="18" max="18" width="18.28515625" style="70" bestFit="1" customWidth="1"/>
    <col min="19" max="19" width="18.28515625" style="70" customWidth="1"/>
    <col min="20" max="20" width="19.85546875" style="70" customWidth="1"/>
    <col min="21" max="24" width="20.5703125" style="70" customWidth="1"/>
    <col min="25" max="25" width="17.42578125" style="69" customWidth="1"/>
    <col min="26" max="26" width="17.42578125" style="70" customWidth="1"/>
    <col min="27" max="28" width="17.42578125" style="61" customWidth="1"/>
    <col min="29" max="43" width="17.42578125" style="220" customWidth="1"/>
    <col min="44" max="16384" width="11.42578125" style="61"/>
  </cols>
  <sheetData>
    <row r="1" spans="2:109" ht="26.25" x14ac:dyDescent="0.25">
      <c r="G1" s="6"/>
      <c r="O1" s="61"/>
      <c r="P1" s="61"/>
      <c r="Q1" s="61"/>
      <c r="R1" s="61"/>
      <c r="S1" s="61"/>
      <c r="T1" s="61"/>
      <c r="U1" s="61"/>
      <c r="V1" s="61"/>
      <c r="W1" s="61"/>
      <c r="X1" s="61"/>
      <c r="Z1" s="61"/>
      <c r="AA1" s="2"/>
      <c r="AZ1" s="131" t="s">
        <v>105</v>
      </c>
    </row>
    <row r="2" spans="2:109" ht="26.25" x14ac:dyDescent="0.25">
      <c r="G2" s="6"/>
      <c r="O2" s="61"/>
      <c r="P2" s="61"/>
      <c r="Q2" s="61"/>
      <c r="R2" s="61"/>
      <c r="S2" s="61"/>
      <c r="T2" s="61"/>
      <c r="U2" s="61"/>
      <c r="V2" s="61"/>
      <c r="W2" s="61"/>
      <c r="X2" s="61"/>
      <c r="Z2" s="61"/>
      <c r="AZ2" s="131" t="s">
        <v>106</v>
      </c>
    </row>
    <row r="3" spans="2:109" ht="22.5" customHeight="1" x14ac:dyDescent="0.25">
      <c r="AZ3" s="131" t="s">
        <v>107</v>
      </c>
    </row>
    <row r="4" spans="2:109" s="34" customFormat="1" ht="30" customHeight="1" x14ac:dyDescent="0.25">
      <c r="C4" s="538" t="s">
        <v>108</v>
      </c>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221"/>
      <c r="AF4" s="221"/>
      <c r="AG4" s="221"/>
      <c r="AH4" s="221"/>
      <c r="AI4" s="221"/>
      <c r="AJ4" s="221"/>
      <c r="AK4" s="221"/>
      <c r="AL4" s="221"/>
      <c r="AM4" s="221"/>
      <c r="AN4" s="221"/>
      <c r="AO4" s="221"/>
      <c r="AP4" s="221"/>
      <c r="AQ4" s="221"/>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row>
    <row r="5" spans="2:109" s="34" customFormat="1" ht="30" customHeight="1" x14ac:dyDescent="0.25">
      <c r="C5" s="338"/>
      <c r="D5" s="338"/>
      <c r="E5" s="350"/>
      <c r="F5" s="350"/>
      <c r="G5" s="338"/>
      <c r="H5" s="331"/>
      <c r="I5" s="474"/>
      <c r="J5" s="479"/>
      <c r="K5" s="338"/>
      <c r="L5" s="338"/>
      <c r="M5" s="352"/>
      <c r="N5" s="474"/>
      <c r="O5" s="338"/>
      <c r="P5" s="338"/>
      <c r="Q5" s="350"/>
      <c r="R5" s="338"/>
      <c r="S5" s="338"/>
      <c r="T5" s="338"/>
      <c r="U5" s="338"/>
      <c r="V5" s="480"/>
      <c r="W5" s="480"/>
      <c r="X5" s="480"/>
      <c r="Y5" s="338"/>
      <c r="Z5" s="338"/>
      <c r="AA5" s="338"/>
      <c r="AB5" s="338"/>
      <c r="AC5" s="222"/>
      <c r="AD5" s="222"/>
      <c r="AE5" s="221"/>
      <c r="AF5" s="222"/>
      <c r="AG5" s="222"/>
      <c r="AH5" s="222"/>
      <c r="AI5" s="222"/>
      <c r="AJ5" s="222"/>
      <c r="AK5" s="221"/>
      <c r="AL5" s="222"/>
      <c r="AM5" s="222"/>
      <c r="AN5" s="222"/>
      <c r="AO5" s="222"/>
      <c r="AP5" s="222"/>
      <c r="AQ5" s="221"/>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row>
    <row r="6" spans="2:109" s="34" customFormat="1" ht="30" customHeight="1" x14ac:dyDescent="0.25">
      <c r="B6" s="204" t="s">
        <v>109</v>
      </c>
      <c r="D6" s="338"/>
      <c r="E6" s="350"/>
      <c r="F6" s="350"/>
      <c r="G6" s="338"/>
      <c r="H6" s="331"/>
      <c r="I6" s="474"/>
      <c r="J6" s="479"/>
      <c r="K6" s="338"/>
      <c r="L6" s="338"/>
      <c r="M6" s="352"/>
      <c r="N6" s="474"/>
      <c r="O6" s="338"/>
      <c r="P6" s="338"/>
      <c r="Q6" s="350"/>
      <c r="R6" s="338"/>
      <c r="S6" s="338"/>
      <c r="T6" s="338"/>
      <c r="U6" s="338"/>
      <c r="V6" s="480"/>
      <c r="W6" s="480"/>
      <c r="X6" s="480"/>
      <c r="Y6" s="338"/>
      <c r="Z6" s="338"/>
      <c r="AA6" s="338"/>
      <c r="AB6" s="338"/>
      <c r="AC6" s="222"/>
      <c r="AD6" s="222"/>
      <c r="AE6" s="221"/>
      <c r="AF6" s="222"/>
      <c r="AG6" s="222"/>
      <c r="AH6" s="222"/>
      <c r="AI6" s="222"/>
      <c r="AJ6" s="222"/>
      <c r="AK6" s="221"/>
      <c r="AL6" s="222"/>
      <c r="AM6" s="222"/>
      <c r="AN6" s="222"/>
      <c r="AO6" s="222"/>
      <c r="AP6" s="222"/>
      <c r="AQ6" s="221"/>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row>
    <row r="7" spans="2:109" s="34" customFormat="1" ht="30" customHeight="1" x14ac:dyDescent="0.25">
      <c r="B7" s="21" t="str">
        <f>+GESTORES!B6</f>
        <v>Versión 4: 14/08/19</v>
      </c>
      <c r="D7" s="71"/>
      <c r="E7" s="71"/>
      <c r="F7" s="66"/>
      <c r="G7" s="71"/>
      <c r="H7" s="332"/>
      <c r="I7" s="388"/>
      <c r="J7" s="66"/>
      <c r="K7" s="66"/>
      <c r="L7" s="71"/>
      <c r="M7" s="353"/>
      <c r="N7" s="388"/>
      <c r="O7" s="71"/>
      <c r="P7" s="71"/>
      <c r="Q7" s="71"/>
      <c r="R7" s="71"/>
      <c r="S7" s="71"/>
      <c r="T7" s="71"/>
      <c r="U7" s="71"/>
      <c r="V7" s="71"/>
      <c r="W7" s="71"/>
      <c r="X7" s="71"/>
      <c r="Y7" s="66"/>
      <c r="Z7" s="71"/>
      <c r="AA7" s="71"/>
      <c r="AB7" s="71"/>
      <c r="AC7" s="3"/>
      <c r="AD7" s="221"/>
      <c r="AE7" s="221"/>
      <c r="AF7" s="3"/>
      <c r="AG7" s="221"/>
      <c r="AH7" s="221"/>
      <c r="AI7" s="221"/>
      <c r="AJ7" s="221"/>
      <c r="AK7" s="221"/>
      <c r="AL7" s="3"/>
      <c r="AM7" s="221"/>
      <c r="AN7" s="221"/>
      <c r="AO7" s="221"/>
      <c r="AP7" s="221"/>
      <c r="AQ7" s="221"/>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row>
    <row r="8" spans="2:109" s="34" customFormat="1" ht="15" customHeight="1" x14ac:dyDescent="0.25">
      <c r="B8" s="71"/>
      <c r="D8" s="71"/>
      <c r="E8" s="71"/>
      <c r="F8" s="66"/>
      <c r="G8" s="71"/>
      <c r="H8" s="332"/>
      <c r="I8" s="388"/>
      <c r="J8" s="66"/>
      <c r="K8" s="66"/>
      <c r="L8" s="71"/>
      <c r="M8" s="394"/>
      <c r="N8" s="388"/>
      <c r="O8" s="390"/>
      <c r="R8" s="389"/>
      <c r="S8" s="71"/>
      <c r="T8" s="71"/>
      <c r="U8" s="71"/>
      <c r="V8" s="71"/>
      <c r="W8" s="71"/>
      <c r="X8" s="71"/>
      <c r="Y8" s="66"/>
      <c r="Z8" s="71"/>
      <c r="AA8" s="71"/>
      <c r="AB8" s="71"/>
      <c r="AC8" s="3"/>
      <c r="AD8" s="221"/>
      <c r="AE8" s="221"/>
      <c r="AF8" s="3"/>
      <c r="AG8" s="221"/>
      <c r="AH8" s="221"/>
      <c r="AI8" s="221"/>
      <c r="AJ8" s="221"/>
      <c r="AK8" s="221"/>
      <c r="AL8" s="3"/>
      <c r="AM8" s="221"/>
      <c r="AN8" s="221"/>
      <c r="AO8" s="221"/>
      <c r="AP8" s="221"/>
      <c r="AQ8" s="221"/>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row>
    <row r="9" spans="2:109" s="71" customFormat="1" x14ac:dyDescent="0.2">
      <c r="B9" s="545" t="str">
        <f>+'GLOBAL CONVENIO'!G10</f>
        <v>FECHA DE PRESENTACIÓN</v>
      </c>
      <c r="C9" s="545"/>
      <c r="D9" s="172">
        <f>+'GLOBAL CONVENIO'!I10</f>
        <v>43728</v>
      </c>
      <c r="F9" s="66"/>
      <c r="H9" s="332"/>
      <c r="I9" s="388"/>
      <c r="J9" s="66"/>
      <c r="K9" s="66"/>
      <c r="M9" s="353"/>
      <c r="N9" s="388"/>
      <c r="P9" s="389"/>
      <c r="R9" s="391"/>
      <c r="Y9" s="66"/>
      <c r="AC9" s="3"/>
      <c r="AD9" s="223"/>
      <c r="AE9" s="3"/>
      <c r="AF9" s="3"/>
      <c r="AG9" s="223"/>
      <c r="AH9" s="223"/>
      <c r="AI9" s="223"/>
      <c r="AJ9" s="223"/>
      <c r="AK9" s="3"/>
      <c r="AL9" s="3"/>
      <c r="AM9" s="223"/>
      <c r="AN9" s="223"/>
      <c r="AO9" s="223"/>
      <c r="AP9" s="223"/>
      <c r="AQ9" s="3"/>
    </row>
    <row r="10" spans="2:109" s="71" customFormat="1" ht="15.75" thickBot="1" x14ac:dyDescent="0.25">
      <c r="B10" s="545" t="str">
        <f>+'GLOBAL CONVENIO'!G11</f>
        <v>PERIODO DE REPORTE</v>
      </c>
      <c r="C10" s="545"/>
      <c r="D10" s="173" t="str">
        <f>+'GLOBAL CONVENIO'!I11</f>
        <v>AGOSTO</v>
      </c>
      <c r="F10" s="66"/>
      <c r="H10" s="332"/>
      <c r="I10" s="388"/>
      <c r="J10" s="66"/>
      <c r="K10" s="66"/>
      <c r="M10" s="353"/>
      <c r="N10" s="388"/>
      <c r="P10" s="388"/>
      <c r="Y10" s="66"/>
      <c r="AC10" s="3"/>
      <c r="AD10" s="224"/>
      <c r="AE10" s="3"/>
      <c r="AF10" s="3"/>
      <c r="AG10" s="224"/>
      <c r="AH10" s="224"/>
      <c r="AI10" s="224"/>
      <c r="AJ10" s="224"/>
      <c r="AK10" s="3"/>
      <c r="AL10" s="3"/>
      <c r="AM10" s="224"/>
      <c r="AN10" s="224"/>
      <c r="AO10" s="224"/>
      <c r="AP10" s="224"/>
      <c r="AQ10" s="3"/>
    </row>
    <row r="11" spans="2:109" s="71" customFormat="1" ht="15.75" customHeight="1" thickBot="1" x14ac:dyDescent="0.25">
      <c r="C11" s="217"/>
      <c r="D11" s="218"/>
      <c r="F11" s="66"/>
      <c r="H11" s="332"/>
      <c r="I11" s="388"/>
      <c r="J11" s="66"/>
      <c r="K11" s="66"/>
      <c r="M11" s="353"/>
      <c r="N11" s="388"/>
      <c r="O11" s="493" t="s">
        <v>400</v>
      </c>
      <c r="X11" s="499">
        <f>+X14-100%</f>
        <v>-0.57499999999999996</v>
      </c>
      <c r="AC11" s="533" t="s">
        <v>112</v>
      </c>
      <c r="AD11" s="534"/>
      <c r="AE11" s="534"/>
      <c r="AF11" s="534"/>
      <c r="AG11" s="534"/>
      <c r="AH11" s="534"/>
      <c r="AI11" s="534"/>
      <c r="AJ11" s="534"/>
      <c r="AK11" s="534"/>
      <c r="AL11" s="534"/>
      <c r="AM11" s="534"/>
      <c r="AN11" s="534"/>
      <c r="AO11" s="534"/>
      <c r="AP11" s="534"/>
      <c r="AQ11" s="534"/>
      <c r="AR11" s="534"/>
      <c r="AS11" s="534"/>
      <c r="AT11" s="534"/>
      <c r="AU11" s="534"/>
      <c r="AV11" s="534"/>
      <c r="AW11" s="535"/>
    </row>
    <row r="12" spans="2:109" s="71" customFormat="1" ht="19.5" customHeight="1" thickBot="1" x14ac:dyDescent="0.35">
      <c r="C12" s="74"/>
      <c r="D12" s="57"/>
      <c r="F12" s="66"/>
      <c r="G12" s="66"/>
      <c r="H12" s="332"/>
      <c r="I12" s="388"/>
      <c r="J12" s="66"/>
      <c r="M12" s="353" t="s">
        <v>397</v>
      </c>
      <c r="N12" s="388"/>
      <c r="P12" s="66"/>
      <c r="Q12" s="66"/>
      <c r="R12" s="66"/>
      <c r="S12" s="543" t="s">
        <v>110</v>
      </c>
      <c r="T12" s="544"/>
      <c r="Y12" s="539" t="s">
        <v>111</v>
      </c>
      <c r="Z12" s="540"/>
      <c r="AA12" s="541"/>
      <c r="AB12" s="542"/>
      <c r="AC12" s="533" t="s">
        <v>113</v>
      </c>
      <c r="AD12" s="534"/>
      <c r="AE12" s="534"/>
      <c r="AF12" s="533" t="s">
        <v>114</v>
      </c>
      <c r="AG12" s="534"/>
      <c r="AH12" s="534"/>
      <c r="AI12" s="534"/>
      <c r="AJ12" s="534"/>
      <c r="AK12" s="534"/>
      <c r="AL12" s="533" t="s">
        <v>115</v>
      </c>
      <c r="AM12" s="534"/>
      <c r="AN12" s="534"/>
      <c r="AO12" s="534"/>
      <c r="AP12" s="534"/>
      <c r="AQ12" s="535"/>
      <c r="AR12" s="533" t="s">
        <v>116</v>
      </c>
      <c r="AS12" s="534"/>
      <c r="AT12" s="534"/>
      <c r="AU12" s="534"/>
      <c r="AV12" s="534"/>
      <c r="AW12" s="535"/>
      <c r="AX12" s="231" t="s">
        <v>117</v>
      </c>
    </row>
    <row r="13" spans="2:109" s="8" customFormat="1" ht="49.5" customHeight="1" thickBot="1" x14ac:dyDescent="0.3">
      <c r="B13" s="107" t="s">
        <v>46</v>
      </c>
      <c r="C13" s="107" t="s">
        <v>118</v>
      </c>
      <c r="D13" s="107" t="s">
        <v>119</v>
      </c>
      <c r="E13" s="108" t="s">
        <v>68</v>
      </c>
      <c r="F13" s="107" t="s">
        <v>120</v>
      </c>
      <c r="G13" s="107" t="s">
        <v>23</v>
      </c>
      <c r="H13" s="333" t="s">
        <v>121</v>
      </c>
      <c r="I13" s="475" t="s">
        <v>125</v>
      </c>
      <c r="J13" s="108" t="s">
        <v>122</v>
      </c>
      <c r="K13" s="108" t="s">
        <v>123</v>
      </c>
      <c r="L13" s="108" t="s">
        <v>7</v>
      </c>
      <c r="M13" s="354" t="s">
        <v>124</v>
      </c>
      <c r="N13" s="475" t="s">
        <v>125</v>
      </c>
      <c r="O13" s="108" t="s">
        <v>126</v>
      </c>
      <c r="P13" s="491" t="s">
        <v>351</v>
      </c>
      <c r="Q13" s="492" t="s">
        <v>398</v>
      </c>
      <c r="R13" s="219" t="s">
        <v>357</v>
      </c>
      <c r="S13" s="108" t="s">
        <v>71</v>
      </c>
      <c r="T13" s="108" t="s">
        <v>127</v>
      </c>
      <c r="U13" s="109" t="s">
        <v>128</v>
      </c>
      <c r="V13" s="496"/>
      <c r="W13" s="496"/>
      <c r="X13" s="496"/>
      <c r="Y13" s="219" t="s">
        <v>129</v>
      </c>
      <c r="Z13" s="108" t="s">
        <v>71</v>
      </c>
      <c r="AA13" s="108" t="s">
        <v>127</v>
      </c>
      <c r="AB13" s="109" t="s">
        <v>128</v>
      </c>
      <c r="AC13" s="219" t="s">
        <v>130</v>
      </c>
      <c r="AD13" s="108" t="s">
        <v>131</v>
      </c>
      <c r="AE13" s="108" t="s">
        <v>132</v>
      </c>
      <c r="AF13" s="219" t="s">
        <v>130</v>
      </c>
      <c r="AG13" s="108" t="s">
        <v>133</v>
      </c>
      <c r="AH13" s="108" t="s">
        <v>134</v>
      </c>
      <c r="AI13" s="107" t="s">
        <v>130</v>
      </c>
      <c r="AJ13" s="108" t="s">
        <v>133</v>
      </c>
      <c r="AK13" s="108" t="s">
        <v>135</v>
      </c>
      <c r="AL13" s="219" t="s">
        <v>130</v>
      </c>
      <c r="AM13" s="108" t="s">
        <v>133</v>
      </c>
      <c r="AN13" s="108" t="s">
        <v>134</v>
      </c>
      <c r="AO13" s="108" t="s">
        <v>130</v>
      </c>
      <c r="AP13" s="107" t="s">
        <v>133</v>
      </c>
      <c r="AQ13" s="109" t="s">
        <v>135</v>
      </c>
      <c r="AR13" s="219" t="s">
        <v>130</v>
      </c>
      <c r="AS13" s="108" t="s">
        <v>133</v>
      </c>
      <c r="AT13" s="108" t="s">
        <v>134</v>
      </c>
      <c r="AU13" s="108" t="s">
        <v>130</v>
      </c>
      <c r="AV13" s="107" t="s">
        <v>133</v>
      </c>
      <c r="AW13" s="109" t="s">
        <v>135</v>
      </c>
    </row>
    <row r="14" spans="2:109" s="18" customFormat="1" ht="25.5" customHeight="1" x14ac:dyDescent="0.25">
      <c r="B14" s="139">
        <v>1</v>
      </c>
      <c r="C14" s="393" t="s">
        <v>407</v>
      </c>
      <c r="D14" s="25" t="s">
        <v>408</v>
      </c>
      <c r="E14" s="327" t="s">
        <v>137</v>
      </c>
      <c r="F14" s="139">
        <v>2019239</v>
      </c>
      <c r="G14" s="281">
        <v>43647</v>
      </c>
      <c r="H14" s="481">
        <v>76</v>
      </c>
      <c r="I14" s="270" t="s">
        <v>404</v>
      </c>
      <c r="J14" s="488">
        <v>180000</v>
      </c>
      <c r="K14" s="329">
        <v>43689</v>
      </c>
      <c r="L14" s="281">
        <v>43808</v>
      </c>
      <c r="M14" s="408" t="s">
        <v>404</v>
      </c>
      <c r="N14" s="270" t="s">
        <v>404</v>
      </c>
      <c r="O14" s="35" t="s">
        <v>105</v>
      </c>
      <c r="P14" s="490"/>
      <c r="Q14" s="490">
        <f t="shared" ref="Q14:Q45" si="0">+J14*H14/2</f>
        <v>6840000</v>
      </c>
      <c r="R14" s="399">
        <v>13680000</v>
      </c>
      <c r="S14" s="398">
        <f>+R14*0.65</f>
        <v>8892000</v>
      </c>
      <c r="T14" s="398">
        <f>(IF($O$14="Pequeña",R14*0.2,(IF($O$14="Mediana",R14*0.15,(IF($O$14="Grande",R14*0.15,0))))))</f>
        <v>2736000</v>
      </c>
      <c r="U14" s="233">
        <f>(IF($O$14="Pequeña",$R$14*0.15,(IF($O$14="Mediana",$R$14*0.2,(IF($O$14="Grande",$R$14*0.2,0))))))</f>
        <v>2052000</v>
      </c>
      <c r="V14" s="497">
        <f>+T14+S14</f>
        <v>11628000</v>
      </c>
      <c r="W14" s="497">
        <f>+V14/2</f>
        <v>5814000</v>
      </c>
      <c r="X14" s="498">
        <f>+W14/R14</f>
        <v>0.42499999999999999</v>
      </c>
      <c r="Y14" s="235">
        <f>+SUM(Z14:AB14)</f>
        <v>0</v>
      </c>
      <c r="Z14" s="233">
        <f>+AH14+AN14</f>
        <v>0</v>
      </c>
      <c r="AA14" s="233">
        <f t="shared" ref="AA14:AA30" si="1">+AK14+AQ14</f>
        <v>0</v>
      </c>
      <c r="AB14" s="234">
        <f>+AE14</f>
        <v>0</v>
      </c>
      <c r="AC14" s="227"/>
      <c r="AD14" s="225"/>
      <c r="AE14" s="225"/>
      <c r="AF14" s="227"/>
      <c r="AG14" s="225"/>
      <c r="AH14" s="225"/>
      <c r="AI14" s="225"/>
      <c r="AJ14" s="225"/>
      <c r="AK14" s="225"/>
      <c r="AL14" s="227"/>
      <c r="AM14" s="225"/>
      <c r="AN14" s="225"/>
      <c r="AO14" s="225"/>
      <c r="AP14" s="225"/>
      <c r="AQ14" s="226"/>
      <c r="AR14" s="227"/>
      <c r="AS14" s="225"/>
      <c r="AT14" s="225"/>
      <c r="AU14" s="225"/>
      <c r="AV14" s="225"/>
      <c r="AW14" s="226"/>
    </row>
    <row r="15" spans="2:109" s="18" customFormat="1" ht="25.5" customHeight="1" x14ac:dyDescent="0.25">
      <c r="B15" s="139">
        <v>2</v>
      </c>
      <c r="C15" s="385" t="s">
        <v>407</v>
      </c>
      <c r="D15" s="25" t="s">
        <v>408</v>
      </c>
      <c r="E15" s="327" t="s">
        <v>139</v>
      </c>
      <c r="F15" s="139">
        <v>2019285</v>
      </c>
      <c r="G15" s="281">
        <v>43699</v>
      </c>
      <c r="H15" s="481">
        <v>80</v>
      </c>
      <c r="I15" s="270" t="s">
        <v>404</v>
      </c>
      <c r="J15" s="10">
        <v>180000</v>
      </c>
      <c r="K15" s="329">
        <v>43699</v>
      </c>
      <c r="L15" s="281">
        <v>43808</v>
      </c>
      <c r="M15" s="408" t="s">
        <v>404</v>
      </c>
      <c r="N15" s="270" t="s">
        <v>404</v>
      </c>
      <c r="O15" s="35" t="s">
        <v>106</v>
      </c>
      <c r="P15" s="490"/>
      <c r="Q15" s="490">
        <f t="shared" si="0"/>
        <v>7200000</v>
      </c>
      <c r="R15" s="399">
        <v>14400000</v>
      </c>
      <c r="S15" s="392">
        <f>+R15*0.65</f>
        <v>9360000</v>
      </c>
      <c r="T15" s="392">
        <f>(IF($O$15="Pequeña",R15*0.2,(IF($O$15="Mediana",R15*0.15,(IF($O$15="Grande",R15*0.15,0))))))</f>
        <v>2160000</v>
      </c>
      <c r="U15" s="233">
        <f t="shared" ref="U15:U46" si="2">(IF(O15="Pequeña",R15*0.15,(IF(O15="Mediana",R15*0.2,(IF(O15="Grande",R15*0.2,0))))))</f>
        <v>2880000</v>
      </c>
      <c r="V15" s="497">
        <v>10439999</v>
      </c>
      <c r="W15" s="497">
        <f>+S15+T15*50%</f>
        <v>10440000</v>
      </c>
      <c r="X15" s="497"/>
      <c r="Y15" s="235">
        <f t="shared" ref="Y15:Y24" si="3">+SUM(Z15:AB15)</f>
        <v>0</v>
      </c>
      <c r="Z15" s="233">
        <f t="shared" ref="Z15:Z24" si="4">+AH15+AN15</f>
        <v>0</v>
      </c>
      <c r="AA15" s="233">
        <f t="shared" ref="AA15:AA24" si="5">+AK15+AQ15</f>
        <v>0</v>
      </c>
      <c r="AB15" s="234">
        <f t="shared" ref="AB15:AB24" si="6">+AE15</f>
        <v>0</v>
      </c>
      <c r="AC15" s="227"/>
      <c r="AD15" s="225"/>
      <c r="AE15" s="225"/>
      <c r="AF15" s="227"/>
      <c r="AG15" s="225"/>
      <c r="AH15" s="225"/>
      <c r="AI15" s="225"/>
      <c r="AJ15" s="225"/>
      <c r="AK15" s="225"/>
      <c r="AL15" s="227"/>
      <c r="AM15" s="225"/>
      <c r="AN15" s="225"/>
      <c r="AO15" s="225"/>
      <c r="AP15" s="225"/>
      <c r="AQ15" s="226"/>
      <c r="AR15" s="227"/>
      <c r="AS15" s="225"/>
      <c r="AT15" s="225"/>
      <c r="AU15" s="225"/>
      <c r="AV15" s="225"/>
      <c r="AW15" s="226"/>
    </row>
    <row r="16" spans="2:109" s="18" customFormat="1" ht="43.5" customHeight="1" x14ac:dyDescent="0.25">
      <c r="B16" s="139">
        <v>3</v>
      </c>
      <c r="C16" s="385" t="s">
        <v>407</v>
      </c>
      <c r="D16" s="25" t="s">
        <v>408</v>
      </c>
      <c r="E16" s="327" t="s">
        <v>139</v>
      </c>
      <c r="F16" s="139">
        <v>2019285</v>
      </c>
      <c r="G16" s="281">
        <v>43699</v>
      </c>
      <c r="H16" s="481">
        <v>80</v>
      </c>
      <c r="I16" s="270" t="s">
        <v>404</v>
      </c>
      <c r="J16" s="10">
        <v>180000</v>
      </c>
      <c r="K16" s="329">
        <v>43699</v>
      </c>
      <c r="L16" s="281">
        <v>43808</v>
      </c>
      <c r="M16" s="558" t="s">
        <v>409</v>
      </c>
      <c r="N16" s="270" t="s">
        <v>404</v>
      </c>
      <c r="O16" s="35" t="s">
        <v>107</v>
      </c>
      <c r="P16" s="490"/>
      <c r="Q16" s="490">
        <f t="shared" si="0"/>
        <v>7200000</v>
      </c>
      <c r="R16" s="399">
        <v>14400000</v>
      </c>
      <c r="S16" s="392">
        <f>+R16*0.65</f>
        <v>9360000</v>
      </c>
      <c r="T16" s="392">
        <f t="shared" ref="T16:T47" si="7">(IF(O16="Pequeña",R16*0.2,(IF(O16="Mediana",R16*0.15,(IF(O16="Grande",R16*0.15,0))))))</f>
        <v>2160000</v>
      </c>
      <c r="U16" s="233">
        <f t="shared" si="2"/>
        <v>2880000</v>
      </c>
      <c r="V16" s="497">
        <v>10439999</v>
      </c>
      <c r="W16" s="497">
        <f>+S16+T16*50%</f>
        <v>10440000</v>
      </c>
      <c r="X16" s="497"/>
      <c r="Y16" s="235">
        <f t="shared" si="3"/>
        <v>0</v>
      </c>
      <c r="Z16" s="233">
        <f t="shared" si="4"/>
        <v>0</v>
      </c>
      <c r="AA16" s="233">
        <f t="shared" si="5"/>
        <v>0</v>
      </c>
      <c r="AB16" s="234">
        <f t="shared" si="6"/>
        <v>0</v>
      </c>
      <c r="AC16" s="227"/>
      <c r="AD16" s="225"/>
      <c r="AE16" s="225"/>
      <c r="AF16" s="227"/>
      <c r="AG16" s="225"/>
      <c r="AH16" s="225"/>
      <c r="AI16" s="225"/>
      <c r="AJ16" s="225"/>
      <c r="AK16" s="225"/>
      <c r="AL16" s="227"/>
      <c r="AM16" s="225"/>
      <c r="AN16" s="225"/>
      <c r="AO16" s="225"/>
      <c r="AP16" s="225"/>
      <c r="AQ16" s="226"/>
      <c r="AR16" s="227"/>
      <c r="AS16" s="225"/>
      <c r="AT16" s="225"/>
      <c r="AU16" s="225"/>
      <c r="AV16" s="225"/>
      <c r="AW16" s="226"/>
    </row>
    <row r="17" spans="2:49" s="18" customFormat="1" ht="25.5" customHeight="1" x14ac:dyDescent="0.25">
      <c r="B17" s="139">
        <v>4</v>
      </c>
      <c r="C17" s="400" t="s">
        <v>407</v>
      </c>
      <c r="D17" s="25" t="s">
        <v>408</v>
      </c>
      <c r="E17" s="327" t="s">
        <v>141</v>
      </c>
      <c r="F17" s="139">
        <v>2019311</v>
      </c>
      <c r="G17" s="281">
        <v>43707</v>
      </c>
      <c r="H17" s="481">
        <v>65</v>
      </c>
      <c r="I17" s="270" t="s">
        <v>404</v>
      </c>
      <c r="J17" s="488">
        <v>160000</v>
      </c>
      <c r="K17" s="329">
        <v>43707</v>
      </c>
      <c r="L17" s="281">
        <v>43808</v>
      </c>
      <c r="M17" s="395" t="s">
        <v>409</v>
      </c>
      <c r="N17" s="270" t="s">
        <v>404</v>
      </c>
      <c r="O17" s="35" t="s">
        <v>106</v>
      </c>
      <c r="P17" s="490"/>
      <c r="Q17" s="490">
        <f t="shared" si="0"/>
        <v>5200000</v>
      </c>
      <c r="R17" s="396">
        <v>10400000</v>
      </c>
      <c r="S17" s="397">
        <f t="shared" ref="S17:S43" si="8">+R17*0.65</f>
        <v>6760000</v>
      </c>
      <c r="T17" s="397">
        <f t="shared" si="7"/>
        <v>1560000</v>
      </c>
      <c r="U17" s="233">
        <f t="shared" si="2"/>
        <v>2080000</v>
      </c>
      <c r="V17" s="497"/>
      <c r="W17" s="497"/>
      <c r="X17" s="497"/>
      <c r="Y17" s="235">
        <f t="shared" si="3"/>
        <v>0</v>
      </c>
      <c r="Z17" s="233">
        <f t="shared" si="4"/>
        <v>0</v>
      </c>
      <c r="AA17" s="233">
        <f t="shared" si="5"/>
        <v>0</v>
      </c>
      <c r="AB17" s="234">
        <f t="shared" si="6"/>
        <v>0</v>
      </c>
      <c r="AC17" s="227"/>
      <c r="AD17" s="225"/>
      <c r="AE17" s="225"/>
      <c r="AF17" s="227"/>
      <c r="AG17" s="225"/>
      <c r="AH17" s="225"/>
      <c r="AI17" s="225"/>
      <c r="AJ17" s="225"/>
      <c r="AK17" s="225"/>
      <c r="AL17" s="227"/>
      <c r="AM17" s="225"/>
      <c r="AN17" s="225"/>
      <c r="AO17" s="225"/>
      <c r="AP17" s="225"/>
      <c r="AQ17" s="226"/>
      <c r="AR17" s="227"/>
      <c r="AS17" s="225"/>
      <c r="AT17" s="225"/>
      <c r="AU17" s="225"/>
      <c r="AV17" s="225"/>
      <c r="AW17" s="226"/>
    </row>
    <row r="18" spans="2:49" s="18" customFormat="1" ht="25.5" customHeight="1" x14ac:dyDescent="0.25">
      <c r="B18" s="139">
        <v>5</v>
      </c>
      <c r="C18" s="400" t="s">
        <v>407</v>
      </c>
      <c r="D18" s="25" t="s">
        <v>408</v>
      </c>
      <c r="E18" s="327" t="s">
        <v>143</v>
      </c>
      <c r="F18" s="139">
        <v>2019249</v>
      </c>
      <c r="G18" s="281">
        <v>43697</v>
      </c>
      <c r="H18" s="481">
        <v>40</v>
      </c>
      <c r="I18" s="270" t="s">
        <v>404</v>
      </c>
      <c r="J18" s="10">
        <v>180000</v>
      </c>
      <c r="K18" s="281">
        <v>43697</v>
      </c>
      <c r="L18" s="281">
        <v>43808</v>
      </c>
      <c r="M18" s="408" t="s">
        <v>404</v>
      </c>
      <c r="N18" s="270" t="s">
        <v>404</v>
      </c>
      <c r="O18" s="35" t="s">
        <v>105</v>
      </c>
      <c r="P18" s="490"/>
      <c r="Q18" s="490">
        <f t="shared" si="0"/>
        <v>3600000</v>
      </c>
      <c r="R18" s="396">
        <v>7200000</v>
      </c>
      <c r="S18" s="233">
        <f t="shared" si="8"/>
        <v>4680000</v>
      </c>
      <c r="T18" s="233">
        <f t="shared" si="7"/>
        <v>1440000</v>
      </c>
      <c r="U18" s="233">
        <f t="shared" si="2"/>
        <v>1080000</v>
      </c>
      <c r="V18" s="497"/>
      <c r="W18" s="497"/>
      <c r="X18" s="497"/>
      <c r="Y18" s="235">
        <f t="shared" si="3"/>
        <v>0</v>
      </c>
      <c r="Z18" s="233">
        <f t="shared" si="4"/>
        <v>0</v>
      </c>
      <c r="AA18" s="233">
        <f t="shared" si="5"/>
        <v>0</v>
      </c>
      <c r="AB18" s="234">
        <f t="shared" si="6"/>
        <v>0</v>
      </c>
      <c r="AC18" s="227"/>
      <c r="AD18" s="225"/>
      <c r="AE18" s="225"/>
      <c r="AF18" s="227"/>
      <c r="AG18" s="225"/>
      <c r="AH18" s="225"/>
      <c r="AI18" s="225"/>
      <c r="AJ18" s="225"/>
      <c r="AK18" s="225"/>
      <c r="AL18" s="227"/>
      <c r="AM18" s="225"/>
      <c r="AN18" s="225"/>
      <c r="AO18" s="225"/>
      <c r="AP18" s="225"/>
      <c r="AQ18" s="226"/>
      <c r="AR18" s="227"/>
      <c r="AS18" s="225"/>
      <c r="AT18" s="225"/>
      <c r="AU18" s="225"/>
      <c r="AV18" s="225"/>
      <c r="AW18" s="226"/>
    </row>
    <row r="19" spans="2:49" s="18" customFormat="1" ht="25.5" customHeight="1" x14ac:dyDescent="0.25">
      <c r="B19" s="139">
        <v>6</v>
      </c>
      <c r="C19" s="400" t="s">
        <v>407</v>
      </c>
      <c r="D19" s="25" t="s">
        <v>408</v>
      </c>
      <c r="E19" s="327" t="s">
        <v>143</v>
      </c>
      <c r="F19" s="139">
        <v>2019249</v>
      </c>
      <c r="G19" s="281">
        <v>43697</v>
      </c>
      <c r="H19" s="481">
        <v>80</v>
      </c>
      <c r="I19" s="270" t="s">
        <v>404</v>
      </c>
      <c r="J19" s="10">
        <v>180000</v>
      </c>
      <c r="K19" s="281">
        <v>43697</v>
      </c>
      <c r="L19" s="281">
        <v>43808</v>
      </c>
      <c r="M19" s="392" t="s">
        <v>404</v>
      </c>
      <c r="N19" s="270" t="s">
        <v>404</v>
      </c>
      <c r="O19" s="35" t="s">
        <v>106</v>
      </c>
      <c r="P19" s="490"/>
      <c r="Q19" s="490">
        <f t="shared" si="0"/>
        <v>7200000</v>
      </c>
      <c r="R19" s="386">
        <v>14400000</v>
      </c>
      <c r="S19" s="233">
        <f t="shared" ref="S19:S20" si="9">+R19*0.65</f>
        <v>9360000</v>
      </c>
      <c r="T19" s="233">
        <f t="shared" si="7"/>
        <v>2160000</v>
      </c>
      <c r="U19" s="233">
        <f t="shared" si="2"/>
        <v>2880000</v>
      </c>
      <c r="V19" s="497"/>
      <c r="W19" s="497"/>
      <c r="X19" s="497"/>
      <c r="Y19" s="235">
        <f t="shared" si="3"/>
        <v>0</v>
      </c>
      <c r="Z19" s="233">
        <f t="shared" si="4"/>
        <v>0</v>
      </c>
      <c r="AA19" s="233">
        <f t="shared" si="5"/>
        <v>0</v>
      </c>
      <c r="AB19" s="234">
        <f t="shared" si="6"/>
        <v>0</v>
      </c>
      <c r="AC19" s="227"/>
      <c r="AD19" s="225"/>
      <c r="AE19" s="225"/>
      <c r="AF19" s="227"/>
      <c r="AG19" s="225"/>
      <c r="AH19" s="225"/>
      <c r="AI19" s="225"/>
      <c r="AJ19" s="225"/>
      <c r="AK19" s="225"/>
      <c r="AL19" s="227"/>
      <c r="AM19" s="225"/>
      <c r="AN19" s="225"/>
      <c r="AO19" s="225"/>
      <c r="AP19" s="225"/>
      <c r="AQ19" s="226"/>
      <c r="AR19" s="227"/>
      <c r="AS19" s="225"/>
      <c r="AT19" s="225"/>
      <c r="AU19" s="225"/>
      <c r="AV19" s="225"/>
      <c r="AW19" s="226"/>
    </row>
    <row r="20" spans="2:49" s="18" customFormat="1" ht="25.5" customHeight="1" x14ac:dyDescent="0.25">
      <c r="B20" s="139">
        <v>7</v>
      </c>
      <c r="C20" s="400" t="s">
        <v>407</v>
      </c>
      <c r="D20" s="25" t="s">
        <v>408</v>
      </c>
      <c r="E20" s="327" t="s">
        <v>143</v>
      </c>
      <c r="F20" s="139">
        <v>2019249</v>
      </c>
      <c r="G20" s="281">
        <v>43697</v>
      </c>
      <c r="H20" s="481">
        <v>60</v>
      </c>
      <c r="I20" s="270" t="s">
        <v>404</v>
      </c>
      <c r="J20" s="10">
        <v>180000</v>
      </c>
      <c r="K20" s="281">
        <v>43697</v>
      </c>
      <c r="L20" s="281">
        <v>43808</v>
      </c>
      <c r="M20" s="392" t="s">
        <v>404</v>
      </c>
      <c r="N20" s="270" t="s">
        <v>404</v>
      </c>
      <c r="O20" s="35" t="s">
        <v>105</v>
      </c>
      <c r="P20" s="490"/>
      <c r="Q20" s="490">
        <f t="shared" si="0"/>
        <v>5400000</v>
      </c>
      <c r="R20" s="386">
        <v>10800000</v>
      </c>
      <c r="S20" s="233">
        <f t="shared" si="9"/>
        <v>7020000</v>
      </c>
      <c r="T20" s="233">
        <f t="shared" si="7"/>
        <v>2160000</v>
      </c>
      <c r="U20" s="233">
        <f t="shared" si="2"/>
        <v>1620000</v>
      </c>
      <c r="V20" s="497"/>
      <c r="W20" s="497"/>
      <c r="X20" s="497"/>
      <c r="Y20" s="235">
        <f t="shared" si="3"/>
        <v>0</v>
      </c>
      <c r="Z20" s="233">
        <f t="shared" si="4"/>
        <v>0</v>
      </c>
      <c r="AA20" s="233">
        <f t="shared" si="5"/>
        <v>0</v>
      </c>
      <c r="AB20" s="234">
        <f t="shared" si="6"/>
        <v>0</v>
      </c>
      <c r="AC20" s="227"/>
      <c r="AD20" s="225"/>
      <c r="AE20" s="225"/>
      <c r="AF20" s="227"/>
      <c r="AG20" s="225"/>
      <c r="AH20" s="225"/>
      <c r="AI20" s="225"/>
      <c r="AJ20" s="225"/>
      <c r="AK20" s="225"/>
      <c r="AL20" s="227"/>
      <c r="AM20" s="225"/>
      <c r="AN20" s="225"/>
      <c r="AO20" s="225"/>
      <c r="AP20" s="225"/>
      <c r="AQ20" s="226"/>
      <c r="AR20" s="227"/>
      <c r="AS20" s="225"/>
      <c r="AT20" s="225"/>
      <c r="AU20" s="225"/>
      <c r="AV20" s="225"/>
      <c r="AW20" s="226"/>
    </row>
    <row r="21" spans="2:49" s="18" customFormat="1" ht="36.75" customHeight="1" x14ac:dyDescent="0.25">
      <c r="B21" s="139">
        <v>8</v>
      </c>
      <c r="C21" s="400" t="s">
        <v>407</v>
      </c>
      <c r="D21" s="25" t="s">
        <v>408</v>
      </c>
      <c r="E21" s="327" t="s">
        <v>143</v>
      </c>
      <c r="F21" s="139">
        <v>2019249</v>
      </c>
      <c r="G21" s="281">
        <v>43697</v>
      </c>
      <c r="H21" s="481">
        <v>48</v>
      </c>
      <c r="I21" s="270" t="s">
        <v>404</v>
      </c>
      <c r="J21" s="10">
        <v>180000</v>
      </c>
      <c r="K21" s="281">
        <v>43697</v>
      </c>
      <c r="L21" s="281">
        <v>43808</v>
      </c>
      <c r="M21" s="408" t="s">
        <v>404</v>
      </c>
      <c r="N21" s="270" t="s">
        <v>404</v>
      </c>
      <c r="O21" s="392" t="s">
        <v>105</v>
      </c>
      <c r="P21" s="490"/>
      <c r="Q21" s="490">
        <f t="shared" si="0"/>
        <v>4320000</v>
      </c>
      <c r="R21" s="386">
        <v>8640000</v>
      </c>
      <c r="S21" s="233">
        <f t="shared" si="8"/>
        <v>5616000</v>
      </c>
      <c r="T21" s="233">
        <f t="shared" si="7"/>
        <v>1728000</v>
      </c>
      <c r="U21" s="398">
        <f t="shared" si="2"/>
        <v>1296000</v>
      </c>
      <c r="V21" s="399"/>
      <c r="W21" s="399"/>
      <c r="X21" s="399"/>
      <c r="Y21" s="235">
        <f t="shared" si="3"/>
        <v>0</v>
      </c>
      <c r="Z21" s="233">
        <f t="shared" si="4"/>
        <v>0</v>
      </c>
      <c r="AA21" s="233">
        <f t="shared" si="5"/>
        <v>0</v>
      </c>
      <c r="AB21" s="234">
        <f t="shared" si="6"/>
        <v>0</v>
      </c>
      <c r="AC21" s="227"/>
      <c r="AD21" s="225"/>
      <c r="AE21" s="225"/>
      <c r="AF21" s="227"/>
      <c r="AG21" s="225"/>
      <c r="AH21" s="225"/>
      <c r="AI21" s="225"/>
      <c r="AJ21" s="225"/>
      <c r="AK21" s="225"/>
      <c r="AL21" s="227"/>
      <c r="AM21" s="225"/>
      <c r="AN21" s="225"/>
      <c r="AO21" s="225"/>
      <c r="AP21" s="225"/>
      <c r="AQ21" s="226"/>
      <c r="AR21" s="227"/>
      <c r="AS21" s="225"/>
      <c r="AT21" s="225"/>
      <c r="AU21" s="225"/>
      <c r="AV21" s="225"/>
      <c r="AW21" s="226"/>
    </row>
    <row r="22" spans="2:49" s="18" customFormat="1" ht="25.5" customHeight="1" x14ac:dyDescent="0.25">
      <c r="B22" s="139">
        <v>9</v>
      </c>
      <c r="C22" s="400" t="s">
        <v>407</v>
      </c>
      <c r="D22" s="25" t="s">
        <v>408</v>
      </c>
      <c r="E22" s="327" t="s">
        <v>145</v>
      </c>
      <c r="F22" s="139">
        <v>2019278</v>
      </c>
      <c r="G22" s="281">
        <v>43697</v>
      </c>
      <c r="H22" s="481">
        <v>68</v>
      </c>
      <c r="I22" s="270" t="s">
        <v>404</v>
      </c>
      <c r="J22" s="10">
        <v>180000</v>
      </c>
      <c r="K22" s="281">
        <v>43697</v>
      </c>
      <c r="L22" s="281">
        <v>43808</v>
      </c>
      <c r="M22" s="392" t="s">
        <v>404</v>
      </c>
      <c r="N22" s="270" t="s">
        <v>404</v>
      </c>
      <c r="O22" s="392" t="s">
        <v>106</v>
      </c>
      <c r="P22" s="490"/>
      <c r="Q22" s="490">
        <f t="shared" si="0"/>
        <v>6120000</v>
      </c>
      <c r="R22" s="401">
        <v>12240000</v>
      </c>
      <c r="S22" s="398">
        <f t="shared" si="8"/>
        <v>7956000</v>
      </c>
      <c r="T22" s="398">
        <f t="shared" si="7"/>
        <v>1836000</v>
      </c>
      <c r="U22" s="392">
        <f t="shared" si="2"/>
        <v>2448000</v>
      </c>
      <c r="V22" s="401"/>
      <c r="W22" s="401"/>
      <c r="X22" s="401"/>
      <c r="Y22" s="235">
        <f t="shared" si="3"/>
        <v>0</v>
      </c>
      <c r="Z22" s="233">
        <f t="shared" si="4"/>
        <v>0</v>
      </c>
      <c r="AA22" s="233">
        <f t="shared" si="5"/>
        <v>0</v>
      </c>
      <c r="AB22" s="234">
        <f t="shared" si="6"/>
        <v>0</v>
      </c>
      <c r="AC22" s="227"/>
      <c r="AD22" s="225"/>
      <c r="AE22" s="225"/>
      <c r="AF22" s="227"/>
      <c r="AG22" s="225"/>
      <c r="AH22" s="225"/>
      <c r="AI22" s="225"/>
      <c r="AJ22" s="225"/>
      <c r="AK22" s="225"/>
      <c r="AL22" s="227"/>
      <c r="AM22" s="225"/>
      <c r="AN22" s="225"/>
      <c r="AO22" s="225"/>
      <c r="AP22" s="225"/>
      <c r="AQ22" s="226"/>
      <c r="AR22" s="227"/>
      <c r="AS22" s="225"/>
      <c r="AT22" s="225"/>
      <c r="AU22" s="225"/>
      <c r="AV22" s="225"/>
      <c r="AW22" s="226"/>
    </row>
    <row r="23" spans="2:49" s="18" customFormat="1" ht="25.5" customHeight="1" x14ac:dyDescent="0.25">
      <c r="B23" s="139">
        <v>10</v>
      </c>
      <c r="C23" s="400" t="s">
        <v>407</v>
      </c>
      <c r="D23" s="25" t="s">
        <v>408</v>
      </c>
      <c r="E23" s="327" t="s">
        <v>145</v>
      </c>
      <c r="F23" s="139">
        <v>2019278</v>
      </c>
      <c r="G23" s="281">
        <v>43697</v>
      </c>
      <c r="H23" s="481">
        <v>80</v>
      </c>
      <c r="I23" s="270" t="s">
        <v>404</v>
      </c>
      <c r="J23" s="10">
        <v>180000</v>
      </c>
      <c r="K23" s="281">
        <v>43697</v>
      </c>
      <c r="L23" s="281">
        <v>43808</v>
      </c>
      <c r="M23" s="392" t="s">
        <v>404</v>
      </c>
      <c r="N23" s="270" t="s">
        <v>404</v>
      </c>
      <c r="O23" s="35" t="s">
        <v>106</v>
      </c>
      <c r="P23" s="490"/>
      <c r="Q23" s="490">
        <f t="shared" si="0"/>
        <v>7200000</v>
      </c>
      <c r="R23" s="401">
        <v>14400000</v>
      </c>
      <c r="S23" s="398">
        <f t="shared" si="8"/>
        <v>9360000</v>
      </c>
      <c r="T23" s="398">
        <f t="shared" si="7"/>
        <v>2160000</v>
      </c>
      <c r="U23" s="392">
        <f t="shared" si="2"/>
        <v>2880000</v>
      </c>
      <c r="V23" s="401"/>
      <c r="W23" s="401"/>
      <c r="X23" s="401"/>
      <c r="Y23" s="235">
        <f t="shared" si="3"/>
        <v>0</v>
      </c>
      <c r="Z23" s="233">
        <f t="shared" si="4"/>
        <v>0</v>
      </c>
      <c r="AA23" s="233">
        <f t="shared" si="5"/>
        <v>0</v>
      </c>
      <c r="AB23" s="234">
        <f t="shared" si="6"/>
        <v>0</v>
      </c>
      <c r="AC23" s="227"/>
      <c r="AD23" s="225"/>
      <c r="AE23" s="225"/>
      <c r="AF23" s="227"/>
      <c r="AG23" s="225"/>
      <c r="AH23" s="225"/>
      <c r="AI23" s="225"/>
      <c r="AJ23" s="225"/>
      <c r="AK23" s="225"/>
      <c r="AL23" s="227"/>
      <c r="AM23" s="225"/>
      <c r="AN23" s="225"/>
      <c r="AO23" s="225"/>
      <c r="AP23" s="225"/>
      <c r="AQ23" s="226"/>
      <c r="AR23" s="227"/>
      <c r="AS23" s="225"/>
      <c r="AT23" s="225"/>
      <c r="AU23" s="225"/>
      <c r="AV23" s="225"/>
      <c r="AW23" s="226"/>
    </row>
    <row r="24" spans="2:49" s="17" customFormat="1" ht="25.5" customHeight="1" x14ac:dyDescent="0.2">
      <c r="B24" s="139">
        <v>11</v>
      </c>
      <c r="C24" s="400" t="s">
        <v>407</v>
      </c>
      <c r="D24" s="25" t="s">
        <v>408</v>
      </c>
      <c r="E24" s="327" t="s">
        <v>145</v>
      </c>
      <c r="F24" s="139">
        <v>2019278</v>
      </c>
      <c r="G24" s="281">
        <v>43697</v>
      </c>
      <c r="H24" s="481">
        <v>65</v>
      </c>
      <c r="I24" s="270" t="s">
        <v>404</v>
      </c>
      <c r="J24" s="10">
        <v>180000</v>
      </c>
      <c r="K24" s="281">
        <v>43697</v>
      </c>
      <c r="L24" s="281">
        <v>43808</v>
      </c>
      <c r="M24" s="392" t="s">
        <v>404</v>
      </c>
      <c r="N24" s="270" t="s">
        <v>404</v>
      </c>
      <c r="O24" s="35" t="s">
        <v>105</v>
      </c>
      <c r="P24" s="490"/>
      <c r="Q24" s="490">
        <f t="shared" si="0"/>
        <v>5850000</v>
      </c>
      <c r="R24" s="401">
        <v>11700000</v>
      </c>
      <c r="S24" s="398">
        <f t="shared" si="8"/>
        <v>7605000</v>
      </c>
      <c r="T24" s="398">
        <f t="shared" si="7"/>
        <v>2340000</v>
      </c>
      <c r="U24" s="392">
        <f t="shared" si="2"/>
        <v>1755000</v>
      </c>
      <c r="V24" s="401"/>
      <c r="W24" s="401"/>
      <c r="X24" s="401"/>
      <c r="Y24" s="235">
        <f t="shared" si="3"/>
        <v>0</v>
      </c>
      <c r="Z24" s="233">
        <f t="shared" si="4"/>
        <v>0</v>
      </c>
      <c r="AA24" s="233">
        <f t="shared" si="5"/>
        <v>0</v>
      </c>
      <c r="AB24" s="234">
        <f t="shared" si="6"/>
        <v>0</v>
      </c>
      <c r="AC24" s="227"/>
      <c r="AD24" s="225"/>
      <c r="AE24" s="225"/>
      <c r="AF24" s="227"/>
      <c r="AG24" s="225"/>
      <c r="AH24" s="225"/>
      <c r="AI24" s="225"/>
      <c r="AJ24" s="225"/>
      <c r="AK24" s="225"/>
      <c r="AL24" s="227"/>
      <c r="AM24" s="225"/>
      <c r="AN24" s="225"/>
      <c r="AO24" s="225"/>
      <c r="AP24" s="225"/>
      <c r="AQ24" s="226"/>
      <c r="AR24" s="227"/>
      <c r="AS24" s="225"/>
      <c r="AT24" s="225"/>
      <c r="AU24" s="225"/>
      <c r="AV24" s="225"/>
      <c r="AW24" s="226"/>
    </row>
    <row r="25" spans="2:49" s="18" customFormat="1" ht="25.5" customHeight="1" x14ac:dyDescent="0.25">
      <c r="B25" s="139">
        <v>12</v>
      </c>
      <c r="C25" s="400" t="s">
        <v>407</v>
      </c>
      <c r="D25" s="25" t="s">
        <v>408</v>
      </c>
      <c r="E25" s="327" t="s">
        <v>145</v>
      </c>
      <c r="F25" s="139">
        <v>2019278</v>
      </c>
      <c r="G25" s="281">
        <v>43697</v>
      </c>
      <c r="H25" s="481">
        <v>65</v>
      </c>
      <c r="I25" s="270" t="s">
        <v>404</v>
      </c>
      <c r="J25" s="10">
        <v>180000</v>
      </c>
      <c r="K25" s="281">
        <v>43697</v>
      </c>
      <c r="L25" s="281">
        <v>43808</v>
      </c>
      <c r="M25" s="392" t="s">
        <v>404</v>
      </c>
      <c r="N25" s="270" t="s">
        <v>404</v>
      </c>
      <c r="O25" s="35" t="s">
        <v>105</v>
      </c>
      <c r="P25" s="490"/>
      <c r="Q25" s="490">
        <f t="shared" si="0"/>
        <v>5850000</v>
      </c>
      <c r="R25" s="401">
        <v>11700000</v>
      </c>
      <c r="S25" s="398">
        <f t="shared" si="8"/>
        <v>7605000</v>
      </c>
      <c r="T25" s="398">
        <f t="shared" si="7"/>
        <v>2340000</v>
      </c>
      <c r="U25" s="392">
        <f t="shared" si="2"/>
        <v>1755000</v>
      </c>
      <c r="V25" s="401"/>
      <c r="W25" s="401"/>
      <c r="X25" s="401"/>
      <c r="Y25" s="235">
        <f t="shared" ref="Y25:Y30" si="10">+SUM(Z25:AB25)</f>
        <v>0</v>
      </c>
      <c r="Z25" s="233">
        <f t="shared" ref="Z25:Z30" si="11">+AH25+AN25</f>
        <v>0</v>
      </c>
      <c r="AA25" s="233">
        <f t="shared" si="1"/>
        <v>0</v>
      </c>
      <c r="AB25" s="234">
        <f t="shared" ref="AB25:AB30" si="12">+AE25</f>
        <v>0</v>
      </c>
      <c r="AC25" s="227"/>
      <c r="AD25" s="225"/>
      <c r="AE25" s="225"/>
      <c r="AF25" s="227"/>
      <c r="AG25" s="225"/>
      <c r="AH25" s="225"/>
      <c r="AI25" s="225"/>
      <c r="AJ25" s="225"/>
      <c r="AK25" s="225"/>
      <c r="AL25" s="227"/>
      <c r="AM25" s="225"/>
      <c r="AN25" s="225"/>
      <c r="AO25" s="225"/>
      <c r="AP25" s="225"/>
      <c r="AQ25" s="226"/>
      <c r="AR25" s="227"/>
      <c r="AS25" s="225"/>
      <c r="AT25" s="225"/>
      <c r="AU25" s="225"/>
      <c r="AV25" s="225"/>
      <c r="AW25" s="226"/>
    </row>
    <row r="26" spans="2:49" s="14" customFormat="1" ht="25.5" customHeight="1" x14ac:dyDescent="0.2">
      <c r="B26" s="139">
        <v>13</v>
      </c>
      <c r="C26" s="409" t="s">
        <v>407</v>
      </c>
      <c r="D26" s="25" t="s">
        <v>408</v>
      </c>
      <c r="E26" s="327" t="s">
        <v>147</v>
      </c>
      <c r="F26" s="9">
        <v>2019263</v>
      </c>
      <c r="G26" s="329">
        <v>43707</v>
      </c>
      <c r="H26" s="481">
        <v>80</v>
      </c>
      <c r="I26" s="270" t="s">
        <v>404</v>
      </c>
      <c r="J26" s="488">
        <v>160000</v>
      </c>
      <c r="K26" s="329">
        <v>43707</v>
      </c>
      <c r="L26" s="281">
        <v>43808</v>
      </c>
      <c r="M26" s="408" t="s">
        <v>404</v>
      </c>
      <c r="N26" s="270" t="s">
        <v>404</v>
      </c>
      <c r="O26" s="35" t="s">
        <v>105</v>
      </c>
      <c r="P26" s="490"/>
      <c r="Q26" s="490">
        <f t="shared" si="0"/>
        <v>6400000</v>
      </c>
      <c r="R26" s="410">
        <v>12800000</v>
      </c>
      <c r="S26" s="233">
        <f t="shared" si="8"/>
        <v>8320000</v>
      </c>
      <c r="T26" s="233">
        <f t="shared" si="7"/>
        <v>2560000</v>
      </c>
      <c r="U26" s="233">
        <f t="shared" si="2"/>
        <v>1920000</v>
      </c>
      <c r="V26" s="497"/>
      <c r="W26" s="497"/>
      <c r="X26" s="497"/>
      <c r="Y26" s="235">
        <f t="shared" si="10"/>
        <v>0</v>
      </c>
      <c r="Z26" s="233">
        <f t="shared" si="11"/>
        <v>0</v>
      </c>
      <c r="AA26" s="233">
        <f t="shared" si="1"/>
        <v>0</v>
      </c>
      <c r="AB26" s="234">
        <f t="shared" si="12"/>
        <v>0</v>
      </c>
      <c r="AC26" s="227"/>
      <c r="AD26" s="225"/>
      <c r="AE26" s="225"/>
      <c r="AF26" s="227"/>
      <c r="AG26" s="225"/>
      <c r="AH26" s="225"/>
      <c r="AI26" s="225"/>
      <c r="AJ26" s="225"/>
      <c r="AK26" s="225"/>
      <c r="AL26" s="227"/>
      <c r="AM26" s="225"/>
      <c r="AN26" s="225"/>
      <c r="AO26" s="225"/>
      <c r="AP26" s="225"/>
      <c r="AQ26" s="226"/>
      <c r="AR26" s="227"/>
      <c r="AS26" s="225"/>
      <c r="AT26" s="225"/>
      <c r="AU26" s="225"/>
      <c r="AV26" s="225"/>
      <c r="AW26" s="226"/>
    </row>
    <row r="27" spans="2:49" s="14" customFormat="1" ht="25.5" customHeight="1" x14ac:dyDescent="0.2">
      <c r="B27" s="139">
        <v>14</v>
      </c>
      <c r="C27" s="409" t="s">
        <v>407</v>
      </c>
      <c r="D27" s="25" t="s">
        <v>408</v>
      </c>
      <c r="E27" s="327" t="s">
        <v>147</v>
      </c>
      <c r="F27" s="9">
        <v>2019263</v>
      </c>
      <c r="G27" s="329">
        <v>43707</v>
      </c>
      <c r="H27" s="481">
        <v>80</v>
      </c>
      <c r="I27" s="270" t="s">
        <v>404</v>
      </c>
      <c r="J27" s="488">
        <v>180000</v>
      </c>
      <c r="K27" s="329">
        <v>43707</v>
      </c>
      <c r="L27" s="281">
        <v>43808</v>
      </c>
      <c r="M27" s="392" t="s">
        <v>404</v>
      </c>
      <c r="N27" s="270" t="s">
        <v>404</v>
      </c>
      <c r="O27" s="35" t="s">
        <v>106</v>
      </c>
      <c r="P27" s="490"/>
      <c r="Q27" s="490">
        <f t="shared" si="0"/>
        <v>7200000</v>
      </c>
      <c r="R27" s="386">
        <v>14400000</v>
      </c>
      <c r="S27" s="233">
        <f t="shared" si="8"/>
        <v>9360000</v>
      </c>
      <c r="T27" s="233">
        <f t="shared" si="7"/>
        <v>2160000</v>
      </c>
      <c r="U27" s="233">
        <f t="shared" si="2"/>
        <v>2880000</v>
      </c>
      <c r="V27" s="497"/>
      <c r="W27" s="497"/>
      <c r="X27" s="497"/>
      <c r="Y27" s="235">
        <f t="shared" si="10"/>
        <v>0</v>
      </c>
      <c r="Z27" s="233">
        <f t="shared" si="11"/>
        <v>0</v>
      </c>
      <c r="AA27" s="233">
        <f t="shared" si="1"/>
        <v>0</v>
      </c>
      <c r="AB27" s="234">
        <f t="shared" si="12"/>
        <v>0</v>
      </c>
      <c r="AC27" s="227"/>
      <c r="AD27" s="225"/>
      <c r="AE27" s="225"/>
      <c r="AF27" s="227"/>
      <c r="AG27" s="225"/>
      <c r="AH27" s="225"/>
      <c r="AI27" s="225"/>
      <c r="AJ27" s="225"/>
      <c r="AK27" s="225"/>
      <c r="AL27" s="227"/>
      <c r="AM27" s="225"/>
      <c r="AN27" s="225"/>
      <c r="AO27" s="225"/>
      <c r="AP27" s="225"/>
      <c r="AQ27" s="226"/>
      <c r="AR27" s="227"/>
      <c r="AS27" s="225"/>
      <c r="AT27" s="225"/>
      <c r="AU27" s="225"/>
      <c r="AV27" s="225"/>
      <c r="AW27" s="226"/>
    </row>
    <row r="28" spans="2:49" s="14" customFormat="1" ht="25.5" customHeight="1" x14ac:dyDescent="0.2">
      <c r="B28" s="139">
        <v>15</v>
      </c>
      <c r="C28" s="409" t="s">
        <v>407</v>
      </c>
      <c r="D28" s="25" t="s">
        <v>408</v>
      </c>
      <c r="E28" s="327" t="s">
        <v>147</v>
      </c>
      <c r="F28" s="9">
        <v>2019263</v>
      </c>
      <c r="G28" s="329">
        <v>43707</v>
      </c>
      <c r="H28" s="481">
        <v>80</v>
      </c>
      <c r="I28" s="270" t="s">
        <v>404</v>
      </c>
      <c r="J28" s="488">
        <v>160000</v>
      </c>
      <c r="K28" s="329">
        <v>43707</v>
      </c>
      <c r="L28" s="281">
        <v>43808</v>
      </c>
      <c r="M28" s="392" t="s">
        <v>404</v>
      </c>
      <c r="N28" s="270" t="s">
        <v>404</v>
      </c>
      <c r="O28" s="35" t="s">
        <v>105</v>
      </c>
      <c r="P28" s="490"/>
      <c r="Q28" s="490">
        <f t="shared" si="0"/>
        <v>6400000</v>
      </c>
      <c r="R28" s="386">
        <v>12800000</v>
      </c>
      <c r="S28" s="233">
        <f t="shared" si="8"/>
        <v>8320000</v>
      </c>
      <c r="T28" s="233">
        <f t="shared" si="7"/>
        <v>2560000</v>
      </c>
      <c r="U28" s="233">
        <f t="shared" si="2"/>
        <v>1920000</v>
      </c>
      <c r="V28" s="497"/>
      <c r="W28" s="497"/>
      <c r="X28" s="497"/>
      <c r="Y28" s="235">
        <f t="shared" si="10"/>
        <v>0</v>
      </c>
      <c r="Z28" s="233">
        <f t="shared" si="11"/>
        <v>0</v>
      </c>
      <c r="AA28" s="233">
        <f t="shared" si="1"/>
        <v>0</v>
      </c>
      <c r="AB28" s="234">
        <f t="shared" si="12"/>
        <v>0</v>
      </c>
      <c r="AC28" s="227"/>
      <c r="AD28" s="225"/>
      <c r="AE28" s="225"/>
      <c r="AF28" s="227"/>
      <c r="AG28" s="225"/>
      <c r="AH28" s="225"/>
      <c r="AI28" s="225"/>
      <c r="AJ28" s="225"/>
      <c r="AK28" s="225"/>
      <c r="AL28" s="227"/>
      <c r="AM28" s="225"/>
      <c r="AN28" s="225"/>
      <c r="AO28" s="225"/>
      <c r="AP28" s="225"/>
      <c r="AQ28" s="226"/>
      <c r="AR28" s="227"/>
      <c r="AS28" s="225"/>
      <c r="AT28" s="225"/>
      <c r="AU28" s="225"/>
      <c r="AV28" s="225"/>
      <c r="AW28" s="226"/>
    </row>
    <row r="29" spans="2:49" s="14" customFormat="1" ht="25.5" customHeight="1" x14ac:dyDescent="0.2">
      <c r="B29" s="139">
        <v>16</v>
      </c>
      <c r="C29" s="409" t="s">
        <v>407</v>
      </c>
      <c r="D29" s="25" t="s">
        <v>408</v>
      </c>
      <c r="E29" s="327" t="s">
        <v>147</v>
      </c>
      <c r="F29" s="9">
        <v>2019263</v>
      </c>
      <c r="G29" s="329">
        <v>43707</v>
      </c>
      <c r="H29" s="481">
        <v>80</v>
      </c>
      <c r="I29" s="270" t="s">
        <v>404</v>
      </c>
      <c r="J29" s="488">
        <v>180000</v>
      </c>
      <c r="K29" s="329">
        <v>43707</v>
      </c>
      <c r="L29" s="281">
        <v>43808</v>
      </c>
      <c r="M29" s="408" t="s">
        <v>404</v>
      </c>
      <c r="N29" s="270" t="s">
        <v>404</v>
      </c>
      <c r="O29" s="35" t="s">
        <v>106</v>
      </c>
      <c r="P29" s="490"/>
      <c r="Q29" s="490">
        <f t="shared" si="0"/>
        <v>7200000</v>
      </c>
      <c r="R29" s="410">
        <v>14400000</v>
      </c>
      <c r="S29" s="392">
        <f t="shared" si="8"/>
        <v>9360000</v>
      </c>
      <c r="T29" s="392">
        <f t="shared" si="7"/>
        <v>2160000</v>
      </c>
      <c r="U29" s="233">
        <f t="shared" si="2"/>
        <v>2880000</v>
      </c>
      <c r="V29" s="497"/>
      <c r="W29" s="497"/>
      <c r="X29" s="497"/>
      <c r="Y29" s="235">
        <f t="shared" si="10"/>
        <v>0</v>
      </c>
      <c r="Z29" s="233">
        <f t="shared" si="11"/>
        <v>0</v>
      </c>
      <c r="AA29" s="233">
        <f t="shared" si="1"/>
        <v>0</v>
      </c>
      <c r="AB29" s="234">
        <f t="shared" si="12"/>
        <v>0</v>
      </c>
      <c r="AC29" s="227"/>
      <c r="AD29" s="225"/>
      <c r="AE29" s="225"/>
      <c r="AF29" s="227"/>
      <c r="AG29" s="225"/>
      <c r="AH29" s="225"/>
      <c r="AI29" s="225"/>
      <c r="AJ29" s="225"/>
      <c r="AK29" s="225"/>
      <c r="AL29" s="227"/>
      <c r="AM29" s="225"/>
      <c r="AN29" s="225"/>
      <c r="AO29" s="225"/>
      <c r="AP29" s="225"/>
      <c r="AQ29" s="226"/>
      <c r="AR29" s="227"/>
      <c r="AS29" s="225"/>
      <c r="AT29" s="225"/>
      <c r="AU29" s="225"/>
      <c r="AV29" s="225"/>
      <c r="AW29" s="226"/>
    </row>
    <row r="30" spans="2:49" s="14" customFormat="1" ht="25.5" customHeight="1" x14ac:dyDescent="0.2">
      <c r="B30" s="139">
        <v>17</v>
      </c>
      <c r="C30" s="409" t="s">
        <v>407</v>
      </c>
      <c r="D30" s="25" t="s">
        <v>408</v>
      </c>
      <c r="E30" s="327" t="s">
        <v>147</v>
      </c>
      <c r="F30" s="9">
        <v>2019263</v>
      </c>
      <c r="G30" s="329">
        <v>43707</v>
      </c>
      <c r="H30" s="481">
        <v>80</v>
      </c>
      <c r="I30" s="270" t="s">
        <v>404</v>
      </c>
      <c r="J30" s="488">
        <v>180000</v>
      </c>
      <c r="K30" s="329">
        <v>43707</v>
      </c>
      <c r="L30" s="281">
        <v>43808</v>
      </c>
      <c r="M30" s="408" t="s">
        <v>404</v>
      </c>
      <c r="N30" s="270" t="s">
        <v>404</v>
      </c>
      <c r="O30" s="35" t="s">
        <v>107</v>
      </c>
      <c r="P30" s="490"/>
      <c r="Q30" s="490">
        <f t="shared" si="0"/>
        <v>7200000</v>
      </c>
      <c r="R30" s="410">
        <v>14400000</v>
      </c>
      <c r="S30" s="392">
        <f t="shared" si="8"/>
        <v>9360000</v>
      </c>
      <c r="T30" s="392">
        <f t="shared" si="7"/>
        <v>2160000</v>
      </c>
      <c r="U30" s="233">
        <f t="shared" si="2"/>
        <v>2880000</v>
      </c>
      <c r="V30" s="497"/>
      <c r="W30" s="497"/>
      <c r="X30" s="497"/>
      <c r="Y30" s="235">
        <f t="shared" si="10"/>
        <v>0</v>
      </c>
      <c r="Z30" s="233">
        <f t="shared" si="11"/>
        <v>0</v>
      </c>
      <c r="AA30" s="233">
        <f t="shared" si="1"/>
        <v>0</v>
      </c>
      <c r="AB30" s="234">
        <f t="shared" si="12"/>
        <v>0</v>
      </c>
      <c r="AC30" s="227"/>
      <c r="AD30" s="225"/>
      <c r="AE30" s="225"/>
      <c r="AF30" s="227"/>
      <c r="AG30" s="225"/>
      <c r="AH30" s="225"/>
      <c r="AI30" s="225"/>
      <c r="AJ30" s="225"/>
      <c r="AK30" s="225"/>
      <c r="AL30" s="227"/>
      <c r="AM30" s="225"/>
      <c r="AN30" s="225"/>
      <c r="AO30" s="225"/>
      <c r="AP30" s="225"/>
      <c r="AQ30" s="226"/>
      <c r="AR30" s="227"/>
      <c r="AS30" s="225"/>
      <c r="AT30" s="225"/>
      <c r="AU30" s="225"/>
      <c r="AV30" s="225"/>
      <c r="AW30" s="226"/>
    </row>
    <row r="31" spans="2:49" s="14" customFormat="1" ht="25.5" customHeight="1" x14ac:dyDescent="0.2">
      <c r="B31" s="139">
        <v>18</v>
      </c>
      <c r="C31" s="409" t="s">
        <v>407</v>
      </c>
      <c r="D31" s="25" t="s">
        <v>408</v>
      </c>
      <c r="E31" s="327" t="s">
        <v>147</v>
      </c>
      <c r="F31" s="9">
        <v>2019263</v>
      </c>
      <c r="G31" s="329">
        <v>43707</v>
      </c>
      <c r="H31" s="481">
        <v>80</v>
      </c>
      <c r="I31" s="271" t="s">
        <v>404</v>
      </c>
      <c r="J31" s="488">
        <v>160000</v>
      </c>
      <c r="K31" s="329">
        <v>43707</v>
      </c>
      <c r="L31" s="281">
        <v>43808</v>
      </c>
      <c r="M31" s="392" t="s">
        <v>404</v>
      </c>
      <c r="N31" s="271" t="s">
        <v>404</v>
      </c>
      <c r="O31" s="392" t="s">
        <v>106</v>
      </c>
      <c r="P31" s="490"/>
      <c r="Q31" s="490">
        <f t="shared" si="0"/>
        <v>6400000</v>
      </c>
      <c r="R31" s="386">
        <v>12800000</v>
      </c>
      <c r="S31" s="233">
        <f t="shared" ref="S31:S39" si="13">+R31*0.65</f>
        <v>8320000</v>
      </c>
      <c r="T31" s="233">
        <f t="shared" si="7"/>
        <v>1920000</v>
      </c>
      <c r="U31" s="233">
        <f t="shared" si="2"/>
        <v>2560000</v>
      </c>
      <c r="V31" s="497"/>
      <c r="W31" s="497"/>
      <c r="X31" s="497"/>
      <c r="Y31" s="235">
        <f t="shared" ref="Y31:Y70" si="14">+SUM(Z31:AB31)</f>
        <v>0</v>
      </c>
      <c r="Z31" s="233">
        <f t="shared" ref="Z31:Z70" si="15">+AH31+AN31</f>
        <v>0</v>
      </c>
      <c r="AA31" s="233">
        <f t="shared" ref="AA31:AA70" si="16">+AK31+AQ31</f>
        <v>0</v>
      </c>
      <c r="AB31" s="234">
        <f t="shared" ref="AB31:AB70" si="17">+AE31</f>
        <v>0</v>
      </c>
      <c r="AC31" s="227"/>
      <c r="AD31" s="225"/>
      <c r="AE31" s="225"/>
      <c r="AF31" s="227"/>
      <c r="AG31" s="225"/>
      <c r="AH31" s="225"/>
      <c r="AI31" s="225"/>
      <c r="AJ31" s="225"/>
      <c r="AK31" s="225"/>
      <c r="AL31" s="227"/>
      <c r="AM31" s="225"/>
      <c r="AN31" s="225"/>
      <c r="AO31" s="225"/>
      <c r="AP31" s="225"/>
      <c r="AQ31" s="226"/>
      <c r="AR31" s="227"/>
      <c r="AS31" s="225"/>
      <c r="AT31" s="225"/>
      <c r="AU31" s="225"/>
      <c r="AV31" s="225"/>
      <c r="AW31" s="226"/>
    </row>
    <row r="32" spans="2:49" s="14" customFormat="1" ht="25.5" customHeight="1" x14ac:dyDescent="0.2">
      <c r="B32" s="139">
        <v>19</v>
      </c>
      <c r="C32" s="409" t="s">
        <v>407</v>
      </c>
      <c r="D32" s="25" t="s">
        <v>408</v>
      </c>
      <c r="E32" s="327" t="s">
        <v>147</v>
      </c>
      <c r="F32" s="9">
        <v>2019263</v>
      </c>
      <c r="G32" s="329">
        <v>43707</v>
      </c>
      <c r="H32" s="481">
        <v>65</v>
      </c>
      <c r="I32" s="271" t="s">
        <v>404</v>
      </c>
      <c r="J32" s="488">
        <v>160000</v>
      </c>
      <c r="K32" s="329">
        <v>43707</v>
      </c>
      <c r="L32" s="281">
        <v>43808</v>
      </c>
      <c r="M32" s="392" t="s">
        <v>404</v>
      </c>
      <c r="N32" s="271" t="s">
        <v>404</v>
      </c>
      <c r="O32" s="35" t="s">
        <v>105</v>
      </c>
      <c r="P32" s="490"/>
      <c r="Q32" s="490">
        <f t="shared" si="0"/>
        <v>5200000</v>
      </c>
      <c r="R32" s="386">
        <v>10400000</v>
      </c>
      <c r="S32" s="233">
        <f t="shared" si="13"/>
        <v>6760000</v>
      </c>
      <c r="T32" s="233">
        <f t="shared" si="7"/>
        <v>2080000</v>
      </c>
      <c r="U32" s="233">
        <f t="shared" si="2"/>
        <v>1560000</v>
      </c>
      <c r="V32" s="497"/>
      <c r="W32" s="497"/>
      <c r="X32" s="497"/>
      <c r="Y32" s="235">
        <f t="shared" si="14"/>
        <v>0</v>
      </c>
      <c r="Z32" s="233">
        <f t="shared" si="15"/>
        <v>0</v>
      </c>
      <c r="AA32" s="233">
        <f t="shared" si="16"/>
        <v>0</v>
      </c>
      <c r="AB32" s="234">
        <f t="shared" si="17"/>
        <v>0</v>
      </c>
      <c r="AC32" s="227"/>
      <c r="AD32" s="225"/>
      <c r="AE32" s="225"/>
      <c r="AF32" s="227"/>
      <c r="AG32" s="225"/>
      <c r="AH32" s="225"/>
      <c r="AI32" s="225"/>
      <c r="AJ32" s="225"/>
      <c r="AK32" s="225"/>
      <c r="AL32" s="227"/>
      <c r="AM32" s="225"/>
      <c r="AN32" s="225"/>
      <c r="AO32" s="225"/>
      <c r="AP32" s="225"/>
      <c r="AQ32" s="226"/>
      <c r="AR32" s="227"/>
      <c r="AS32" s="225"/>
      <c r="AT32" s="225"/>
      <c r="AU32" s="225"/>
      <c r="AV32" s="225"/>
      <c r="AW32" s="226"/>
    </row>
    <row r="33" spans="2:49" s="14" customFormat="1" ht="25.5" customHeight="1" x14ac:dyDescent="0.2">
      <c r="B33" s="139">
        <v>20</v>
      </c>
      <c r="C33" s="409" t="s">
        <v>407</v>
      </c>
      <c r="D33" s="25" t="s">
        <v>408</v>
      </c>
      <c r="E33" s="327" t="s">
        <v>147</v>
      </c>
      <c r="F33" s="9">
        <v>2019263</v>
      </c>
      <c r="G33" s="329">
        <v>43707</v>
      </c>
      <c r="H33" s="481">
        <v>65</v>
      </c>
      <c r="I33" s="271" t="s">
        <v>404</v>
      </c>
      <c r="J33" s="488">
        <v>160000</v>
      </c>
      <c r="K33" s="329">
        <v>43707</v>
      </c>
      <c r="L33" s="281">
        <v>43808</v>
      </c>
      <c r="M33" s="392" t="s">
        <v>404</v>
      </c>
      <c r="N33" s="271" t="s">
        <v>404</v>
      </c>
      <c r="O33" s="35" t="s">
        <v>105</v>
      </c>
      <c r="P33" s="490"/>
      <c r="Q33" s="490">
        <f t="shared" si="0"/>
        <v>5200000</v>
      </c>
      <c r="R33" s="386">
        <v>10400000</v>
      </c>
      <c r="S33" s="233">
        <f t="shared" si="13"/>
        <v>6760000</v>
      </c>
      <c r="T33" s="233">
        <f t="shared" si="7"/>
        <v>2080000</v>
      </c>
      <c r="U33" s="233">
        <f t="shared" si="2"/>
        <v>1560000</v>
      </c>
      <c r="V33" s="497"/>
      <c r="W33" s="497"/>
      <c r="X33" s="497"/>
      <c r="Y33" s="235">
        <f t="shared" si="14"/>
        <v>0</v>
      </c>
      <c r="Z33" s="233">
        <f t="shared" si="15"/>
        <v>0</v>
      </c>
      <c r="AA33" s="233">
        <f t="shared" si="16"/>
        <v>0</v>
      </c>
      <c r="AB33" s="234">
        <f t="shared" si="17"/>
        <v>0</v>
      </c>
      <c r="AC33" s="227"/>
      <c r="AD33" s="225"/>
      <c r="AE33" s="225"/>
      <c r="AF33" s="227"/>
      <c r="AG33" s="225"/>
      <c r="AH33" s="225"/>
      <c r="AI33" s="225"/>
      <c r="AJ33" s="225"/>
      <c r="AK33" s="225"/>
      <c r="AL33" s="227"/>
      <c r="AM33" s="225"/>
      <c r="AN33" s="225"/>
      <c r="AO33" s="225"/>
      <c r="AP33" s="225"/>
      <c r="AQ33" s="226"/>
      <c r="AR33" s="227"/>
      <c r="AS33" s="225"/>
      <c r="AT33" s="225"/>
      <c r="AU33" s="225"/>
      <c r="AV33" s="225"/>
      <c r="AW33" s="226"/>
    </row>
    <row r="34" spans="2:49" s="14" customFormat="1" ht="25.5" customHeight="1" x14ac:dyDescent="0.2">
      <c r="B34" s="139">
        <v>21</v>
      </c>
      <c r="C34" s="409" t="s">
        <v>407</v>
      </c>
      <c r="D34" s="25" t="s">
        <v>408</v>
      </c>
      <c r="E34" s="327" t="s">
        <v>147</v>
      </c>
      <c r="F34" s="9">
        <v>2019263</v>
      </c>
      <c r="G34" s="329">
        <v>43707</v>
      </c>
      <c r="H34" s="481">
        <v>80</v>
      </c>
      <c r="I34" s="271" t="s">
        <v>404</v>
      </c>
      <c r="J34" s="488">
        <v>160000</v>
      </c>
      <c r="K34" s="329">
        <v>43707</v>
      </c>
      <c r="L34" s="281">
        <v>43808</v>
      </c>
      <c r="M34" s="408" t="s">
        <v>404</v>
      </c>
      <c r="N34" s="271" t="s">
        <v>404</v>
      </c>
      <c r="O34" s="35" t="s">
        <v>106</v>
      </c>
      <c r="P34" s="490"/>
      <c r="Q34" s="490">
        <f t="shared" si="0"/>
        <v>6400000</v>
      </c>
      <c r="R34" s="410">
        <v>12800000</v>
      </c>
      <c r="S34" s="233">
        <f t="shared" si="13"/>
        <v>8320000</v>
      </c>
      <c r="T34" s="233">
        <f t="shared" si="7"/>
        <v>1920000</v>
      </c>
      <c r="U34" s="233">
        <f t="shared" si="2"/>
        <v>2560000</v>
      </c>
      <c r="V34" s="497"/>
      <c r="W34" s="497"/>
      <c r="X34" s="497"/>
      <c r="Y34" s="235">
        <f t="shared" si="14"/>
        <v>0</v>
      </c>
      <c r="Z34" s="233">
        <f t="shared" si="15"/>
        <v>0</v>
      </c>
      <c r="AA34" s="233">
        <f t="shared" si="16"/>
        <v>0</v>
      </c>
      <c r="AB34" s="234">
        <f t="shared" si="17"/>
        <v>0</v>
      </c>
      <c r="AC34" s="227"/>
      <c r="AD34" s="225"/>
      <c r="AE34" s="225"/>
      <c r="AF34" s="227"/>
      <c r="AG34" s="225"/>
      <c r="AH34" s="225"/>
      <c r="AI34" s="225"/>
      <c r="AJ34" s="225"/>
      <c r="AK34" s="225"/>
      <c r="AL34" s="227"/>
      <c r="AM34" s="225"/>
      <c r="AN34" s="225"/>
      <c r="AO34" s="225"/>
      <c r="AP34" s="225"/>
      <c r="AQ34" s="226"/>
      <c r="AR34" s="227"/>
      <c r="AS34" s="225"/>
      <c r="AT34" s="225"/>
      <c r="AU34" s="225"/>
      <c r="AV34" s="225"/>
      <c r="AW34" s="226"/>
    </row>
    <row r="35" spans="2:49" s="14" customFormat="1" ht="25.5" customHeight="1" x14ac:dyDescent="0.2">
      <c r="B35" s="139">
        <v>22</v>
      </c>
      <c r="C35" s="409" t="s">
        <v>407</v>
      </c>
      <c r="D35" s="25" t="s">
        <v>408</v>
      </c>
      <c r="E35" s="327" t="s">
        <v>147</v>
      </c>
      <c r="F35" s="9">
        <v>2019263</v>
      </c>
      <c r="G35" s="329">
        <v>43707</v>
      </c>
      <c r="H35" s="481">
        <v>80</v>
      </c>
      <c r="I35" s="271" t="s">
        <v>404</v>
      </c>
      <c r="J35" s="488">
        <v>160000</v>
      </c>
      <c r="K35" s="329">
        <v>43707</v>
      </c>
      <c r="L35" s="281">
        <v>43808</v>
      </c>
      <c r="M35" s="392" t="s">
        <v>404</v>
      </c>
      <c r="N35" s="271" t="s">
        <v>404</v>
      </c>
      <c r="O35" s="35" t="s">
        <v>107</v>
      </c>
      <c r="P35" s="490"/>
      <c r="Q35" s="490">
        <f t="shared" si="0"/>
        <v>6400000</v>
      </c>
      <c r="R35" s="386">
        <v>12800000</v>
      </c>
      <c r="S35" s="233">
        <f t="shared" si="13"/>
        <v>8320000</v>
      </c>
      <c r="T35" s="233">
        <f t="shared" si="7"/>
        <v>1920000</v>
      </c>
      <c r="U35" s="233">
        <f t="shared" si="2"/>
        <v>2560000</v>
      </c>
      <c r="V35" s="497"/>
      <c r="W35" s="497"/>
      <c r="X35" s="497"/>
      <c r="Y35" s="235">
        <f t="shared" si="14"/>
        <v>0</v>
      </c>
      <c r="Z35" s="233">
        <f t="shared" si="15"/>
        <v>0</v>
      </c>
      <c r="AA35" s="233">
        <f t="shared" si="16"/>
        <v>0</v>
      </c>
      <c r="AB35" s="234">
        <f t="shared" si="17"/>
        <v>0</v>
      </c>
      <c r="AC35" s="227"/>
      <c r="AD35" s="225"/>
      <c r="AE35" s="225"/>
      <c r="AF35" s="227"/>
      <c r="AG35" s="225"/>
      <c r="AH35" s="225"/>
      <c r="AI35" s="225"/>
      <c r="AJ35" s="225"/>
      <c r="AK35" s="225"/>
      <c r="AL35" s="227"/>
      <c r="AM35" s="225"/>
      <c r="AN35" s="225"/>
      <c r="AO35" s="225"/>
      <c r="AP35" s="225"/>
      <c r="AQ35" s="226"/>
      <c r="AR35" s="227"/>
      <c r="AS35" s="225"/>
      <c r="AT35" s="225"/>
      <c r="AU35" s="225"/>
      <c r="AV35" s="225"/>
      <c r="AW35" s="226"/>
    </row>
    <row r="36" spans="2:49" s="14" customFormat="1" ht="25.5" customHeight="1" x14ac:dyDescent="0.2">
      <c r="B36" s="139">
        <v>23</v>
      </c>
      <c r="C36" s="409" t="s">
        <v>407</v>
      </c>
      <c r="D36" s="25" t="s">
        <v>408</v>
      </c>
      <c r="E36" s="327" t="s">
        <v>147</v>
      </c>
      <c r="F36" s="9">
        <v>2019263</v>
      </c>
      <c r="G36" s="329">
        <v>43707</v>
      </c>
      <c r="H36" s="481">
        <v>80</v>
      </c>
      <c r="I36" s="271" t="s">
        <v>404</v>
      </c>
      <c r="J36" s="488">
        <v>160000</v>
      </c>
      <c r="K36" s="329">
        <v>43707</v>
      </c>
      <c r="L36" s="281">
        <v>43808</v>
      </c>
      <c r="M36" s="408" t="s">
        <v>404</v>
      </c>
      <c r="N36" s="271" t="s">
        <v>404</v>
      </c>
      <c r="O36" s="35" t="s">
        <v>106</v>
      </c>
      <c r="P36" s="490"/>
      <c r="Q36" s="490">
        <f t="shared" si="0"/>
        <v>6400000</v>
      </c>
      <c r="R36" s="410">
        <v>12800000</v>
      </c>
      <c r="S36" s="233">
        <f t="shared" si="13"/>
        <v>8320000</v>
      </c>
      <c r="T36" s="233">
        <f t="shared" si="7"/>
        <v>1920000</v>
      </c>
      <c r="U36" s="233">
        <f t="shared" si="2"/>
        <v>2560000</v>
      </c>
      <c r="V36" s="497"/>
      <c r="W36" s="497"/>
      <c r="X36" s="497"/>
      <c r="Y36" s="235">
        <f t="shared" si="14"/>
        <v>0</v>
      </c>
      <c r="Z36" s="233">
        <f t="shared" si="15"/>
        <v>0</v>
      </c>
      <c r="AA36" s="233">
        <f t="shared" si="16"/>
        <v>0</v>
      </c>
      <c r="AB36" s="234">
        <f t="shared" si="17"/>
        <v>0</v>
      </c>
      <c r="AC36" s="227"/>
      <c r="AD36" s="225"/>
      <c r="AE36" s="225"/>
      <c r="AF36" s="227"/>
      <c r="AG36" s="225"/>
      <c r="AH36" s="225"/>
      <c r="AI36" s="225"/>
      <c r="AJ36" s="225"/>
      <c r="AK36" s="225"/>
      <c r="AL36" s="227"/>
      <c r="AM36" s="225"/>
      <c r="AN36" s="225"/>
      <c r="AO36" s="225"/>
      <c r="AP36" s="225"/>
      <c r="AQ36" s="226"/>
      <c r="AR36" s="227"/>
      <c r="AS36" s="225"/>
      <c r="AT36" s="225"/>
      <c r="AU36" s="225"/>
      <c r="AV36" s="225"/>
      <c r="AW36" s="226"/>
    </row>
    <row r="37" spans="2:49" s="14" customFormat="1" ht="25.5" customHeight="1" x14ac:dyDescent="0.2">
      <c r="B37" s="139">
        <v>24</v>
      </c>
      <c r="C37" s="409" t="s">
        <v>407</v>
      </c>
      <c r="D37" s="25" t="s">
        <v>408</v>
      </c>
      <c r="E37" s="327" t="s">
        <v>147</v>
      </c>
      <c r="F37" s="9">
        <v>2019263</v>
      </c>
      <c r="G37" s="329">
        <v>43707</v>
      </c>
      <c r="H37" s="481">
        <v>80</v>
      </c>
      <c r="I37" s="271" t="s">
        <v>404</v>
      </c>
      <c r="J37" s="488">
        <v>160000</v>
      </c>
      <c r="K37" s="329">
        <v>43707</v>
      </c>
      <c r="L37" s="281">
        <v>43808</v>
      </c>
      <c r="M37" s="392" t="s">
        <v>404</v>
      </c>
      <c r="N37" s="271" t="s">
        <v>404</v>
      </c>
      <c r="O37" s="35" t="s">
        <v>105</v>
      </c>
      <c r="P37" s="490"/>
      <c r="Q37" s="490">
        <f t="shared" si="0"/>
        <v>6400000</v>
      </c>
      <c r="R37" s="386">
        <v>12800000</v>
      </c>
      <c r="S37" s="233">
        <f t="shared" si="13"/>
        <v>8320000</v>
      </c>
      <c r="T37" s="233">
        <f t="shared" si="7"/>
        <v>2560000</v>
      </c>
      <c r="U37" s="233">
        <f t="shared" si="2"/>
        <v>1920000</v>
      </c>
      <c r="V37" s="497"/>
      <c r="W37" s="497"/>
      <c r="X37" s="497"/>
      <c r="Y37" s="235">
        <f t="shared" si="14"/>
        <v>0</v>
      </c>
      <c r="Z37" s="233">
        <f t="shared" si="15"/>
        <v>0</v>
      </c>
      <c r="AA37" s="233">
        <f t="shared" si="16"/>
        <v>0</v>
      </c>
      <c r="AB37" s="234">
        <f t="shared" si="17"/>
        <v>0</v>
      </c>
      <c r="AC37" s="227"/>
      <c r="AD37" s="225"/>
      <c r="AE37" s="225"/>
      <c r="AF37" s="227"/>
      <c r="AG37" s="225"/>
      <c r="AH37" s="225"/>
      <c r="AI37" s="225"/>
      <c r="AJ37" s="225"/>
      <c r="AK37" s="225"/>
      <c r="AL37" s="227"/>
      <c r="AM37" s="225"/>
      <c r="AN37" s="225"/>
      <c r="AO37" s="225"/>
      <c r="AP37" s="225"/>
      <c r="AQ37" s="226"/>
      <c r="AR37" s="227"/>
      <c r="AS37" s="225"/>
      <c r="AT37" s="225"/>
      <c r="AU37" s="225"/>
      <c r="AV37" s="225"/>
      <c r="AW37" s="226"/>
    </row>
    <row r="38" spans="2:49" s="14" customFormat="1" ht="25.5" customHeight="1" x14ac:dyDescent="0.2">
      <c r="B38" s="139">
        <v>25</v>
      </c>
      <c r="C38" s="409" t="s">
        <v>407</v>
      </c>
      <c r="D38" s="25" t="s">
        <v>408</v>
      </c>
      <c r="E38" s="327" t="s">
        <v>147</v>
      </c>
      <c r="F38" s="9">
        <v>2019263</v>
      </c>
      <c r="G38" s="329">
        <v>43707</v>
      </c>
      <c r="H38" s="481">
        <v>80</v>
      </c>
      <c r="I38" s="271" t="s">
        <v>404</v>
      </c>
      <c r="J38" s="488">
        <v>160000</v>
      </c>
      <c r="K38" s="329">
        <v>43707</v>
      </c>
      <c r="L38" s="281">
        <v>43808</v>
      </c>
      <c r="M38" s="408" t="s">
        <v>404</v>
      </c>
      <c r="N38" s="271" t="s">
        <v>404</v>
      </c>
      <c r="O38" s="35" t="s">
        <v>106</v>
      </c>
      <c r="P38" s="490"/>
      <c r="Q38" s="490">
        <f t="shared" si="0"/>
        <v>6400000</v>
      </c>
      <c r="R38" s="410">
        <v>12800000</v>
      </c>
      <c r="S38" s="233">
        <f t="shared" si="13"/>
        <v>8320000</v>
      </c>
      <c r="T38" s="233">
        <f t="shared" si="7"/>
        <v>1920000</v>
      </c>
      <c r="U38" s="233">
        <f t="shared" si="2"/>
        <v>2560000</v>
      </c>
      <c r="V38" s="497"/>
      <c r="W38" s="497"/>
      <c r="X38" s="497"/>
      <c r="Y38" s="235">
        <f t="shared" si="14"/>
        <v>0</v>
      </c>
      <c r="Z38" s="233">
        <f t="shared" si="15"/>
        <v>0</v>
      </c>
      <c r="AA38" s="233">
        <f t="shared" si="16"/>
        <v>0</v>
      </c>
      <c r="AB38" s="234">
        <f t="shared" si="17"/>
        <v>0</v>
      </c>
      <c r="AC38" s="227"/>
      <c r="AD38" s="225"/>
      <c r="AE38" s="225"/>
      <c r="AF38" s="227"/>
      <c r="AG38" s="225"/>
      <c r="AH38" s="225"/>
      <c r="AI38" s="225"/>
      <c r="AJ38" s="225"/>
      <c r="AK38" s="225"/>
      <c r="AL38" s="227"/>
      <c r="AM38" s="225"/>
      <c r="AN38" s="225"/>
      <c r="AO38" s="225"/>
      <c r="AP38" s="225"/>
      <c r="AQ38" s="226"/>
      <c r="AR38" s="227"/>
      <c r="AS38" s="225"/>
      <c r="AT38" s="225"/>
      <c r="AU38" s="225"/>
      <c r="AV38" s="225"/>
      <c r="AW38" s="226"/>
    </row>
    <row r="39" spans="2:49" s="14" customFormat="1" ht="25.5" customHeight="1" x14ac:dyDescent="0.2">
      <c r="B39" s="139">
        <v>26</v>
      </c>
      <c r="C39" s="409" t="s">
        <v>407</v>
      </c>
      <c r="D39" s="25" t="s">
        <v>408</v>
      </c>
      <c r="E39" s="327" t="s">
        <v>147</v>
      </c>
      <c r="F39" s="9">
        <v>2019263</v>
      </c>
      <c r="G39" s="329">
        <v>43707</v>
      </c>
      <c r="H39" s="481">
        <v>64</v>
      </c>
      <c r="I39" s="271" t="s">
        <v>404</v>
      </c>
      <c r="J39" s="488">
        <v>160000</v>
      </c>
      <c r="K39" s="329">
        <v>43707</v>
      </c>
      <c r="L39" s="281">
        <v>43808</v>
      </c>
      <c r="M39" s="392" t="s">
        <v>404</v>
      </c>
      <c r="N39" s="271" t="s">
        <v>404</v>
      </c>
      <c r="O39" s="35" t="s">
        <v>105</v>
      </c>
      <c r="P39" s="490"/>
      <c r="Q39" s="490">
        <f t="shared" si="0"/>
        <v>5120000</v>
      </c>
      <c r="R39" s="386">
        <v>10240000</v>
      </c>
      <c r="S39" s="233">
        <f t="shared" si="13"/>
        <v>6656000</v>
      </c>
      <c r="T39" s="233">
        <f t="shared" si="7"/>
        <v>2048000</v>
      </c>
      <c r="U39" s="233">
        <f t="shared" si="2"/>
        <v>1536000</v>
      </c>
      <c r="V39" s="497"/>
      <c r="W39" s="497"/>
      <c r="X39" s="497"/>
      <c r="Y39" s="235">
        <f t="shared" si="14"/>
        <v>0</v>
      </c>
      <c r="Z39" s="233">
        <f t="shared" si="15"/>
        <v>0</v>
      </c>
      <c r="AA39" s="233">
        <f t="shared" si="16"/>
        <v>0</v>
      </c>
      <c r="AB39" s="234">
        <f t="shared" si="17"/>
        <v>0</v>
      </c>
      <c r="AC39" s="227"/>
      <c r="AD39" s="225"/>
      <c r="AE39" s="225"/>
      <c r="AF39" s="227"/>
      <c r="AG39" s="225"/>
      <c r="AH39" s="225"/>
      <c r="AI39" s="225"/>
      <c r="AJ39" s="225"/>
      <c r="AK39" s="225"/>
      <c r="AL39" s="227"/>
      <c r="AM39" s="225"/>
      <c r="AN39" s="225"/>
      <c r="AO39" s="225"/>
      <c r="AP39" s="225"/>
      <c r="AQ39" s="226"/>
      <c r="AR39" s="227"/>
      <c r="AS39" s="225"/>
      <c r="AT39" s="225"/>
      <c r="AU39" s="225"/>
      <c r="AV39" s="225"/>
      <c r="AW39" s="226"/>
    </row>
    <row r="40" spans="2:49" s="14" customFormat="1" ht="25.5" customHeight="1" x14ac:dyDescent="0.2">
      <c r="B40" s="139">
        <v>27</v>
      </c>
      <c r="C40" s="409" t="s">
        <v>407</v>
      </c>
      <c r="D40" s="25" t="s">
        <v>408</v>
      </c>
      <c r="E40" s="327" t="s">
        <v>147</v>
      </c>
      <c r="F40" s="9">
        <v>2019263</v>
      </c>
      <c r="G40" s="329">
        <v>43707</v>
      </c>
      <c r="H40" s="481">
        <v>80</v>
      </c>
      <c r="I40" s="271" t="s">
        <v>404</v>
      </c>
      <c r="J40" s="488">
        <v>160000</v>
      </c>
      <c r="K40" s="329">
        <v>43707</v>
      </c>
      <c r="L40" s="281">
        <v>43808</v>
      </c>
      <c r="M40" s="392" t="s">
        <v>404</v>
      </c>
      <c r="N40" s="271" t="s">
        <v>404</v>
      </c>
      <c r="O40" s="35" t="s">
        <v>105</v>
      </c>
      <c r="P40" s="490"/>
      <c r="Q40" s="490">
        <f t="shared" si="0"/>
        <v>6400000</v>
      </c>
      <c r="R40" s="386">
        <v>12800000</v>
      </c>
      <c r="S40" s="233">
        <f t="shared" si="8"/>
        <v>8320000</v>
      </c>
      <c r="T40" s="233">
        <f t="shared" si="7"/>
        <v>2560000</v>
      </c>
      <c r="U40" s="233">
        <f t="shared" si="2"/>
        <v>1920000</v>
      </c>
      <c r="V40" s="497"/>
      <c r="W40" s="497"/>
      <c r="X40" s="497"/>
      <c r="Y40" s="235">
        <f t="shared" si="14"/>
        <v>0</v>
      </c>
      <c r="Z40" s="233">
        <f t="shared" si="15"/>
        <v>0</v>
      </c>
      <c r="AA40" s="233">
        <f t="shared" si="16"/>
        <v>0</v>
      </c>
      <c r="AB40" s="234">
        <f t="shared" si="17"/>
        <v>0</v>
      </c>
      <c r="AC40" s="227"/>
      <c r="AD40" s="225"/>
      <c r="AE40" s="225"/>
      <c r="AF40" s="227"/>
      <c r="AG40" s="225"/>
      <c r="AH40" s="225"/>
      <c r="AI40" s="225"/>
      <c r="AJ40" s="225"/>
      <c r="AK40" s="225"/>
      <c r="AL40" s="227"/>
      <c r="AM40" s="225"/>
      <c r="AN40" s="225"/>
      <c r="AO40" s="225"/>
      <c r="AP40" s="225"/>
      <c r="AQ40" s="226"/>
      <c r="AR40" s="227"/>
      <c r="AS40" s="225"/>
      <c r="AT40" s="225"/>
      <c r="AU40" s="225"/>
      <c r="AV40" s="225"/>
      <c r="AW40" s="226"/>
    </row>
    <row r="41" spans="2:49" s="14" customFormat="1" ht="25.5" customHeight="1" x14ac:dyDescent="0.2">
      <c r="B41" s="139">
        <v>28</v>
      </c>
      <c r="C41" s="411" t="s">
        <v>407</v>
      </c>
      <c r="D41" s="25" t="s">
        <v>408</v>
      </c>
      <c r="E41" s="377" t="s">
        <v>137</v>
      </c>
      <c r="F41" s="384">
        <v>2019247</v>
      </c>
      <c r="G41" s="329">
        <v>43707</v>
      </c>
      <c r="H41" s="482">
        <v>50</v>
      </c>
      <c r="I41" s="271" t="s">
        <v>404</v>
      </c>
      <c r="J41" s="10">
        <v>180000</v>
      </c>
      <c r="K41" s="329">
        <v>43707</v>
      </c>
      <c r="L41" s="281">
        <v>43808</v>
      </c>
      <c r="M41" s="392" t="s">
        <v>404</v>
      </c>
      <c r="N41" s="271" t="s">
        <v>404</v>
      </c>
      <c r="O41" s="35" t="s">
        <v>106</v>
      </c>
      <c r="P41" s="490"/>
      <c r="Q41" s="490">
        <f t="shared" si="0"/>
        <v>4500000</v>
      </c>
      <c r="R41" s="386">
        <v>9000000</v>
      </c>
      <c r="S41" s="233">
        <f t="shared" si="8"/>
        <v>5850000</v>
      </c>
      <c r="T41" s="233">
        <f t="shared" si="7"/>
        <v>1350000</v>
      </c>
      <c r="U41" s="233">
        <f t="shared" si="2"/>
        <v>1800000</v>
      </c>
      <c r="V41" s="497"/>
      <c r="W41" s="497"/>
      <c r="X41" s="497"/>
      <c r="Y41" s="235">
        <f t="shared" si="14"/>
        <v>0</v>
      </c>
      <c r="Z41" s="233">
        <f t="shared" si="15"/>
        <v>0</v>
      </c>
      <c r="AA41" s="233">
        <f t="shared" si="16"/>
        <v>0</v>
      </c>
      <c r="AB41" s="234">
        <f t="shared" si="17"/>
        <v>0</v>
      </c>
      <c r="AC41" s="227"/>
      <c r="AD41" s="225"/>
      <c r="AE41" s="225"/>
      <c r="AF41" s="227"/>
      <c r="AG41" s="225"/>
      <c r="AH41" s="225"/>
      <c r="AI41" s="225"/>
      <c r="AJ41" s="225"/>
      <c r="AK41" s="225"/>
      <c r="AL41" s="227"/>
      <c r="AM41" s="225"/>
      <c r="AN41" s="225"/>
      <c r="AO41" s="225"/>
      <c r="AP41" s="225"/>
      <c r="AQ41" s="226"/>
      <c r="AR41" s="227"/>
      <c r="AS41" s="225"/>
      <c r="AT41" s="225"/>
      <c r="AU41" s="225"/>
      <c r="AV41" s="225"/>
      <c r="AW41" s="226"/>
    </row>
    <row r="42" spans="2:49" s="14" customFormat="1" ht="25.5" customHeight="1" x14ac:dyDescent="0.2">
      <c r="B42" s="139">
        <v>29</v>
      </c>
      <c r="C42" s="411" t="s">
        <v>407</v>
      </c>
      <c r="D42" s="25" t="s">
        <v>408</v>
      </c>
      <c r="E42" s="377" t="s">
        <v>137</v>
      </c>
      <c r="F42" s="384">
        <v>2019247</v>
      </c>
      <c r="G42" s="329">
        <v>43707</v>
      </c>
      <c r="H42" s="482">
        <v>80</v>
      </c>
      <c r="I42" s="271" t="s">
        <v>404</v>
      </c>
      <c r="J42" s="10">
        <v>180000</v>
      </c>
      <c r="K42" s="329">
        <v>43707</v>
      </c>
      <c r="L42" s="281">
        <v>43808</v>
      </c>
      <c r="M42" s="392" t="s">
        <v>404</v>
      </c>
      <c r="N42" s="271" t="s">
        <v>404</v>
      </c>
      <c r="O42" s="35" t="s">
        <v>105</v>
      </c>
      <c r="P42" s="490"/>
      <c r="Q42" s="490">
        <f t="shared" si="0"/>
        <v>7200000</v>
      </c>
      <c r="R42" s="386">
        <v>14400000</v>
      </c>
      <c r="S42" s="233">
        <f t="shared" si="8"/>
        <v>9360000</v>
      </c>
      <c r="T42" s="233">
        <f t="shared" si="7"/>
        <v>2880000</v>
      </c>
      <c r="U42" s="233">
        <f t="shared" si="2"/>
        <v>2160000</v>
      </c>
      <c r="V42" s="497"/>
      <c r="W42" s="497"/>
      <c r="X42" s="497"/>
      <c r="Y42" s="235">
        <f t="shared" si="14"/>
        <v>0</v>
      </c>
      <c r="Z42" s="233">
        <f t="shared" si="15"/>
        <v>0</v>
      </c>
      <c r="AA42" s="233">
        <f t="shared" si="16"/>
        <v>0</v>
      </c>
      <c r="AB42" s="234">
        <f t="shared" si="17"/>
        <v>0</v>
      </c>
      <c r="AC42" s="227"/>
      <c r="AD42" s="225"/>
      <c r="AE42" s="225"/>
      <c r="AF42" s="227"/>
      <c r="AG42" s="225"/>
      <c r="AH42" s="225"/>
      <c r="AI42" s="225"/>
      <c r="AJ42" s="225"/>
      <c r="AK42" s="225"/>
      <c r="AL42" s="227"/>
      <c r="AM42" s="225"/>
      <c r="AN42" s="225"/>
      <c r="AO42" s="225"/>
      <c r="AP42" s="225"/>
      <c r="AQ42" s="226"/>
      <c r="AR42" s="227"/>
      <c r="AS42" s="225"/>
      <c r="AT42" s="225"/>
      <c r="AU42" s="225"/>
      <c r="AV42" s="225"/>
      <c r="AW42" s="226"/>
    </row>
    <row r="43" spans="2:49" s="14" customFormat="1" ht="25.5" customHeight="1" x14ac:dyDescent="0.2">
      <c r="B43" s="139">
        <v>30</v>
      </c>
      <c r="C43" s="411" t="s">
        <v>407</v>
      </c>
      <c r="D43" s="25" t="s">
        <v>408</v>
      </c>
      <c r="E43" s="377" t="s">
        <v>137</v>
      </c>
      <c r="F43" s="384">
        <v>2019247</v>
      </c>
      <c r="G43" s="329">
        <v>43707</v>
      </c>
      <c r="H43" s="482">
        <v>50</v>
      </c>
      <c r="I43" s="271" t="s">
        <v>404</v>
      </c>
      <c r="J43" s="10">
        <v>180000</v>
      </c>
      <c r="K43" s="329">
        <v>43707</v>
      </c>
      <c r="L43" s="281">
        <v>43808</v>
      </c>
      <c r="M43" s="392" t="s">
        <v>404</v>
      </c>
      <c r="N43" s="271" t="s">
        <v>404</v>
      </c>
      <c r="O43" s="35" t="s">
        <v>106</v>
      </c>
      <c r="P43" s="490"/>
      <c r="Q43" s="490">
        <f t="shared" si="0"/>
        <v>4500000</v>
      </c>
      <c r="R43" s="386">
        <v>9000000</v>
      </c>
      <c r="S43" s="233">
        <f t="shared" si="8"/>
        <v>5850000</v>
      </c>
      <c r="T43" s="233">
        <f t="shared" si="7"/>
        <v>1350000</v>
      </c>
      <c r="U43" s="233">
        <f t="shared" si="2"/>
        <v>1800000</v>
      </c>
      <c r="V43" s="497"/>
      <c r="W43" s="497"/>
      <c r="X43" s="497"/>
      <c r="Y43" s="235">
        <f t="shared" si="14"/>
        <v>0</v>
      </c>
      <c r="Z43" s="233">
        <f t="shared" si="15"/>
        <v>0</v>
      </c>
      <c r="AA43" s="233">
        <f t="shared" si="16"/>
        <v>0</v>
      </c>
      <c r="AB43" s="234">
        <f t="shared" si="17"/>
        <v>0</v>
      </c>
      <c r="AC43" s="227"/>
      <c r="AD43" s="225"/>
      <c r="AE43" s="225"/>
      <c r="AF43" s="227"/>
      <c r="AG43" s="225"/>
      <c r="AH43" s="225"/>
      <c r="AI43" s="225"/>
      <c r="AJ43" s="225"/>
      <c r="AK43" s="225"/>
      <c r="AL43" s="227"/>
      <c r="AM43" s="225"/>
      <c r="AN43" s="225"/>
      <c r="AO43" s="225"/>
      <c r="AP43" s="225"/>
      <c r="AQ43" s="226"/>
      <c r="AR43" s="227"/>
      <c r="AS43" s="225"/>
      <c r="AT43" s="225"/>
      <c r="AU43" s="225"/>
      <c r="AV43" s="225"/>
      <c r="AW43" s="226"/>
    </row>
    <row r="44" spans="2:49" s="14" customFormat="1" ht="25.5" customHeight="1" x14ac:dyDescent="0.2">
      <c r="B44" s="139">
        <v>31</v>
      </c>
      <c r="C44" s="411" t="s">
        <v>407</v>
      </c>
      <c r="D44" s="25" t="s">
        <v>408</v>
      </c>
      <c r="E44" s="377" t="s">
        <v>137</v>
      </c>
      <c r="F44" s="384">
        <v>2019247</v>
      </c>
      <c r="G44" s="329">
        <v>43707</v>
      </c>
      <c r="H44" s="482">
        <v>80</v>
      </c>
      <c r="I44" s="271" t="s">
        <v>404</v>
      </c>
      <c r="J44" s="10">
        <v>180000</v>
      </c>
      <c r="K44" s="329">
        <v>43707</v>
      </c>
      <c r="L44" s="281">
        <v>43808</v>
      </c>
      <c r="M44" s="392" t="s">
        <v>404</v>
      </c>
      <c r="N44" s="271" t="s">
        <v>404</v>
      </c>
      <c r="O44" s="35" t="s">
        <v>107</v>
      </c>
      <c r="P44" s="490"/>
      <c r="Q44" s="490">
        <f t="shared" si="0"/>
        <v>7200000</v>
      </c>
      <c r="R44" s="386">
        <v>14400000</v>
      </c>
      <c r="S44" s="233">
        <f t="shared" ref="S44:S47" si="18">+R44*0.65</f>
        <v>9360000</v>
      </c>
      <c r="T44" s="233">
        <f t="shared" si="7"/>
        <v>2160000</v>
      </c>
      <c r="U44" s="233">
        <f t="shared" si="2"/>
        <v>2880000</v>
      </c>
      <c r="V44" s="497"/>
      <c r="W44" s="497"/>
      <c r="X44" s="497"/>
      <c r="Y44" s="235">
        <f t="shared" si="14"/>
        <v>0</v>
      </c>
      <c r="Z44" s="233">
        <f t="shared" si="15"/>
        <v>0</v>
      </c>
      <c r="AA44" s="233">
        <f t="shared" si="16"/>
        <v>0</v>
      </c>
      <c r="AB44" s="234">
        <f t="shared" si="17"/>
        <v>0</v>
      </c>
      <c r="AC44" s="227"/>
      <c r="AD44" s="225"/>
      <c r="AE44" s="225"/>
      <c r="AF44" s="227"/>
      <c r="AG44" s="225"/>
      <c r="AH44" s="225"/>
      <c r="AI44" s="225"/>
      <c r="AJ44" s="225"/>
      <c r="AK44" s="225"/>
      <c r="AL44" s="227"/>
      <c r="AM44" s="225"/>
      <c r="AN44" s="225"/>
      <c r="AO44" s="225"/>
      <c r="AP44" s="225"/>
      <c r="AQ44" s="226"/>
      <c r="AR44" s="227"/>
      <c r="AS44" s="225"/>
      <c r="AT44" s="225"/>
      <c r="AU44" s="225"/>
      <c r="AV44" s="225"/>
      <c r="AW44" s="226"/>
    </row>
    <row r="45" spans="2:49" s="14" customFormat="1" ht="25.5" customHeight="1" x14ac:dyDescent="0.2">
      <c r="B45" s="139">
        <v>32</v>
      </c>
      <c r="C45" s="411" t="s">
        <v>407</v>
      </c>
      <c r="D45" s="25" t="s">
        <v>408</v>
      </c>
      <c r="E45" s="377" t="s">
        <v>137</v>
      </c>
      <c r="F45" s="384">
        <v>2019247</v>
      </c>
      <c r="G45" s="329">
        <v>43707</v>
      </c>
      <c r="H45" s="482">
        <v>50</v>
      </c>
      <c r="I45" s="271" t="s">
        <v>404</v>
      </c>
      <c r="J45" s="10">
        <v>180000</v>
      </c>
      <c r="K45" s="329">
        <v>43707</v>
      </c>
      <c r="L45" s="281">
        <v>43808</v>
      </c>
      <c r="M45" s="392" t="s">
        <v>404</v>
      </c>
      <c r="N45" s="271" t="s">
        <v>404</v>
      </c>
      <c r="O45" s="35" t="s">
        <v>105</v>
      </c>
      <c r="P45" s="490"/>
      <c r="Q45" s="490">
        <f t="shared" si="0"/>
        <v>4500000</v>
      </c>
      <c r="R45" s="386">
        <v>9000000</v>
      </c>
      <c r="S45" s="233">
        <f t="shared" si="18"/>
        <v>5850000</v>
      </c>
      <c r="T45" s="233">
        <f t="shared" si="7"/>
        <v>1800000</v>
      </c>
      <c r="U45" s="233">
        <f t="shared" si="2"/>
        <v>1350000</v>
      </c>
      <c r="V45" s="497"/>
      <c r="W45" s="497"/>
      <c r="X45" s="497"/>
      <c r="Y45" s="235">
        <f t="shared" si="14"/>
        <v>0</v>
      </c>
      <c r="Z45" s="233">
        <f t="shared" si="15"/>
        <v>0</v>
      </c>
      <c r="AA45" s="233">
        <f t="shared" si="16"/>
        <v>0</v>
      </c>
      <c r="AB45" s="234">
        <f t="shared" si="17"/>
        <v>0</v>
      </c>
      <c r="AC45" s="227"/>
      <c r="AD45" s="225"/>
      <c r="AE45" s="225"/>
      <c r="AF45" s="227"/>
      <c r="AG45" s="225"/>
      <c r="AH45" s="225"/>
      <c r="AI45" s="225"/>
      <c r="AJ45" s="225"/>
      <c r="AK45" s="225"/>
      <c r="AL45" s="227"/>
      <c r="AM45" s="225"/>
      <c r="AN45" s="225"/>
      <c r="AO45" s="225"/>
      <c r="AP45" s="225"/>
      <c r="AQ45" s="226"/>
      <c r="AR45" s="227"/>
      <c r="AS45" s="225"/>
      <c r="AT45" s="225"/>
      <c r="AU45" s="225"/>
      <c r="AV45" s="225"/>
      <c r="AW45" s="226"/>
    </row>
    <row r="46" spans="2:49" s="14" customFormat="1" ht="25.5" customHeight="1" x14ac:dyDescent="0.2">
      <c r="B46" s="139">
        <v>33</v>
      </c>
      <c r="C46" s="411" t="s">
        <v>407</v>
      </c>
      <c r="D46" s="25" t="s">
        <v>408</v>
      </c>
      <c r="E46" s="377" t="s">
        <v>137</v>
      </c>
      <c r="F46" s="384">
        <v>2019247</v>
      </c>
      <c r="G46" s="329">
        <v>43707</v>
      </c>
      <c r="H46" s="482">
        <v>60</v>
      </c>
      <c r="I46" s="271" t="s">
        <v>404</v>
      </c>
      <c r="J46" s="10">
        <v>180000</v>
      </c>
      <c r="K46" s="329">
        <v>43707</v>
      </c>
      <c r="L46" s="281">
        <v>43808</v>
      </c>
      <c r="M46" s="392" t="s">
        <v>404</v>
      </c>
      <c r="N46" s="271" t="s">
        <v>404</v>
      </c>
      <c r="O46" s="35" t="s">
        <v>106</v>
      </c>
      <c r="P46" s="490"/>
      <c r="Q46" s="490">
        <f t="shared" ref="Q46:Q70" si="19">+J46*H46/2</f>
        <v>5400000</v>
      </c>
      <c r="R46" s="386">
        <v>10800000</v>
      </c>
      <c r="S46" s="233">
        <f t="shared" si="18"/>
        <v>7020000</v>
      </c>
      <c r="T46" s="233">
        <f t="shared" si="7"/>
        <v>1620000</v>
      </c>
      <c r="U46" s="233">
        <f t="shared" si="2"/>
        <v>2160000</v>
      </c>
      <c r="V46" s="497"/>
      <c r="W46" s="497"/>
      <c r="X46" s="497"/>
      <c r="Y46" s="235">
        <f t="shared" si="14"/>
        <v>0</v>
      </c>
      <c r="Z46" s="233">
        <f t="shared" si="15"/>
        <v>0</v>
      </c>
      <c r="AA46" s="233">
        <f t="shared" si="16"/>
        <v>0</v>
      </c>
      <c r="AB46" s="234">
        <f t="shared" si="17"/>
        <v>0</v>
      </c>
      <c r="AC46" s="227"/>
      <c r="AD46" s="225"/>
      <c r="AE46" s="225"/>
      <c r="AF46" s="227"/>
      <c r="AG46" s="225"/>
      <c r="AH46" s="225"/>
      <c r="AI46" s="225"/>
      <c r="AJ46" s="225"/>
      <c r="AK46" s="225"/>
      <c r="AL46" s="227"/>
      <c r="AM46" s="225"/>
      <c r="AN46" s="225"/>
      <c r="AO46" s="225"/>
      <c r="AP46" s="225"/>
      <c r="AQ46" s="226"/>
      <c r="AR46" s="227"/>
      <c r="AS46" s="225"/>
      <c r="AT46" s="225"/>
      <c r="AU46" s="225"/>
      <c r="AV46" s="225"/>
      <c r="AW46" s="226"/>
    </row>
    <row r="47" spans="2:49" s="14" customFormat="1" ht="25.5" customHeight="1" x14ac:dyDescent="0.2">
      <c r="B47" s="139">
        <v>34</v>
      </c>
      <c r="C47" s="411" t="s">
        <v>407</v>
      </c>
      <c r="D47" s="25" t="s">
        <v>408</v>
      </c>
      <c r="E47" s="377" t="s">
        <v>137</v>
      </c>
      <c r="F47" s="384">
        <v>2019247</v>
      </c>
      <c r="G47" s="329">
        <v>43707</v>
      </c>
      <c r="H47" s="482">
        <v>65</v>
      </c>
      <c r="I47" s="271" t="s">
        <v>404</v>
      </c>
      <c r="J47" s="10">
        <v>180000</v>
      </c>
      <c r="K47" s="329">
        <v>43707</v>
      </c>
      <c r="L47" s="281">
        <v>43808</v>
      </c>
      <c r="M47" s="392" t="s">
        <v>404</v>
      </c>
      <c r="N47" s="271" t="s">
        <v>404</v>
      </c>
      <c r="O47" s="35" t="s">
        <v>106</v>
      </c>
      <c r="P47" s="490"/>
      <c r="Q47" s="490">
        <f t="shared" si="19"/>
        <v>5850000</v>
      </c>
      <c r="R47" s="386">
        <v>11700000</v>
      </c>
      <c r="S47" s="233">
        <f t="shared" si="18"/>
        <v>7605000</v>
      </c>
      <c r="T47" s="233">
        <f t="shared" si="7"/>
        <v>1755000</v>
      </c>
      <c r="U47" s="233">
        <f t="shared" ref="U47:U69" si="20">(IF(O47="Pequeña",R47*0.15,(IF(O47="Mediana",R47*0.2,(IF(O47="Grande",R47*0.2,0))))))</f>
        <v>2340000</v>
      </c>
      <c r="V47" s="497"/>
      <c r="W47" s="497"/>
      <c r="X47" s="497"/>
      <c r="Y47" s="235">
        <f t="shared" si="14"/>
        <v>0</v>
      </c>
      <c r="Z47" s="233">
        <f t="shared" si="15"/>
        <v>0</v>
      </c>
      <c r="AA47" s="233">
        <f t="shared" si="16"/>
        <v>0</v>
      </c>
      <c r="AB47" s="234">
        <f t="shared" si="17"/>
        <v>0</v>
      </c>
      <c r="AC47" s="227"/>
      <c r="AD47" s="225"/>
      <c r="AE47" s="225"/>
      <c r="AF47" s="227"/>
      <c r="AG47" s="225"/>
      <c r="AH47" s="225"/>
      <c r="AI47" s="225"/>
      <c r="AJ47" s="225"/>
      <c r="AK47" s="225"/>
      <c r="AL47" s="227"/>
      <c r="AM47" s="225"/>
      <c r="AN47" s="225"/>
      <c r="AO47" s="225"/>
      <c r="AP47" s="225"/>
      <c r="AQ47" s="226"/>
      <c r="AR47" s="227"/>
      <c r="AS47" s="225"/>
      <c r="AT47" s="225"/>
      <c r="AU47" s="225"/>
      <c r="AV47" s="225"/>
      <c r="AW47" s="226"/>
    </row>
    <row r="48" spans="2:49" s="14" customFormat="1" ht="25.5" customHeight="1" x14ac:dyDescent="0.2">
      <c r="B48" s="139">
        <v>35</v>
      </c>
      <c r="C48" s="411" t="s">
        <v>407</v>
      </c>
      <c r="D48" s="45" t="s">
        <v>408</v>
      </c>
      <c r="E48" s="377" t="s">
        <v>150</v>
      </c>
      <c r="F48" s="384">
        <v>2019279</v>
      </c>
      <c r="G48" s="329">
        <v>43697</v>
      </c>
      <c r="H48" s="482">
        <v>55</v>
      </c>
      <c r="I48" s="271" t="s">
        <v>404</v>
      </c>
      <c r="J48" s="10">
        <v>180000</v>
      </c>
      <c r="K48" s="329">
        <v>43697</v>
      </c>
      <c r="L48" s="281">
        <v>43808</v>
      </c>
      <c r="M48" s="408" t="s">
        <v>404</v>
      </c>
      <c r="N48" s="271" t="s">
        <v>404</v>
      </c>
      <c r="O48" s="35" t="s">
        <v>106</v>
      </c>
      <c r="P48" s="490"/>
      <c r="Q48" s="490">
        <f t="shared" si="19"/>
        <v>4950000</v>
      </c>
      <c r="R48" s="410">
        <v>9900000</v>
      </c>
      <c r="S48" s="408">
        <f t="shared" ref="S48:S63" si="21">+R48*0.65</f>
        <v>6435000</v>
      </c>
      <c r="T48" s="408">
        <f t="shared" ref="T48:T69" si="22">(IF(O48="Pequeña",R48*0.2,(IF(O48="Mediana",R48*0.15,(IF(O48="Grande",R48*0.15,0))))))</f>
        <v>1485000</v>
      </c>
      <c r="U48" s="233">
        <f t="shared" si="20"/>
        <v>1980000</v>
      </c>
      <c r="V48" s="497"/>
      <c r="W48" s="497"/>
      <c r="X48" s="497"/>
      <c r="Y48" s="235">
        <f t="shared" si="14"/>
        <v>0</v>
      </c>
      <c r="Z48" s="233">
        <f t="shared" si="15"/>
        <v>0</v>
      </c>
      <c r="AA48" s="233">
        <f t="shared" si="16"/>
        <v>0</v>
      </c>
      <c r="AB48" s="234">
        <f t="shared" si="17"/>
        <v>0</v>
      </c>
      <c r="AC48" s="227"/>
      <c r="AD48" s="225"/>
      <c r="AE48" s="225"/>
      <c r="AF48" s="227"/>
      <c r="AG48" s="225"/>
      <c r="AH48" s="225"/>
      <c r="AI48" s="225"/>
      <c r="AJ48" s="225"/>
      <c r="AK48" s="225"/>
      <c r="AL48" s="227"/>
      <c r="AM48" s="225"/>
      <c r="AN48" s="225"/>
      <c r="AO48" s="225"/>
      <c r="AP48" s="225"/>
      <c r="AQ48" s="226"/>
      <c r="AR48" s="227"/>
      <c r="AS48" s="225"/>
      <c r="AT48" s="225"/>
      <c r="AU48" s="225"/>
      <c r="AV48" s="225"/>
      <c r="AW48" s="226"/>
    </row>
    <row r="49" spans="2:49" s="14" customFormat="1" ht="25.5" customHeight="1" x14ac:dyDescent="0.2">
      <c r="B49" s="139">
        <v>36</v>
      </c>
      <c r="C49" s="411" t="s">
        <v>407</v>
      </c>
      <c r="D49" s="45" t="s">
        <v>408</v>
      </c>
      <c r="E49" s="377" t="s">
        <v>150</v>
      </c>
      <c r="F49" s="384">
        <v>2019279</v>
      </c>
      <c r="G49" s="329">
        <v>43697</v>
      </c>
      <c r="H49" s="482">
        <v>64</v>
      </c>
      <c r="I49" s="271" t="s">
        <v>404</v>
      </c>
      <c r="J49" s="10">
        <v>180000</v>
      </c>
      <c r="K49" s="329">
        <v>43697</v>
      </c>
      <c r="L49" s="281">
        <v>43808</v>
      </c>
      <c r="M49" s="408" t="s">
        <v>404</v>
      </c>
      <c r="N49" s="271" t="s">
        <v>404</v>
      </c>
      <c r="O49" s="35" t="s">
        <v>106</v>
      </c>
      <c r="P49" s="490"/>
      <c r="Q49" s="490">
        <f t="shared" si="19"/>
        <v>5760000</v>
      </c>
      <c r="R49" s="410">
        <v>11520000</v>
      </c>
      <c r="S49" s="408">
        <f t="shared" si="21"/>
        <v>7488000</v>
      </c>
      <c r="T49" s="408">
        <f t="shared" si="22"/>
        <v>1728000</v>
      </c>
      <c r="U49" s="233">
        <f t="shared" si="20"/>
        <v>2304000</v>
      </c>
      <c r="V49" s="497"/>
      <c r="W49" s="497"/>
      <c r="X49" s="497"/>
      <c r="Y49" s="235">
        <f t="shared" si="14"/>
        <v>0</v>
      </c>
      <c r="Z49" s="233">
        <f t="shared" si="15"/>
        <v>0</v>
      </c>
      <c r="AA49" s="233">
        <f t="shared" si="16"/>
        <v>0</v>
      </c>
      <c r="AB49" s="234">
        <f t="shared" si="17"/>
        <v>0</v>
      </c>
      <c r="AC49" s="227"/>
      <c r="AD49" s="225"/>
      <c r="AE49" s="225"/>
      <c r="AF49" s="227"/>
      <c r="AG49" s="225"/>
      <c r="AH49" s="225"/>
      <c r="AI49" s="225"/>
      <c r="AJ49" s="225"/>
      <c r="AK49" s="225"/>
      <c r="AL49" s="227"/>
      <c r="AM49" s="225"/>
      <c r="AN49" s="225"/>
      <c r="AO49" s="225"/>
      <c r="AP49" s="225"/>
      <c r="AQ49" s="226"/>
      <c r="AR49" s="227"/>
      <c r="AS49" s="225"/>
      <c r="AT49" s="225"/>
      <c r="AU49" s="225"/>
      <c r="AV49" s="225"/>
      <c r="AW49" s="226"/>
    </row>
    <row r="50" spans="2:49" s="14" customFormat="1" ht="25.5" customHeight="1" x14ac:dyDescent="0.2">
      <c r="B50" s="139">
        <v>37</v>
      </c>
      <c r="C50" s="411" t="s">
        <v>407</v>
      </c>
      <c r="D50" s="45" t="s">
        <v>408</v>
      </c>
      <c r="E50" s="377" t="s">
        <v>150</v>
      </c>
      <c r="F50" s="384">
        <v>2019279</v>
      </c>
      <c r="G50" s="329">
        <v>43697</v>
      </c>
      <c r="H50" s="482">
        <v>55</v>
      </c>
      <c r="I50" s="271" t="s">
        <v>404</v>
      </c>
      <c r="J50" s="10">
        <v>180000</v>
      </c>
      <c r="K50" s="329">
        <v>43697</v>
      </c>
      <c r="L50" s="281">
        <v>43808</v>
      </c>
      <c r="M50" s="408" t="s">
        <v>404</v>
      </c>
      <c r="N50" s="271" t="s">
        <v>404</v>
      </c>
      <c r="O50" s="35" t="s">
        <v>106</v>
      </c>
      <c r="P50" s="490"/>
      <c r="Q50" s="490">
        <f t="shared" si="19"/>
        <v>4950000</v>
      </c>
      <c r="R50" s="410">
        <v>9900000</v>
      </c>
      <c r="S50" s="408">
        <f t="shared" si="21"/>
        <v>6435000</v>
      </c>
      <c r="T50" s="408">
        <f t="shared" si="22"/>
        <v>1485000</v>
      </c>
      <c r="U50" s="233">
        <f t="shared" si="20"/>
        <v>1980000</v>
      </c>
      <c r="V50" s="497"/>
      <c r="W50" s="497"/>
      <c r="X50" s="497"/>
      <c r="Y50" s="235">
        <f t="shared" si="14"/>
        <v>0</v>
      </c>
      <c r="Z50" s="233">
        <f t="shared" si="15"/>
        <v>0</v>
      </c>
      <c r="AA50" s="233">
        <f t="shared" si="16"/>
        <v>0</v>
      </c>
      <c r="AB50" s="234">
        <f t="shared" si="17"/>
        <v>0</v>
      </c>
      <c r="AC50" s="227"/>
      <c r="AD50" s="225"/>
      <c r="AE50" s="225"/>
      <c r="AF50" s="227"/>
      <c r="AG50" s="225"/>
      <c r="AH50" s="225"/>
      <c r="AI50" s="225"/>
      <c r="AJ50" s="225"/>
      <c r="AK50" s="225"/>
      <c r="AL50" s="227"/>
      <c r="AM50" s="225"/>
      <c r="AN50" s="225"/>
      <c r="AO50" s="225"/>
      <c r="AP50" s="225"/>
      <c r="AQ50" s="226"/>
      <c r="AR50" s="227"/>
      <c r="AS50" s="225"/>
      <c r="AT50" s="225"/>
      <c r="AU50" s="225"/>
      <c r="AV50" s="225"/>
      <c r="AW50" s="226"/>
    </row>
    <row r="51" spans="2:49" s="14" customFormat="1" ht="25.5" customHeight="1" x14ac:dyDescent="0.2">
      <c r="B51" s="139">
        <v>38</v>
      </c>
      <c r="C51" s="411" t="s">
        <v>407</v>
      </c>
      <c r="D51" s="45" t="s">
        <v>408</v>
      </c>
      <c r="E51" s="377" t="s">
        <v>150</v>
      </c>
      <c r="F51" s="384">
        <v>2019279</v>
      </c>
      <c r="G51" s="329">
        <v>43697</v>
      </c>
      <c r="H51" s="482">
        <v>55</v>
      </c>
      <c r="I51" s="271" t="s">
        <v>404</v>
      </c>
      <c r="J51" s="10">
        <v>180000</v>
      </c>
      <c r="K51" s="329">
        <v>43697</v>
      </c>
      <c r="L51" s="281">
        <v>43808</v>
      </c>
      <c r="M51" s="408" t="s">
        <v>404</v>
      </c>
      <c r="N51" s="271" t="s">
        <v>404</v>
      </c>
      <c r="O51" s="35" t="s">
        <v>105</v>
      </c>
      <c r="P51" s="490"/>
      <c r="Q51" s="490">
        <f t="shared" si="19"/>
        <v>4950000</v>
      </c>
      <c r="R51" s="410">
        <v>9900000</v>
      </c>
      <c r="S51" s="408">
        <f t="shared" si="21"/>
        <v>6435000</v>
      </c>
      <c r="T51" s="408">
        <f t="shared" si="22"/>
        <v>1980000</v>
      </c>
      <c r="U51" s="233">
        <f t="shared" si="20"/>
        <v>1485000</v>
      </c>
      <c r="V51" s="497"/>
      <c r="W51" s="497"/>
      <c r="X51" s="497"/>
      <c r="Y51" s="235">
        <f t="shared" si="14"/>
        <v>0</v>
      </c>
      <c r="Z51" s="233">
        <f t="shared" si="15"/>
        <v>0</v>
      </c>
      <c r="AA51" s="233">
        <f t="shared" si="16"/>
        <v>0</v>
      </c>
      <c r="AB51" s="234">
        <f t="shared" si="17"/>
        <v>0</v>
      </c>
      <c r="AC51" s="227"/>
      <c r="AD51" s="225"/>
      <c r="AE51" s="225"/>
      <c r="AF51" s="227"/>
      <c r="AG51" s="225"/>
      <c r="AH51" s="225"/>
      <c r="AI51" s="225"/>
      <c r="AJ51" s="225"/>
      <c r="AK51" s="225"/>
      <c r="AL51" s="227"/>
      <c r="AM51" s="225"/>
      <c r="AN51" s="225"/>
      <c r="AO51" s="225"/>
      <c r="AP51" s="225"/>
      <c r="AQ51" s="226"/>
      <c r="AR51" s="227"/>
      <c r="AS51" s="225"/>
      <c r="AT51" s="225"/>
      <c r="AU51" s="225"/>
      <c r="AV51" s="225"/>
      <c r="AW51" s="226"/>
    </row>
    <row r="52" spans="2:49" s="14" customFormat="1" ht="25.5" customHeight="1" x14ac:dyDescent="0.2">
      <c r="B52" s="139">
        <v>39</v>
      </c>
      <c r="C52" s="411" t="s">
        <v>407</v>
      </c>
      <c r="D52" s="45" t="s">
        <v>408</v>
      </c>
      <c r="E52" s="377" t="s">
        <v>152</v>
      </c>
      <c r="F52" s="384">
        <v>2019262</v>
      </c>
      <c r="G52" s="329">
        <v>43707</v>
      </c>
      <c r="H52" s="482">
        <v>80</v>
      </c>
      <c r="I52" s="271" t="s">
        <v>404</v>
      </c>
      <c r="J52" s="10">
        <v>180000</v>
      </c>
      <c r="K52" s="329">
        <v>43707</v>
      </c>
      <c r="L52" s="281">
        <v>43808</v>
      </c>
      <c r="M52" s="392" t="s">
        <v>404</v>
      </c>
      <c r="N52" s="271" t="s">
        <v>404</v>
      </c>
      <c r="O52" s="35" t="s">
        <v>105</v>
      </c>
      <c r="P52" s="490"/>
      <c r="Q52" s="490">
        <f t="shared" si="19"/>
        <v>7200000</v>
      </c>
      <c r="R52" s="386">
        <v>14400000</v>
      </c>
      <c r="S52" s="233">
        <f t="shared" si="21"/>
        <v>9360000</v>
      </c>
      <c r="T52" s="233">
        <f t="shared" si="22"/>
        <v>2880000</v>
      </c>
      <c r="U52" s="233">
        <f t="shared" si="20"/>
        <v>2160000</v>
      </c>
      <c r="V52" s="497"/>
      <c r="W52" s="497"/>
      <c r="X52" s="497"/>
      <c r="Y52" s="235">
        <f t="shared" si="14"/>
        <v>0</v>
      </c>
      <c r="Z52" s="233">
        <f t="shared" si="15"/>
        <v>0</v>
      </c>
      <c r="AA52" s="233">
        <f t="shared" si="16"/>
        <v>0</v>
      </c>
      <c r="AB52" s="234">
        <f t="shared" si="17"/>
        <v>0</v>
      </c>
      <c r="AC52" s="227"/>
      <c r="AD52" s="225"/>
      <c r="AE52" s="225"/>
      <c r="AF52" s="227"/>
      <c r="AG52" s="225"/>
      <c r="AH52" s="225"/>
      <c r="AI52" s="225"/>
      <c r="AJ52" s="225"/>
      <c r="AK52" s="225"/>
      <c r="AL52" s="227"/>
      <c r="AM52" s="225"/>
      <c r="AN52" s="225"/>
      <c r="AO52" s="225"/>
      <c r="AP52" s="225"/>
      <c r="AQ52" s="226"/>
      <c r="AR52" s="227"/>
      <c r="AS52" s="225"/>
      <c r="AT52" s="225"/>
      <c r="AU52" s="225"/>
      <c r="AV52" s="225"/>
      <c r="AW52" s="226"/>
    </row>
    <row r="53" spans="2:49" s="14" customFormat="1" ht="25.5" customHeight="1" x14ac:dyDescent="0.2">
      <c r="B53" s="139">
        <v>40</v>
      </c>
      <c r="C53" s="411" t="s">
        <v>407</v>
      </c>
      <c r="D53" s="45" t="s">
        <v>408</v>
      </c>
      <c r="E53" s="377" t="s">
        <v>152</v>
      </c>
      <c r="F53" s="384">
        <v>2019262</v>
      </c>
      <c r="G53" s="329">
        <v>43707</v>
      </c>
      <c r="H53" s="482">
        <v>64</v>
      </c>
      <c r="I53" s="271" t="s">
        <v>404</v>
      </c>
      <c r="J53" s="10">
        <v>180000</v>
      </c>
      <c r="K53" s="329">
        <v>43707</v>
      </c>
      <c r="L53" s="281">
        <v>43808</v>
      </c>
      <c r="M53" s="392" t="s">
        <v>404</v>
      </c>
      <c r="N53" s="271" t="s">
        <v>404</v>
      </c>
      <c r="O53" s="35" t="s">
        <v>106</v>
      </c>
      <c r="P53" s="490"/>
      <c r="Q53" s="490">
        <f t="shared" si="19"/>
        <v>5760000</v>
      </c>
      <c r="R53" s="386">
        <v>11520000</v>
      </c>
      <c r="S53" s="233">
        <f t="shared" si="21"/>
        <v>7488000</v>
      </c>
      <c r="T53" s="233">
        <f t="shared" si="22"/>
        <v>1728000</v>
      </c>
      <c r="U53" s="233">
        <f t="shared" si="20"/>
        <v>2304000</v>
      </c>
      <c r="V53" s="497"/>
      <c r="W53" s="497"/>
      <c r="X53" s="497"/>
      <c r="Y53" s="235">
        <f t="shared" si="14"/>
        <v>0</v>
      </c>
      <c r="Z53" s="233">
        <f t="shared" si="15"/>
        <v>0</v>
      </c>
      <c r="AA53" s="233">
        <f t="shared" si="16"/>
        <v>0</v>
      </c>
      <c r="AB53" s="234">
        <f t="shared" si="17"/>
        <v>0</v>
      </c>
      <c r="AC53" s="227"/>
      <c r="AD53" s="225"/>
      <c r="AE53" s="225"/>
      <c r="AF53" s="227"/>
      <c r="AG53" s="225"/>
      <c r="AH53" s="225"/>
      <c r="AI53" s="225"/>
      <c r="AJ53" s="225"/>
      <c r="AK53" s="225"/>
      <c r="AL53" s="227"/>
      <c r="AM53" s="225"/>
      <c r="AN53" s="225"/>
      <c r="AO53" s="225"/>
      <c r="AP53" s="225"/>
      <c r="AQ53" s="226"/>
      <c r="AR53" s="227"/>
      <c r="AS53" s="225"/>
      <c r="AT53" s="225"/>
      <c r="AU53" s="225"/>
      <c r="AV53" s="225"/>
      <c r="AW53" s="226"/>
    </row>
    <row r="54" spans="2:49" s="14" customFormat="1" ht="25.5" customHeight="1" x14ac:dyDescent="0.2">
      <c r="B54" s="139">
        <v>41</v>
      </c>
      <c r="C54" s="411" t="s">
        <v>407</v>
      </c>
      <c r="D54" s="45" t="s">
        <v>408</v>
      </c>
      <c r="E54" s="377" t="s">
        <v>152</v>
      </c>
      <c r="F54" s="384">
        <v>2019262</v>
      </c>
      <c r="G54" s="329">
        <v>43707</v>
      </c>
      <c r="H54" s="482">
        <v>65</v>
      </c>
      <c r="I54" s="271" t="s">
        <v>404</v>
      </c>
      <c r="J54" s="10">
        <v>180000</v>
      </c>
      <c r="K54" s="329">
        <v>43707</v>
      </c>
      <c r="L54" s="281">
        <v>43808</v>
      </c>
      <c r="M54" s="392" t="s">
        <v>404</v>
      </c>
      <c r="N54" s="271" t="s">
        <v>404</v>
      </c>
      <c r="O54" s="35" t="s">
        <v>105</v>
      </c>
      <c r="P54" s="490"/>
      <c r="Q54" s="490">
        <f t="shared" si="19"/>
        <v>5850000</v>
      </c>
      <c r="R54" s="386">
        <v>11700000</v>
      </c>
      <c r="S54" s="233">
        <f t="shared" si="21"/>
        <v>7605000</v>
      </c>
      <c r="T54" s="233">
        <f t="shared" si="22"/>
        <v>2340000</v>
      </c>
      <c r="U54" s="233">
        <f t="shared" si="20"/>
        <v>1755000</v>
      </c>
      <c r="V54" s="497"/>
      <c r="W54" s="497"/>
      <c r="X54" s="497"/>
      <c r="Y54" s="235">
        <f t="shared" si="14"/>
        <v>0</v>
      </c>
      <c r="Z54" s="233">
        <f t="shared" si="15"/>
        <v>0</v>
      </c>
      <c r="AA54" s="233">
        <f t="shared" si="16"/>
        <v>0</v>
      </c>
      <c r="AB54" s="234">
        <f t="shared" si="17"/>
        <v>0</v>
      </c>
      <c r="AC54" s="227"/>
      <c r="AD54" s="225"/>
      <c r="AE54" s="225"/>
      <c r="AF54" s="227"/>
      <c r="AG54" s="225"/>
      <c r="AH54" s="225"/>
      <c r="AI54" s="225"/>
      <c r="AJ54" s="225"/>
      <c r="AK54" s="225"/>
      <c r="AL54" s="227"/>
      <c r="AM54" s="225"/>
      <c r="AN54" s="225"/>
      <c r="AO54" s="225"/>
      <c r="AP54" s="225"/>
      <c r="AQ54" s="226"/>
      <c r="AR54" s="227"/>
      <c r="AS54" s="225"/>
      <c r="AT54" s="225"/>
      <c r="AU54" s="225"/>
      <c r="AV54" s="225"/>
      <c r="AW54" s="226"/>
    </row>
    <row r="55" spans="2:49" s="14" customFormat="1" ht="25.5" customHeight="1" x14ac:dyDescent="0.2">
      <c r="B55" s="139">
        <v>42</v>
      </c>
      <c r="C55" s="411" t="s">
        <v>407</v>
      </c>
      <c r="D55" s="45" t="s">
        <v>408</v>
      </c>
      <c r="E55" s="377" t="s">
        <v>152</v>
      </c>
      <c r="F55" s="384">
        <v>2019262</v>
      </c>
      <c r="G55" s="329">
        <v>43707</v>
      </c>
      <c r="H55" s="482">
        <v>72</v>
      </c>
      <c r="I55" s="271" t="s">
        <v>404</v>
      </c>
      <c r="J55" s="10">
        <v>180000</v>
      </c>
      <c r="K55" s="329">
        <v>43707</v>
      </c>
      <c r="L55" s="281">
        <v>43808</v>
      </c>
      <c r="M55" s="392" t="s">
        <v>404</v>
      </c>
      <c r="N55" s="271" t="s">
        <v>404</v>
      </c>
      <c r="O55" s="35" t="s">
        <v>106</v>
      </c>
      <c r="P55" s="490"/>
      <c r="Q55" s="490">
        <f t="shared" si="19"/>
        <v>6480000</v>
      </c>
      <c r="R55" s="386">
        <v>12960000</v>
      </c>
      <c r="S55" s="233">
        <f t="shared" si="21"/>
        <v>8424000</v>
      </c>
      <c r="T55" s="233">
        <f t="shared" si="22"/>
        <v>1944000</v>
      </c>
      <c r="U55" s="233">
        <f t="shared" si="20"/>
        <v>2592000</v>
      </c>
      <c r="V55" s="497"/>
      <c r="W55" s="497"/>
      <c r="X55" s="497"/>
      <c r="Y55" s="235">
        <f t="shared" si="14"/>
        <v>0</v>
      </c>
      <c r="Z55" s="233">
        <f t="shared" si="15"/>
        <v>0</v>
      </c>
      <c r="AA55" s="233">
        <f t="shared" si="16"/>
        <v>0</v>
      </c>
      <c r="AB55" s="234">
        <f t="shared" si="17"/>
        <v>0</v>
      </c>
      <c r="AC55" s="227"/>
      <c r="AD55" s="225"/>
      <c r="AE55" s="225"/>
      <c r="AF55" s="227"/>
      <c r="AG55" s="225"/>
      <c r="AH55" s="225"/>
      <c r="AI55" s="225"/>
      <c r="AJ55" s="225"/>
      <c r="AK55" s="225"/>
      <c r="AL55" s="227"/>
      <c r="AM55" s="225"/>
      <c r="AN55" s="225"/>
      <c r="AO55" s="225"/>
      <c r="AP55" s="225"/>
      <c r="AQ55" s="226"/>
      <c r="AR55" s="227"/>
      <c r="AS55" s="225"/>
      <c r="AT55" s="225"/>
      <c r="AU55" s="225"/>
      <c r="AV55" s="225"/>
      <c r="AW55" s="226"/>
    </row>
    <row r="56" spans="2:49" s="14" customFormat="1" ht="25.5" customHeight="1" x14ac:dyDescent="0.2">
      <c r="B56" s="139">
        <v>43</v>
      </c>
      <c r="C56" s="411" t="s">
        <v>407</v>
      </c>
      <c r="D56" s="45" t="s">
        <v>408</v>
      </c>
      <c r="E56" s="377" t="s">
        <v>152</v>
      </c>
      <c r="F56" s="384">
        <v>2019262</v>
      </c>
      <c r="G56" s="329">
        <v>43707</v>
      </c>
      <c r="H56" s="482">
        <v>68</v>
      </c>
      <c r="I56" s="271" t="s">
        <v>404</v>
      </c>
      <c r="J56" s="10">
        <v>180000</v>
      </c>
      <c r="K56" s="329">
        <v>43707</v>
      </c>
      <c r="L56" s="281">
        <v>43808</v>
      </c>
      <c r="M56" s="392" t="s">
        <v>404</v>
      </c>
      <c r="N56" s="271" t="s">
        <v>404</v>
      </c>
      <c r="O56" s="35" t="s">
        <v>107</v>
      </c>
      <c r="P56" s="490"/>
      <c r="Q56" s="490">
        <f t="shared" si="19"/>
        <v>6120000</v>
      </c>
      <c r="R56" s="386">
        <v>12240000</v>
      </c>
      <c r="S56" s="233">
        <f t="shared" si="21"/>
        <v>7956000</v>
      </c>
      <c r="T56" s="233">
        <f t="shared" si="22"/>
        <v>1836000</v>
      </c>
      <c r="U56" s="233">
        <f t="shared" si="20"/>
        <v>2448000</v>
      </c>
      <c r="V56" s="497"/>
      <c r="W56" s="497"/>
      <c r="X56" s="497"/>
      <c r="Y56" s="235">
        <f t="shared" si="14"/>
        <v>0</v>
      </c>
      <c r="Z56" s="233">
        <f t="shared" si="15"/>
        <v>0</v>
      </c>
      <c r="AA56" s="233">
        <f t="shared" si="16"/>
        <v>0</v>
      </c>
      <c r="AB56" s="234">
        <f t="shared" si="17"/>
        <v>0</v>
      </c>
      <c r="AC56" s="227"/>
      <c r="AD56" s="225"/>
      <c r="AE56" s="225"/>
      <c r="AF56" s="227"/>
      <c r="AG56" s="225"/>
      <c r="AH56" s="225"/>
      <c r="AI56" s="225"/>
      <c r="AJ56" s="225"/>
      <c r="AK56" s="225"/>
      <c r="AL56" s="227"/>
      <c r="AM56" s="225"/>
      <c r="AN56" s="225"/>
      <c r="AO56" s="225"/>
      <c r="AP56" s="225"/>
      <c r="AQ56" s="226"/>
      <c r="AR56" s="227"/>
      <c r="AS56" s="225"/>
      <c r="AT56" s="225"/>
      <c r="AU56" s="225"/>
      <c r="AV56" s="225"/>
      <c r="AW56" s="226"/>
    </row>
    <row r="57" spans="2:49" s="14" customFormat="1" ht="25.5" customHeight="1" x14ac:dyDescent="0.2">
      <c r="B57" s="139">
        <v>44</v>
      </c>
      <c r="C57" s="411" t="s">
        <v>407</v>
      </c>
      <c r="D57" s="45" t="s">
        <v>408</v>
      </c>
      <c r="E57" s="377" t="s">
        <v>152</v>
      </c>
      <c r="F57" s="384">
        <v>2019262</v>
      </c>
      <c r="G57" s="329">
        <v>43707</v>
      </c>
      <c r="H57" s="482">
        <v>64</v>
      </c>
      <c r="I57" s="271" t="s">
        <v>404</v>
      </c>
      <c r="J57" s="10">
        <v>180000</v>
      </c>
      <c r="K57" s="329">
        <v>43707</v>
      </c>
      <c r="L57" s="281">
        <v>43808</v>
      </c>
      <c r="M57" s="392" t="s">
        <v>404</v>
      </c>
      <c r="N57" s="271" t="s">
        <v>404</v>
      </c>
      <c r="O57" s="35" t="s">
        <v>105</v>
      </c>
      <c r="P57" s="490"/>
      <c r="Q57" s="490">
        <f t="shared" si="19"/>
        <v>5760000</v>
      </c>
      <c r="R57" s="386">
        <v>11520000</v>
      </c>
      <c r="S57" s="233">
        <f t="shared" si="21"/>
        <v>7488000</v>
      </c>
      <c r="T57" s="233">
        <f t="shared" si="22"/>
        <v>2304000</v>
      </c>
      <c r="U57" s="233">
        <f t="shared" si="20"/>
        <v>1728000</v>
      </c>
      <c r="V57" s="497"/>
      <c r="W57" s="497"/>
      <c r="X57" s="497"/>
      <c r="Y57" s="235">
        <f t="shared" si="14"/>
        <v>0</v>
      </c>
      <c r="Z57" s="233">
        <f t="shared" si="15"/>
        <v>0</v>
      </c>
      <c r="AA57" s="233">
        <f t="shared" si="16"/>
        <v>0</v>
      </c>
      <c r="AB57" s="234">
        <f t="shared" si="17"/>
        <v>0</v>
      </c>
      <c r="AC57" s="227"/>
      <c r="AD57" s="225"/>
      <c r="AE57" s="225"/>
      <c r="AF57" s="227"/>
      <c r="AG57" s="225"/>
      <c r="AH57" s="225"/>
      <c r="AI57" s="225"/>
      <c r="AJ57" s="225"/>
      <c r="AK57" s="225"/>
      <c r="AL57" s="227"/>
      <c r="AM57" s="225"/>
      <c r="AN57" s="225"/>
      <c r="AO57" s="225"/>
      <c r="AP57" s="225"/>
      <c r="AQ57" s="226"/>
      <c r="AR57" s="227"/>
      <c r="AS57" s="225"/>
      <c r="AT57" s="225"/>
      <c r="AU57" s="225"/>
      <c r="AV57" s="225"/>
      <c r="AW57" s="226"/>
    </row>
    <row r="58" spans="2:49" s="14" customFormat="1" ht="25.5" customHeight="1" x14ac:dyDescent="0.2">
      <c r="B58" s="139">
        <v>45</v>
      </c>
      <c r="C58" s="411" t="s">
        <v>407</v>
      </c>
      <c r="D58" s="45" t="s">
        <v>408</v>
      </c>
      <c r="E58" s="377" t="s">
        <v>152</v>
      </c>
      <c r="F58" s="384">
        <v>2019262</v>
      </c>
      <c r="G58" s="329">
        <v>43707</v>
      </c>
      <c r="H58" s="482">
        <v>65</v>
      </c>
      <c r="I58" s="271" t="s">
        <v>404</v>
      </c>
      <c r="J58" s="10">
        <v>180000</v>
      </c>
      <c r="K58" s="329">
        <v>43707</v>
      </c>
      <c r="L58" s="281">
        <v>43808</v>
      </c>
      <c r="M58" s="392" t="s">
        <v>404</v>
      </c>
      <c r="N58" s="271" t="s">
        <v>404</v>
      </c>
      <c r="O58" s="35" t="s">
        <v>105</v>
      </c>
      <c r="P58" s="490"/>
      <c r="Q58" s="490">
        <f t="shared" si="19"/>
        <v>5850000</v>
      </c>
      <c r="R58" s="386">
        <v>11700000</v>
      </c>
      <c r="S58" s="233">
        <f t="shared" si="21"/>
        <v>7605000</v>
      </c>
      <c r="T58" s="233">
        <f t="shared" si="22"/>
        <v>2340000</v>
      </c>
      <c r="U58" s="233">
        <f t="shared" si="20"/>
        <v>1755000</v>
      </c>
      <c r="V58" s="497"/>
      <c r="W58" s="497"/>
      <c r="X58" s="497"/>
      <c r="Y58" s="235">
        <f t="shared" si="14"/>
        <v>0</v>
      </c>
      <c r="Z58" s="233">
        <f t="shared" si="15"/>
        <v>0</v>
      </c>
      <c r="AA58" s="233">
        <f t="shared" si="16"/>
        <v>0</v>
      </c>
      <c r="AB58" s="234">
        <f t="shared" si="17"/>
        <v>0</v>
      </c>
      <c r="AC58" s="227"/>
      <c r="AD58" s="225"/>
      <c r="AE58" s="225"/>
      <c r="AF58" s="227"/>
      <c r="AG58" s="225"/>
      <c r="AH58" s="225"/>
      <c r="AI58" s="225"/>
      <c r="AJ58" s="225"/>
      <c r="AK58" s="225"/>
      <c r="AL58" s="227"/>
      <c r="AM58" s="225"/>
      <c r="AN58" s="225"/>
      <c r="AO58" s="225"/>
      <c r="AP58" s="225"/>
      <c r="AQ58" s="226"/>
      <c r="AR58" s="227"/>
      <c r="AS58" s="225"/>
      <c r="AT58" s="225"/>
      <c r="AU58" s="225"/>
      <c r="AV58" s="225"/>
      <c r="AW58" s="226"/>
    </row>
    <row r="59" spans="2:49" s="14" customFormat="1" ht="25.5" customHeight="1" x14ac:dyDescent="0.2">
      <c r="B59" s="139">
        <v>46</v>
      </c>
      <c r="C59" s="411" t="s">
        <v>407</v>
      </c>
      <c r="D59" s="45" t="s">
        <v>408</v>
      </c>
      <c r="E59" s="377" t="s">
        <v>152</v>
      </c>
      <c r="F59" s="384">
        <v>2019262</v>
      </c>
      <c r="G59" s="329">
        <v>43707</v>
      </c>
      <c r="H59" s="482">
        <v>72</v>
      </c>
      <c r="I59" s="271" t="s">
        <v>404</v>
      </c>
      <c r="J59" s="10">
        <v>180000</v>
      </c>
      <c r="K59" s="329">
        <v>43707</v>
      </c>
      <c r="L59" s="281">
        <v>43808</v>
      </c>
      <c r="M59" s="392" t="s">
        <v>404</v>
      </c>
      <c r="N59" s="271" t="s">
        <v>404</v>
      </c>
      <c r="O59" s="35" t="s">
        <v>105</v>
      </c>
      <c r="P59" s="490"/>
      <c r="Q59" s="490">
        <f t="shared" si="19"/>
        <v>6480000</v>
      </c>
      <c r="R59" s="386">
        <v>12960000</v>
      </c>
      <c r="S59" s="233">
        <f t="shared" si="21"/>
        <v>8424000</v>
      </c>
      <c r="T59" s="233">
        <f t="shared" si="22"/>
        <v>2592000</v>
      </c>
      <c r="U59" s="233">
        <f t="shared" si="20"/>
        <v>1944000</v>
      </c>
      <c r="V59" s="497"/>
      <c r="W59" s="497"/>
      <c r="X59" s="497"/>
      <c r="Y59" s="235">
        <f t="shared" si="14"/>
        <v>0</v>
      </c>
      <c r="Z59" s="233">
        <f t="shared" si="15"/>
        <v>0</v>
      </c>
      <c r="AA59" s="233">
        <f t="shared" si="16"/>
        <v>0</v>
      </c>
      <c r="AB59" s="234">
        <f t="shared" si="17"/>
        <v>0</v>
      </c>
      <c r="AC59" s="227"/>
      <c r="AD59" s="225"/>
      <c r="AE59" s="225"/>
      <c r="AF59" s="227"/>
      <c r="AG59" s="225"/>
      <c r="AH59" s="225"/>
      <c r="AI59" s="225"/>
      <c r="AJ59" s="225"/>
      <c r="AK59" s="225"/>
      <c r="AL59" s="227"/>
      <c r="AM59" s="225"/>
      <c r="AN59" s="225"/>
      <c r="AO59" s="225"/>
      <c r="AP59" s="225"/>
      <c r="AQ59" s="226"/>
      <c r="AR59" s="227"/>
      <c r="AS59" s="225"/>
      <c r="AT59" s="225"/>
      <c r="AU59" s="225"/>
      <c r="AV59" s="225"/>
      <c r="AW59" s="226"/>
    </row>
    <row r="60" spans="2:49" s="14" customFormat="1" ht="25.5" customHeight="1" x14ac:dyDescent="0.2">
      <c r="B60" s="139">
        <v>47</v>
      </c>
      <c r="C60" s="411" t="s">
        <v>407</v>
      </c>
      <c r="D60" s="45" t="s">
        <v>408</v>
      </c>
      <c r="E60" s="377" t="s">
        <v>152</v>
      </c>
      <c r="F60" s="384">
        <v>2019262</v>
      </c>
      <c r="G60" s="329">
        <v>43707</v>
      </c>
      <c r="H60" s="482">
        <v>68</v>
      </c>
      <c r="I60" s="271" t="s">
        <v>404</v>
      </c>
      <c r="J60" s="10">
        <v>180000</v>
      </c>
      <c r="K60" s="329">
        <v>43707</v>
      </c>
      <c r="L60" s="281">
        <v>43808</v>
      </c>
      <c r="M60" s="392" t="s">
        <v>404</v>
      </c>
      <c r="N60" s="271" t="s">
        <v>404</v>
      </c>
      <c r="O60" s="35" t="s">
        <v>105</v>
      </c>
      <c r="P60" s="490"/>
      <c r="Q60" s="490">
        <f t="shared" si="19"/>
        <v>6120000</v>
      </c>
      <c r="R60" s="386">
        <v>12240000</v>
      </c>
      <c r="S60" s="233">
        <f t="shared" si="21"/>
        <v>7956000</v>
      </c>
      <c r="T60" s="233">
        <f t="shared" si="22"/>
        <v>2448000</v>
      </c>
      <c r="U60" s="233">
        <f t="shared" si="20"/>
        <v>1836000</v>
      </c>
      <c r="V60" s="497"/>
      <c r="W60" s="497"/>
      <c r="X60" s="497"/>
      <c r="Y60" s="235">
        <f t="shared" si="14"/>
        <v>0</v>
      </c>
      <c r="Z60" s="233">
        <f t="shared" si="15"/>
        <v>0</v>
      </c>
      <c r="AA60" s="233">
        <f t="shared" si="16"/>
        <v>0</v>
      </c>
      <c r="AB60" s="234">
        <f t="shared" si="17"/>
        <v>0</v>
      </c>
      <c r="AC60" s="227"/>
      <c r="AD60" s="225"/>
      <c r="AE60" s="225"/>
      <c r="AF60" s="227"/>
      <c r="AG60" s="225"/>
      <c r="AH60" s="225"/>
      <c r="AI60" s="225"/>
      <c r="AJ60" s="225"/>
      <c r="AK60" s="225"/>
      <c r="AL60" s="227"/>
      <c r="AM60" s="225"/>
      <c r="AN60" s="225"/>
      <c r="AO60" s="225"/>
      <c r="AP60" s="225"/>
      <c r="AQ60" s="226"/>
      <c r="AR60" s="227"/>
      <c r="AS60" s="225"/>
      <c r="AT60" s="225"/>
      <c r="AU60" s="225"/>
      <c r="AV60" s="225"/>
      <c r="AW60" s="226"/>
    </row>
    <row r="61" spans="2:49" s="14" customFormat="1" ht="25.5" customHeight="1" x14ac:dyDescent="0.2">
      <c r="B61" s="139">
        <v>48</v>
      </c>
      <c r="C61" s="411" t="s">
        <v>407</v>
      </c>
      <c r="D61" s="45" t="s">
        <v>408</v>
      </c>
      <c r="E61" s="377" t="s">
        <v>152</v>
      </c>
      <c r="F61" s="384">
        <v>2019262</v>
      </c>
      <c r="G61" s="329">
        <v>43707</v>
      </c>
      <c r="H61" s="482">
        <v>40</v>
      </c>
      <c r="I61" s="271" t="s">
        <v>404</v>
      </c>
      <c r="J61" s="10">
        <v>180000</v>
      </c>
      <c r="K61" s="329">
        <v>43707</v>
      </c>
      <c r="L61" s="281">
        <v>43808</v>
      </c>
      <c r="M61" s="392" t="s">
        <v>404</v>
      </c>
      <c r="N61" s="271" t="s">
        <v>404</v>
      </c>
      <c r="O61" s="35" t="s">
        <v>105</v>
      </c>
      <c r="P61" s="490"/>
      <c r="Q61" s="490">
        <f t="shared" si="19"/>
        <v>3600000</v>
      </c>
      <c r="R61" s="386">
        <v>7200000</v>
      </c>
      <c r="S61" s="233">
        <f t="shared" si="21"/>
        <v>4680000</v>
      </c>
      <c r="T61" s="233">
        <f t="shared" si="22"/>
        <v>1440000</v>
      </c>
      <c r="U61" s="233">
        <f t="shared" si="20"/>
        <v>1080000</v>
      </c>
      <c r="V61" s="497"/>
      <c r="W61" s="497"/>
      <c r="X61" s="497"/>
      <c r="Y61" s="235">
        <f t="shared" si="14"/>
        <v>0</v>
      </c>
      <c r="Z61" s="233">
        <f t="shared" si="15"/>
        <v>0</v>
      </c>
      <c r="AA61" s="233">
        <f t="shared" si="16"/>
        <v>0</v>
      </c>
      <c r="AB61" s="234">
        <f t="shared" si="17"/>
        <v>0</v>
      </c>
      <c r="AC61" s="227"/>
      <c r="AD61" s="225"/>
      <c r="AE61" s="225"/>
      <c r="AF61" s="227"/>
      <c r="AG61" s="225"/>
      <c r="AH61" s="225"/>
      <c r="AI61" s="225"/>
      <c r="AJ61" s="225"/>
      <c r="AK61" s="225"/>
      <c r="AL61" s="227"/>
      <c r="AM61" s="225"/>
      <c r="AN61" s="225"/>
      <c r="AO61" s="225"/>
      <c r="AP61" s="225"/>
      <c r="AQ61" s="226"/>
      <c r="AR61" s="227"/>
      <c r="AS61" s="225"/>
      <c r="AT61" s="225"/>
      <c r="AU61" s="225"/>
      <c r="AV61" s="225"/>
      <c r="AW61" s="226"/>
    </row>
    <row r="62" spans="2:49" s="14" customFormat="1" ht="25.5" customHeight="1" x14ac:dyDescent="0.2">
      <c r="B62" s="139">
        <v>49</v>
      </c>
      <c r="C62" s="411" t="s">
        <v>407</v>
      </c>
      <c r="D62" s="45" t="s">
        <v>408</v>
      </c>
      <c r="E62" s="377" t="s">
        <v>152</v>
      </c>
      <c r="F62" s="384">
        <v>2019262</v>
      </c>
      <c r="G62" s="329">
        <v>43707</v>
      </c>
      <c r="H62" s="482">
        <v>64</v>
      </c>
      <c r="I62" s="271" t="s">
        <v>404</v>
      </c>
      <c r="J62" s="10">
        <v>180000</v>
      </c>
      <c r="K62" s="329">
        <v>43707</v>
      </c>
      <c r="L62" s="281">
        <v>43808</v>
      </c>
      <c r="M62" s="392" t="s">
        <v>404</v>
      </c>
      <c r="N62" s="271" t="s">
        <v>404</v>
      </c>
      <c r="O62" s="35" t="s">
        <v>105</v>
      </c>
      <c r="P62" s="490"/>
      <c r="Q62" s="490">
        <f t="shared" si="19"/>
        <v>5760000</v>
      </c>
      <c r="R62" s="386">
        <v>11520000</v>
      </c>
      <c r="S62" s="233">
        <f t="shared" si="21"/>
        <v>7488000</v>
      </c>
      <c r="T62" s="233">
        <f t="shared" si="22"/>
        <v>2304000</v>
      </c>
      <c r="U62" s="233">
        <f t="shared" si="20"/>
        <v>1728000</v>
      </c>
      <c r="V62" s="497"/>
      <c r="W62" s="497"/>
      <c r="X62" s="497"/>
      <c r="Y62" s="235">
        <f t="shared" si="14"/>
        <v>0</v>
      </c>
      <c r="Z62" s="233">
        <f t="shared" si="15"/>
        <v>0</v>
      </c>
      <c r="AA62" s="233">
        <f t="shared" si="16"/>
        <v>0</v>
      </c>
      <c r="AB62" s="234">
        <f t="shared" si="17"/>
        <v>0</v>
      </c>
      <c r="AC62" s="227"/>
      <c r="AD62" s="225"/>
      <c r="AE62" s="225"/>
      <c r="AF62" s="227"/>
      <c r="AG62" s="225"/>
      <c r="AH62" s="225"/>
      <c r="AI62" s="225"/>
      <c r="AJ62" s="225"/>
      <c r="AK62" s="225"/>
      <c r="AL62" s="227"/>
      <c r="AM62" s="225"/>
      <c r="AN62" s="225"/>
      <c r="AO62" s="225"/>
      <c r="AP62" s="225"/>
      <c r="AQ62" s="226"/>
      <c r="AR62" s="227"/>
      <c r="AS62" s="225"/>
      <c r="AT62" s="225"/>
      <c r="AU62" s="225"/>
      <c r="AV62" s="225"/>
      <c r="AW62" s="226"/>
    </row>
    <row r="63" spans="2:49" s="14" customFormat="1" ht="25.5" customHeight="1" x14ac:dyDescent="0.2">
      <c r="B63" s="139">
        <v>50</v>
      </c>
      <c r="C63" s="413" t="s">
        <v>407</v>
      </c>
      <c r="D63" s="45" t="s">
        <v>408</v>
      </c>
      <c r="E63" s="377" t="s">
        <v>154</v>
      </c>
      <c r="F63" s="412">
        <v>2019280</v>
      </c>
      <c r="G63" s="329">
        <v>43697</v>
      </c>
      <c r="H63" s="482">
        <v>80</v>
      </c>
      <c r="I63" s="271" t="s">
        <v>404</v>
      </c>
      <c r="J63" s="489">
        <v>180000</v>
      </c>
      <c r="K63" s="329">
        <v>43697</v>
      </c>
      <c r="L63" s="281">
        <v>43808</v>
      </c>
      <c r="M63" s="408" t="s">
        <v>404</v>
      </c>
      <c r="N63" s="271" t="s">
        <v>404</v>
      </c>
      <c r="O63" s="35" t="s">
        <v>106</v>
      </c>
      <c r="P63" s="490"/>
      <c r="Q63" s="490">
        <f t="shared" si="19"/>
        <v>7200000</v>
      </c>
      <c r="R63" s="386">
        <v>14400000</v>
      </c>
      <c r="S63" s="408">
        <f t="shared" si="21"/>
        <v>9360000</v>
      </c>
      <c r="T63" s="408">
        <f t="shared" si="22"/>
        <v>2160000</v>
      </c>
      <c r="U63" s="233">
        <f t="shared" si="20"/>
        <v>2880000</v>
      </c>
      <c r="V63" s="497"/>
      <c r="W63" s="497"/>
      <c r="X63" s="497"/>
      <c r="Y63" s="235">
        <f t="shared" si="14"/>
        <v>0</v>
      </c>
      <c r="Z63" s="233">
        <f t="shared" si="15"/>
        <v>0</v>
      </c>
      <c r="AA63" s="233">
        <f t="shared" si="16"/>
        <v>0</v>
      </c>
      <c r="AB63" s="234">
        <f t="shared" si="17"/>
        <v>0</v>
      </c>
      <c r="AC63" s="227"/>
      <c r="AD63" s="225"/>
      <c r="AE63" s="225"/>
      <c r="AF63" s="227"/>
      <c r="AG63" s="225"/>
      <c r="AH63" s="225"/>
      <c r="AI63" s="225"/>
      <c r="AJ63" s="225"/>
      <c r="AK63" s="225"/>
      <c r="AL63" s="227"/>
      <c r="AM63" s="225"/>
      <c r="AN63" s="225"/>
      <c r="AO63" s="225"/>
      <c r="AP63" s="225"/>
      <c r="AQ63" s="226"/>
      <c r="AR63" s="227"/>
      <c r="AS63" s="225"/>
      <c r="AT63" s="225"/>
      <c r="AU63" s="225"/>
      <c r="AV63" s="225"/>
      <c r="AW63" s="226"/>
    </row>
    <row r="64" spans="2:49" s="14" customFormat="1" ht="25.5" customHeight="1" x14ac:dyDescent="0.2">
      <c r="B64" s="139">
        <v>51</v>
      </c>
      <c r="C64" s="411" t="s">
        <v>407</v>
      </c>
      <c r="D64" s="45" t="s">
        <v>408</v>
      </c>
      <c r="E64" s="377" t="s">
        <v>154</v>
      </c>
      <c r="F64" s="414">
        <v>2019282</v>
      </c>
      <c r="G64" s="329">
        <v>43697</v>
      </c>
      <c r="H64" s="482">
        <v>80</v>
      </c>
      <c r="I64" s="271" t="s">
        <v>404</v>
      </c>
      <c r="J64" s="489">
        <v>180000</v>
      </c>
      <c r="K64" s="329">
        <v>43697</v>
      </c>
      <c r="L64" s="281">
        <v>43808</v>
      </c>
      <c r="M64" s="392" t="s">
        <v>404</v>
      </c>
      <c r="N64" s="271" t="s">
        <v>404</v>
      </c>
      <c r="O64" s="35" t="s">
        <v>106</v>
      </c>
      <c r="P64" s="490"/>
      <c r="Q64" s="490">
        <f t="shared" si="19"/>
        <v>7200000</v>
      </c>
      <c r="R64" s="386">
        <v>14400000</v>
      </c>
      <c r="S64" s="233">
        <f t="shared" ref="S64:S65" si="23">+R64*0.65</f>
        <v>9360000</v>
      </c>
      <c r="T64" s="233">
        <f t="shared" si="22"/>
        <v>2160000</v>
      </c>
      <c r="U64" s="233">
        <f t="shared" si="20"/>
        <v>2880000</v>
      </c>
      <c r="V64" s="497"/>
      <c r="W64" s="497"/>
      <c r="X64" s="497"/>
      <c r="Y64" s="235">
        <f t="shared" si="14"/>
        <v>0</v>
      </c>
      <c r="Z64" s="233">
        <f t="shared" si="15"/>
        <v>0</v>
      </c>
      <c r="AA64" s="233">
        <f t="shared" si="16"/>
        <v>0</v>
      </c>
      <c r="AB64" s="234">
        <f t="shared" si="17"/>
        <v>0</v>
      </c>
      <c r="AC64" s="227"/>
      <c r="AD64" s="225"/>
      <c r="AE64" s="225"/>
      <c r="AF64" s="227"/>
      <c r="AG64" s="225"/>
      <c r="AH64" s="225"/>
      <c r="AI64" s="225"/>
      <c r="AJ64" s="225"/>
      <c r="AK64" s="225"/>
      <c r="AL64" s="227"/>
      <c r="AM64" s="225"/>
      <c r="AN64" s="225"/>
      <c r="AO64" s="225"/>
      <c r="AP64" s="225"/>
      <c r="AQ64" s="226"/>
      <c r="AR64" s="227"/>
      <c r="AS64" s="225"/>
      <c r="AT64" s="225"/>
      <c r="AU64" s="225"/>
      <c r="AV64" s="225"/>
      <c r="AW64" s="226"/>
    </row>
    <row r="65" spans="2:49" s="14" customFormat="1" ht="25.5" customHeight="1" x14ac:dyDescent="0.2">
      <c r="B65" s="139">
        <v>52</v>
      </c>
      <c r="C65" s="411" t="s">
        <v>407</v>
      </c>
      <c r="D65" s="45" t="s">
        <v>408</v>
      </c>
      <c r="E65" s="377" t="s">
        <v>156</v>
      </c>
      <c r="F65" s="414">
        <v>2019295</v>
      </c>
      <c r="G65" s="329">
        <v>43705</v>
      </c>
      <c r="H65" s="482">
        <v>64</v>
      </c>
      <c r="I65" s="271" t="s">
        <v>404</v>
      </c>
      <c r="J65" s="489">
        <v>180000</v>
      </c>
      <c r="K65" s="329">
        <v>43705</v>
      </c>
      <c r="L65" s="281">
        <v>43808</v>
      </c>
      <c r="M65" s="408" t="s">
        <v>404</v>
      </c>
      <c r="N65" s="271" t="s">
        <v>404</v>
      </c>
      <c r="O65" s="35" t="s">
        <v>105</v>
      </c>
      <c r="P65" s="490"/>
      <c r="Q65" s="490">
        <f t="shared" si="19"/>
        <v>5760000</v>
      </c>
      <c r="R65" s="410">
        <v>11520000</v>
      </c>
      <c r="S65" s="408">
        <f t="shared" si="23"/>
        <v>7488000</v>
      </c>
      <c r="T65" s="408">
        <f t="shared" si="22"/>
        <v>2304000</v>
      </c>
      <c r="U65" s="233">
        <f t="shared" si="20"/>
        <v>1728000</v>
      </c>
      <c r="V65" s="497"/>
      <c r="W65" s="497"/>
      <c r="X65" s="497"/>
      <c r="Y65" s="235">
        <f t="shared" si="14"/>
        <v>0</v>
      </c>
      <c r="Z65" s="233">
        <f t="shared" si="15"/>
        <v>0</v>
      </c>
      <c r="AA65" s="233">
        <f t="shared" si="16"/>
        <v>0</v>
      </c>
      <c r="AB65" s="234">
        <f t="shared" si="17"/>
        <v>0</v>
      </c>
      <c r="AC65" s="227"/>
      <c r="AD65" s="225"/>
      <c r="AE65" s="225"/>
      <c r="AF65" s="227"/>
      <c r="AG65" s="225"/>
      <c r="AH65" s="225"/>
      <c r="AI65" s="225"/>
      <c r="AJ65" s="225"/>
      <c r="AK65" s="225"/>
      <c r="AL65" s="227"/>
      <c r="AM65" s="225"/>
      <c r="AN65" s="225"/>
      <c r="AO65" s="225"/>
      <c r="AP65" s="225"/>
      <c r="AQ65" s="226"/>
      <c r="AR65" s="227"/>
      <c r="AS65" s="225"/>
      <c r="AT65" s="225"/>
      <c r="AU65" s="225"/>
      <c r="AV65" s="225"/>
      <c r="AW65" s="226"/>
    </row>
    <row r="66" spans="2:49" s="14" customFormat="1" ht="25.5" customHeight="1" x14ac:dyDescent="0.2">
      <c r="B66" s="139">
        <v>53</v>
      </c>
      <c r="C66" s="411" t="s">
        <v>407</v>
      </c>
      <c r="D66" s="45" t="s">
        <v>408</v>
      </c>
      <c r="E66" s="377" t="s">
        <v>156</v>
      </c>
      <c r="F66" s="414">
        <v>2019295</v>
      </c>
      <c r="G66" s="329">
        <v>43705</v>
      </c>
      <c r="H66" s="482">
        <v>64</v>
      </c>
      <c r="I66" s="271" t="s">
        <v>404</v>
      </c>
      <c r="J66" s="489">
        <v>180000</v>
      </c>
      <c r="K66" s="329">
        <v>43705</v>
      </c>
      <c r="L66" s="281">
        <v>43808</v>
      </c>
      <c r="M66" s="408" t="s">
        <v>404</v>
      </c>
      <c r="N66" s="271" t="s">
        <v>404</v>
      </c>
      <c r="O66" s="392" t="s">
        <v>105</v>
      </c>
      <c r="P66" s="490"/>
      <c r="Q66" s="490">
        <f t="shared" si="19"/>
        <v>5760000</v>
      </c>
      <c r="R66" s="410">
        <v>11520000</v>
      </c>
      <c r="S66" s="408">
        <f t="shared" ref="S66:S69" si="24">+R66*0.65</f>
        <v>7488000</v>
      </c>
      <c r="T66" s="408">
        <f t="shared" si="22"/>
        <v>2304000</v>
      </c>
      <c r="U66" s="233">
        <f t="shared" si="20"/>
        <v>1728000</v>
      </c>
      <c r="V66" s="497"/>
      <c r="W66" s="497"/>
      <c r="X66" s="497"/>
      <c r="Y66" s="235">
        <f t="shared" si="14"/>
        <v>0</v>
      </c>
      <c r="Z66" s="233">
        <f t="shared" si="15"/>
        <v>0</v>
      </c>
      <c r="AA66" s="233">
        <f t="shared" si="16"/>
        <v>0</v>
      </c>
      <c r="AB66" s="234">
        <f t="shared" si="17"/>
        <v>0</v>
      </c>
      <c r="AC66" s="227"/>
      <c r="AD66" s="225"/>
      <c r="AE66" s="225"/>
      <c r="AF66" s="227"/>
      <c r="AG66" s="225"/>
      <c r="AH66" s="225"/>
      <c r="AI66" s="225"/>
      <c r="AJ66" s="225"/>
      <c r="AK66" s="225"/>
      <c r="AL66" s="227"/>
      <c r="AM66" s="225"/>
      <c r="AN66" s="225"/>
      <c r="AO66" s="225"/>
      <c r="AP66" s="225"/>
      <c r="AQ66" s="226"/>
      <c r="AR66" s="227"/>
      <c r="AS66" s="225"/>
      <c r="AT66" s="225"/>
      <c r="AU66" s="225"/>
      <c r="AV66" s="225"/>
      <c r="AW66" s="226"/>
    </row>
    <row r="67" spans="2:49" s="14" customFormat="1" ht="25.5" customHeight="1" x14ac:dyDescent="0.2">
      <c r="B67" s="139">
        <v>54</v>
      </c>
      <c r="C67" s="411" t="s">
        <v>407</v>
      </c>
      <c r="D67" s="45" t="s">
        <v>408</v>
      </c>
      <c r="E67" s="377" t="s">
        <v>158</v>
      </c>
      <c r="F67" s="384">
        <v>2019277</v>
      </c>
      <c r="G67" s="329">
        <v>43697</v>
      </c>
      <c r="H67" s="482">
        <v>64</v>
      </c>
      <c r="I67" s="271" t="s">
        <v>404</v>
      </c>
      <c r="J67" s="489">
        <v>180000</v>
      </c>
      <c r="K67" s="329">
        <v>43697</v>
      </c>
      <c r="L67" s="281">
        <v>43808</v>
      </c>
      <c r="M67" s="408" t="s">
        <v>404</v>
      </c>
      <c r="N67" s="271" t="s">
        <v>404</v>
      </c>
      <c r="O67" s="35" t="s">
        <v>107</v>
      </c>
      <c r="P67" s="490"/>
      <c r="Q67" s="490">
        <f t="shared" si="19"/>
        <v>5760000</v>
      </c>
      <c r="R67" s="410">
        <v>11520000</v>
      </c>
      <c r="S67" s="408">
        <f t="shared" si="24"/>
        <v>7488000</v>
      </c>
      <c r="T67" s="408">
        <f t="shared" si="22"/>
        <v>1728000</v>
      </c>
      <c r="U67" s="233">
        <f t="shared" si="20"/>
        <v>2304000</v>
      </c>
      <c r="V67" s="497"/>
      <c r="W67" s="497"/>
      <c r="X67" s="497"/>
      <c r="Y67" s="235">
        <f t="shared" si="14"/>
        <v>0</v>
      </c>
      <c r="Z67" s="233">
        <f t="shared" si="15"/>
        <v>0</v>
      </c>
      <c r="AA67" s="233">
        <f t="shared" si="16"/>
        <v>0</v>
      </c>
      <c r="AB67" s="234">
        <f t="shared" si="17"/>
        <v>0</v>
      </c>
      <c r="AC67" s="227"/>
      <c r="AD67" s="225"/>
      <c r="AE67" s="225"/>
      <c r="AF67" s="227"/>
      <c r="AG67" s="225"/>
      <c r="AH67" s="225"/>
      <c r="AI67" s="225"/>
      <c r="AJ67" s="225"/>
      <c r="AK67" s="225"/>
      <c r="AL67" s="227"/>
      <c r="AM67" s="225"/>
      <c r="AN67" s="225"/>
      <c r="AO67" s="225"/>
      <c r="AP67" s="225"/>
      <c r="AQ67" s="226"/>
      <c r="AR67" s="227"/>
      <c r="AS67" s="225"/>
      <c r="AT67" s="225"/>
      <c r="AU67" s="225"/>
      <c r="AV67" s="225"/>
      <c r="AW67" s="226"/>
    </row>
    <row r="68" spans="2:49" s="14" customFormat="1" ht="25.5" customHeight="1" x14ac:dyDescent="0.2">
      <c r="B68" s="139">
        <v>55</v>
      </c>
      <c r="C68" s="411" t="s">
        <v>407</v>
      </c>
      <c r="D68" s="45" t="s">
        <v>408</v>
      </c>
      <c r="E68" s="377" t="s">
        <v>158</v>
      </c>
      <c r="F68" s="384">
        <v>2019277</v>
      </c>
      <c r="G68" s="329">
        <v>43697</v>
      </c>
      <c r="H68" s="482">
        <v>64</v>
      </c>
      <c r="I68" s="271" t="s">
        <v>404</v>
      </c>
      <c r="J68" s="489">
        <v>180000</v>
      </c>
      <c r="K68" s="329">
        <v>43697</v>
      </c>
      <c r="L68" s="281">
        <v>43808</v>
      </c>
      <c r="M68" s="408" t="s">
        <v>404</v>
      </c>
      <c r="N68" s="271" t="s">
        <v>404</v>
      </c>
      <c r="O68" s="392" t="s">
        <v>105</v>
      </c>
      <c r="P68" s="490"/>
      <c r="Q68" s="490">
        <f t="shared" si="19"/>
        <v>5760000</v>
      </c>
      <c r="R68" s="410">
        <v>11520000</v>
      </c>
      <c r="S68" s="408">
        <f t="shared" si="24"/>
        <v>7488000</v>
      </c>
      <c r="T68" s="408">
        <f t="shared" si="22"/>
        <v>2304000</v>
      </c>
      <c r="U68" s="233">
        <f t="shared" si="20"/>
        <v>1728000</v>
      </c>
      <c r="V68" s="497"/>
      <c r="W68" s="497"/>
      <c r="X68" s="497"/>
      <c r="Y68" s="235">
        <f t="shared" si="14"/>
        <v>0</v>
      </c>
      <c r="Z68" s="233">
        <f t="shared" si="15"/>
        <v>0</v>
      </c>
      <c r="AA68" s="233">
        <f t="shared" si="16"/>
        <v>0</v>
      </c>
      <c r="AB68" s="234">
        <f t="shared" si="17"/>
        <v>0</v>
      </c>
      <c r="AC68" s="227"/>
      <c r="AD68" s="225"/>
      <c r="AE68" s="225"/>
      <c r="AF68" s="227"/>
      <c r="AG68" s="225"/>
      <c r="AH68" s="225"/>
      <c r="AI68" s="225"/>
      <c r="AJ68" s="225"/>
      <c r="AK68" s="225"/>
      <c r="AL68" s="227"/>
      <c r="AM68" s="225"/>
      <c r="AN68" s="225"/>
      <c r="AO68" s="225"/>
      <c r="AP68" s="225"/>
      <c r="AQ68" s="226"/>
      <c r="AR68" s="227"/>
      <c r="AS68" s="225"/>
      <c r="AT68" s="225"/>
      <c r="AU68" s="225"/>
      <c r="AV68" s="225"/>
      <c r="AW68" s="226"/>
    </row>
    <row r="69" spans="2:49" s="14" customFormat="1" ht="25.5" customHeight="1" x14ac:dyDescent="0.2">
      <c r="B69" s="139">
        <v>56</v>
      </c>
      <c r="C69" s="411" t="s">
        <v>407</v>
      </c>
      <c r="D69" s="45" t="s">
        <v>408</v>
      </c>
      <c r="E69" s="377" t="s">
        <v>160</v>
      </c>
      <c r="F69" s="384">
        <v>2019281</v>
      </c>
      <c r="G69" s="329">
        <v>43697</v>
      </c>
      <c r="H69" s="482">
        <v>52</v>
      </c>
      <c r="I69" s="271" t="s">
        <v>404</v>
      </c>
      <c r="J69" s="489">
        <v>180000</v>
      </c>
      <c r="K69" s="329">
        <v>43697</v>
      </c>
      <c r="L69" s="281">
        <v>43808</v>
      </c>
      <c r="M69" s="35" t="s">
        <v>404</v>
      </c>
      <c r="N69" s="271" t="s">
        <v>404</v>
      </c>
      <c r="O69" s="35" t="s">
        <v>106</v>
      </c>
      <c r="P69" s="490"/>
      <c r="Q69" s="490">
        <f t="shared" si="19"/>
        <v>4680000</v>
      </c>
      <c r="R69" s="410">
        <v>9360000</v>
      </c>
      <c r="S69" s="408">
        <f t="shared" si="24"/>
        <v>6084000</v>
      </c>
      <c r="T69" s="408">
        <f t="shared" si="22"/>
        <v>1404000</v>
      </c>
      <c r="U69" s="233">
        <f t="shared" si="20"/>
        <v>1872000</v>
      </c>
      <c r="V69" s="497"/>
      <c r="W69" s="497"/>
      <c r="X69" s="497"/>
      <c r="Y69" s="235">
        <f t="shared" si="14"/>
        <v>0</v>
      </c>
      <c r="Z69" s="233">
        <f t="shared" si="15"/>
        <v>0</v>
      </c>
      <c r="AA69" s="233">
        <f t="shared" si="16"/>
        <v>0</v>
      </c>
      <c r="AB69" s="234">
        <f t="shared" si="17"/>
        <v>0</v>
      </c>
      <c r="AC69" s="227"/>
      <c r="AD69" s="225"/>
      <c r="AE69" s="225"/>
      <c r="AF69" s="227"/>
      <c r="AG69" s="225"/>
      <c r="AH69" s="225"/>
      <c r="AI69" s="225"/>
      <c r="AJ69" s="225"/>
      <c r="AK69" s="225"/>
      <c r="AL69" s="227"/>
      <c r="AM69" s="225"/>
      <c r="AN69" s="225"/>
      <c r="AO69" s="225"/>
      <c r="AP69" s="225"/>
      <c r="AQ69" s="226"/>
      <c r="AR69" s="227"/>
      <c r="AS69" s="225"/>
      <c r="AT69" s="225"/>
      <c r="AU69" s="225"/>
      <c r="AV69" s="225"/>
      <c r="AW69" s="226"/>
    </row>
    <row r="70" spans="2:49" s="14" customFormat="1" ht="25.5" customHeight="1" thickBot="1" x14ac:dyDescent="0.25">
      <c r="B70" s="139"/>
      <c r="C70" s="328"/>
      <c r="D70" s="45"/>
      <c r="E70" s="377"/>
      <c r="F70" s="46"/>
      <c r="G70" s="329"/>
      <c r="H70" s="482"/>
      <c r="I70" s="271"/>
      <c r="J70" s="489"/>
      <c r="K70" s="329"/>
      <c r="L70" s="281"/>
      <c r="M70" s="355"/>
      <c r="N70" s="271"/>
      <c r="O70" s="35"/>
      <c r="P70" s="490"/>
      <c r="Q70" s="490">
        <f t="shared" si="19"/>
        <v>0</v>
      </c>
      <c r="R70" s="386"/>
      <c r="S70" s="233">
        <f>+R70*0.65</f>
        <v>0</v>
      </c>
      <c r="T70" s="233">
        <f>(IF($O$14="Pequeña",R70*0.2,(IF($O$14="Mediana",R70*0.15,(IF($O$14="Grande",R70*0.15,0))))))</f>
        <v>0</v>
      </c>
      <c r="U70" s="233">
        <f>(IF($O$14="Pequeña",R70*0.2,(IF($O$14="Mediana",R70*0.15,(IF($O$14="Grande",R70*0.15,0))))))</f>
        <v>0</v>
      </c>
      <c r="V70" s="497"/>
      <c r="W70" s="497"/>
      <c r="X70" s="497"/>
      <c r="Y70" s="235">
        <f t="shared" si="14"/>
        <v>0</v>
      </c>
      <c r="Z70" s="233">
        <f t="shared" si="15"/>
        <v>0</v>
      </c>
      <c r="AA70" s="233">
        <f t="shared" si="16"/>
        <v>0</v>
      </c>
      <c r="AB70" s="234">
        <f t="shared" si="17"/>
        <v>0</v>
      </c>
      <c r="AC70" s="227"/>
      <c r="AD70" s="225"/>
      <c r="AE70" s="225"/>
      <c r="AF70" s="227"/>
      <c r="AG70" s="225"/>
      <c r="AH70" s="225"/>
      <c r="AI70" s="225"/>
      <c r="AJ70" s="225"/>
      <c r="AK70" s="225"/>
      <c r="AL70" s="227"/>
      <c r="AM70" s="225"/>
      <c r="AN70" s="225"/>
      <c r="AO70" s="225"/>
      <c r="AP70" s="225"/>
      <c r="AQ70" s="226"/>
      <c r="AR70" s="227"/>
      <c r="AS70" s="225"/>
      <c r="AT70" s="225"/>
      <c r="AU70" s="225"/>
      <c r="AV70" s="225"/>
      <c r="AW70" s="226"/>
    </row>
    <row r="71" spans="2:49" s="4" customFormat="1" ht="15.75" thickBot="1" x14ac:dyDescent="0.3">
      <c r="B71" s="11"/>
      <c r="C71" s="48"/>
      <c r="D71" s="48"/>
      <c r="E71" s="378"/>
      <c r="F71" s="47"/>
      <c r="G71" s="47"/>
      <c r="H71" s="483">
        <f>SUM(H14:H70)</f>
        <v>3815</v>
      </c>
      <c r="I71" s="476"/>
      <c r="J71" s="47"/>
      <c r="K71" s="48"/>
      <c r="L71" s="48"/>
      <c r="M71" s="356"/>
      <c r="N71" s="476"/>
      <c r="O71" s="47"/>
      <c r="P71" s="387"/>
      <c r="Q71" s="387"/>
      <c r="R71" s="49">
        <f t="shared" ref="R71:AB71" si="25">SUM(R14:R70)</f>
        <v>667120000</v>
      </c>
      <c r="S71" s="49">
        <f>SUM(S14:S70)</f>
        <v>433628000</v>
      </c>
      <c r="T71" s="49">
        <f t="shared" si="25"/>
        <v>115421000</v>
      </c>
      <c r="U71" s="49">
        <f t="shared" si="25"/>
        <v>118071000</v>
      </c>
      <c r="V71" s="49"/>
      <c r="W71" s="49"/>
      <c r="X71" s="49"/>
      <c r="Y71" s="49">
        <f t="shared" si="25"/>
        <v>0</v>
      </c>
      <c r="Z71" s="49">
        <f t="shared" si="25"/>
        <v>0</v>
      </c>
      <c r="AA71" s="49">
        <f t="shared" si="25"/>
        <v>0</v>
      </c>
      <c r="AB71" s="49">
        <f t="shared" si="25"/>
        <v>0</v>
      </c>
      <c r="AC71" s="536"/>
      <c r="AD71" s="537"/>
      <c r="AE71" s="228">
        <f>SUM(AE14:AE70)</f>
        <v>0</v>
      </c>
      <c r="AF71" s="536"/>
      <c r="AG71" s="537"/>
      <c r="AH71" s="228">
        <f>SUM(AH14:AH70)</f>
        <v>0</v>
      </c>
      <c r="AI71" s="228"/>
      <c r="AJ71" s="228"/>
      <c r="AK71" s="228">
        <f>SUM(AK14:AK70)</f>
        <v>0</v>
      </c>
      <c r="AL71" s="536"/>
      <c r="AM71" s="537"/>
      <c r="AN71" s="228">
        <f>SUM(AN14:AN70)</f>
        <v>0</v>
      </c>
      <c r="AO71" s="264"/>
      <c r="AP71" s="264"/>
      <c r="AQ71" s="229">
        <f>SUM(AQ14:AQ70)</f>
        <v>0</v>
      </c>
      <c r="AR71" s="536"/>
      <c r="AS71" s="537"/>
      <c r="AT71" s="228">
        <f>SUM(AT14:AT70)</f>
        <v>0</v>
      </c>
      <c r="AU71" s="264"/>
      <c r="AV71" s="264"/>
      <c r="AW71" s="229">
        <f>SUM(AW14:AW70)</f>
        <v>0</v>
      </c>
    </row>
    <row r="72" spans="2:49" s="56" customFormat="1" x14ac:dyDescent="0.25">
      <c r="C72" s="55"/>
      <c r="D72" s="54"/>
      <c r="E72" s="379"/>
      <c r="F72" s="55"/>
      <c r="G72" s="55"/>
      <c r="H72" s="484">
        <f>AVERAGE(H5:H70)</f>
        <v>68.125</v>
      </c>
      <c r="I72" s="477"/>
      <c r="J72" s="55"/>
      <c r="K72" s="54"/>
      <c r="L72" s="54"/>
      <c r="M72" s="357"/>
      <c r="N72" s="477"/>
      <c r="O72" s="54"/>
      <c r="P72" s="55"/>
      <c r="Q72" s="55"/>
      <c r="R72" s="55"/>
      <c r="S72" s="55"/>
      <c r="T72" s="55"/>
      <c r="U72" s="55"/>
      <c r="V72" s="55"/>
      <c r="W72" s="55"/>
      <c r="X72" s="55"/>
      <c r="Y72" s="54"/>
      <c r="Z72" s="54"/>
      <c r="AA72" s="132"/>
      <c r="AB72" s="133"/>
      <c r="AC72" s="230"/>
      <c r="AD72" s="230"/>
      <c r="AE72" s="230"/>
      <c r="AF72" s="230"/>
      <c r="AG72" s="230"/>
      <c r="AH72" s="230"/>
      <c r="AI72" s="230"/>
      <c r="AJ72" s="230"/>
      <c r="AK72" s="230"/>
      <c r="AL72" s="230"/>
      <c r="AM72" s="230"/>
      <c r="AN72" s="230"/>
      <c r="AO72" s="230"/>
      <c r="AP72" s="230"/>
      <c r="AQ72" s="230"/>
    </row>
    <row r="73" spans="2:49" s="4" customFormat="1" x14ac:dyDescent="0.25">
      <c r="C73" s="73" t="s">
        <v>161</v>
      </c>
      <c r="D73" s="36"/>
      <c r="E73" s="149"/>
      <c r="F73" s="36"/>
      <c r="G73" s="26"/>
      <c r="H73" s="334"/>
      <c r="I73" s="478"/>
      <c r="J73" s="36"/>
      <c r="K73" s="36"/>
      <c r="L73" s="26"/>
      <c r="M73" s="358"/>
      <c r="N73" s="478"/>
      <c r="O73" s="26"/>
      <c r="P73" s="26"/>
      <c r="Q73" s="55"/>
      <c r="R73" s="55"/>
      <c r="S73" s="26"/>
      <c r="T73" s="26"/>
      <c r="U73" s="26"/>
      <c r="V73" s="26"/>
      <c r="W73" s="26"/>
      <c r="X73" s="26"/>
      <c r="Y73" s="36"/>
      <c r="Z73" s="26"/>
      <c r="AC73" s="231"/>
      <c r="AD73" s="231"/>
      <c r="AE73" s="231"/>
      <c r="AF73" s="231"/>
      <c r="AG73" s="231"/>
      <c r="AH73" s="231"/>
      <c r="AI73" s="231"/>
      <c r="AJ73" s="231"/>
      <c r="AK73" s="231"/>
      <c r="AL73" s="231"/>
      <c r="AM73" s="231"/>
      <c r="AN73" s="231"/>
      <c r="AO73" s="231"/>
      <c r="AP73" s="231"/>
    </row>
    <row r="74" spans="2:49" x14ac:dyDescent="0.25">
      <c r="C74" s="272" t="s">
        <v>162</v>
      </c>
      <c r="D74" s="273"/>
      <c r="E74" s="380"/>
      <c r="F74" s="276"/>
      <c r="O74" s="61"/>
      <c r="P74" s="61"/>
      <c r="Q74" s="55"/>
      <c r="R74" s="55"/>
      <c r="S74" s="83"/>
      <c r="T74" s="61"/>
      <c r="U74" s="61"/>
      <c r="V74" s="61"/>
      <c r="W74" s="61"/>
      <c r="X74" s="61"/>
      <c r="Y74" s="61"/>
      <c r="Z74" s="61"/>
    </row>
    <row r="75" spans="2:49" x14ac:dyDescent="0.25">
      <c r="C75" s="276"/>
      <c r="D75" s="276"/>
      <c r="E75" s="381"/>
      <c r="F75" s="276"/>
      <c r="Y75" s="61"/>
      <c r="Z75" s="61"/>
    </row>
    <row r="76" spans="2:49" x14ac:dyDescent="0.25">
      <c r="C76" s="277" t="s">
        <v>163</v>
      </c>
      <c r="D76" s="273"/>
      <c r="E76" s="380"/>
      <c r="F76" s="273"/>
      <c r="Y76" s="61"/>
      <c r="Z76" s="61"/>
    </row>
    <row r="77" spans="2:49" x14ac:dyDescent="0.25">
      <c r="C77" s="277"/>
      <c r="D77" s="273"/>
      <c r="E77" s="382" t="s">
        <v>105</v>
      </c>
      <c r="F77" s="273" t="s">
        <v>164</v>
      </c>
      <c r="Y77" s="61"/>
      <c r="Z77" s="61"/>
    </row>
    <row r="78" spans="2:49" x14ac:dyDescent="0.25">
      <c r="C78" s="274"/>
      <c r="D78" s="278" t="s">
        <v>165</v>
      </c>
      <c r="E78" s="383">
        <v>0.2</v>
      </c>
      <c r="F78" s="279">
        <v>0.15</v>
      </c>
    </row>
    <row r="79" spans="2:49" x14ac:dyDescent="0.25">
      <c r="C79" s="273"/>
      <c r="D79" s="273" t="s">
        <v>166</v>
      </c>
      <c r="E79" s="383">
        <v>0.15</v>
      </c>
      <c r="F79" s="279">
        <v>0.2</v>
      </c>
    </row>
    <row r="80" spans="2:49" x14ac:dyDescent="0.25">
      <c r="C80" s="276"/>
      <c r="D80" s="276"/>
      <c r="E80" s="381"/>
      <c r="F80" s="276"/>
    </row>
    <row r="81" spans="3:6" x14ac:dyDescent="0.25">
      <c r="C81" s="273" t="s">
        <v>167</v>
      </c>
      <c r="D81" s="280">
        <f>180000*80</f>
        <v>14400000</v>
      </c>
      <c r="E81" s="381"/>
      <c r="F81" s="276"/>
    </row>
    <row r="82" spans="3:6" x14ac:dyDescent="0.25">
      <c r="C82" s="273" t="s">
        <v>168</v>
      </c>
      <c r="D82" s="280">
        <v>80000</v>
      </c>
      <c r="E82" s="381"/>
      <c r="F82" s="276"/>
    </row>
    <row r="84" spans="3:6" ht="45" x14ac:dyDescent="0.25">
      <c r="C84" s="373" t="s">
        <v>348</v>
      </c>
      <c r="D84" s="374" t="s">
        <v>349</v>
      </c>
    </row>
    <row r="141" spans="3:10" x14ac:dyDescent="0.25">
      <c r="C141" s="69" t="s">
        <v>394</v>
      </c>
      <c r="H141" s="78" t="s">
        <v>395</v>
      </c>
    </row>
    <row r="142" spans="3:10" ht="15.75" thickBot="1" x14ac:dyDescent="0.3"/>
    <row r="143" spans="3:10" ht="30.75" thickBot="1" x14ac:dyDescent="0.3">
      <c r="C143" s="402" t="s">
        <v>118</v>
      </c>
      <c r="D143" s="405" t="s">
        <v>352</v>
      </c>
      <c r="E143" s="407" t="s">
        <v>353</v>
      </c>
      <c r="H143" s="485" t="s">
        <v>358</v>
      </c>
      <c r="I143" s="487" t="s">
        <v>359</v>
      </c>
      <c r="J143" s="66" t="s">
        <v>352</v>
      </c>
    </row>
    <row r="144" spans="3:10" x14ac:dyDescent="0.25">
      <c r="C144" s="403" t="s">
        <v>136</v>
      </c>
      <c r="D144" s="406">
        <f ca="1">SUMIF($C$14:$C$133,C144,$H$14:$H$69)</f>
        <v>0</v>
      </c>
      <c r="E144" s="406"/>
      <c r="H144" s="485" t="s">
        <v>360</v>
      </c>
      <c r="I144" s="486">
        <v>5</v>
      </c>
      <c r="J144" s="69">
        <v>281</v>
      </c>
    </row>
    <row r="145" spans="3:10" x14ac:dyDescent="0.25">
      <c r="C145" s="403" t="s">
        <v>138</v>
      </c>
      <c r="D145" s="406">
        <f t="shared" ref="D145:D156" ca="1" si="26">SUMIF($C$14:$C$133,C145,$H$14:$H$69)</f>
        <v>0</v>
      </c>
      <c r="E145" s="406"/>
      <c r="H145" s="485" t="s">
        <v>361</v>
      </c>
      <c r="I145" s="486">
        <v>20</v>
      </c>
      <c r="J145" s="69">
        <v>1077</v>
      </c>
    </row>
    <row r="146" spans="3:10" x14ac:dyDescent="0.25">
      <c r="C146" s="403" t="s">
        <v>140</v>
      </c>
      <c r="D146" s="406">
        <f t="shared" ca="1" si="26"/>
        <v>0</v>
      </c>
      <c r="E146" s="406"/>
      <c r="H146" s="485" t="s">
        <v>148</v>
      </c>
      <c r="I146" s="486">
        <v>12</v>
      </c>
      <c r="J146" s="69">
        <v>542</v>
      </c>
    </row>
    <row r="147" spans="3:10" x14ac:dyDescent="0.25">
      <c r="C147" s="403" t="s">
        <v>142</v>
      </c>
      <c r="D147" s="406">
        <f t="shared" ca="1" si="26"/>
        <v>0</v>
      </c>
      <c r="E147" s="406"/>
      <c r="H147" s="485" t="s">
        <v>362</v>
      </c>
      <c r="I147" s="486">
        <v>5</v>
      </c>
      <c r="J147" s="69">
        <v>267</v>
      </c>
    </row>
    <row r="148" spans="3:10" x14ac:dyDescent="0.25">
      <c r="C148" s="403" t="s">
        <v>144</v>
      </c>
      <c r="D148" s="406">
        <f t="shared" ca="1" si="26"/>
        <v>0</v>
      </c>
      <c r="E148" s="406"/>
      <c r="H148" s="485" t="s">
        <v>363</v>
      </c>
      <c r="I148" s="486">
        <v>10</v>
      </c>
      <c r="J148" s="69">
        <v>498</v>
      </c>
    </row>
    <row r="149" spans="3:10" x14ac:dyDescent="0.25">
      <c r="C149" s="404" t="s">
        <v>146</v>
      </c>
      <c r="D149" s="406">
        <f t="shared" ca="1" si="26"/>
        <v>0</v>
      </c>
      <c r="E149" s="406">
        <v>800</v>
      </c>
      <c r="G149" s="461"/>
      <c r="H149" s="485" t="s">
        <v>364</v>
      </c>
      <c r="I149" s="486">
        <v>6</v>
      </c>
      <c r="J149" s="69">
        <v>266</v>
      </c>
    </row>
    <row r="150" spans="3:10" x14ac:dyDescent="0.25">
      <c r="C150" s="404" t="s">
        <v>148</v>
      </c>
      <c r="D150" s="406">
        <f t="shared" ca="1" si="26"/>
        <v>0</v>
      </c>
      <c r="E150" s="406">
        <v>2925</v>
      </c>
      <c r="G150" s="461"/>
      <c r="H150" s="485" t="s">
        <v>365</v>
      </c>
      <c r="I150" s="486">
        <v>4</v>
      </c>
      <c r="J150" s="69">
        <v>230</v>
      </c>
    </row>
    <row r="151" spans="3:10" x14ac:dyDescent="0.25">
      <c r="C151" s="404" t="s">
        <v>149</v>
      </c>
      <c r="D151" s="406">
        <f t="shared" ca="1" si="26"/>
        <v>0</v>
      </c>
      <c r="E151" s="406"/>
      <c r="H151" s="485" t="s">
        <v>366</v>
      </c>
      <c r="I151" s="486">
        <v>3</v>
      </c>
      <c r="J151" s="69">
        <v>145</v>
      </c>
    </row>
    <row r="152" spans="3:10" x14ac:dyDescent="0.25">
      <c r="C152" s="404" t="s">
        <v>151</v>
      </c>
      <c r="D152" s="406">
        <f t="shared" ca="1" si="26"/>
        <v>0</v>
      </c>
      <c r="E152" s="406">
        <v>2160</v>
      </c>
      <c r="H152" s="485" t="s">
        <v>367</v>
      </c>
      <c r="I152" s="486">
        <v>6</v>
      </c>
      <c r="J152" s="69">
        <v>224</v>
      </c>
    </row>
    <row r="153" spans="3:10" x14ac:dyDescent="0.25">
      <c r="C153" s="404" t="s">
        <v>153</v>
      </c>
      <c r="D153" s="406">
        <f t="shared" ca="1" si="26"/>
        <v>0</v>
      </c>
      <c r="E153" s="406"/>
      <c r="H153" s="485" t="s">
        <v>368</v>
      </c>
      <c r="I153" s="486">
        <v>1</v>
      </c>
      <c r="J153" s="69">
        <v>48</v>
      </c>
    </row>
    <row r="154" spans="3:10" x14ac:dyDescent="0.25">
      <c r="C154" s="404" t="s">
        <v>155</v>
      </c>
      <c r="D154" s="406">
        <f t="shared" ca="1" si="26"/>
        <v>0</v>
      </c>
      <c r="E154" s="406"/>
      <c r="H154" s="485" t="s">
        <v>369</v>
      </c>
      <c r="I154" s="486">
        <v>5</v>
      </c>
      <c r="J154" s="69">
        <v>353</v>
      </c>
    </row>
    <row r="155" spans="3:10" x14ac:dyDescent="0.25">
      <c r="C155" s="404" t="s">
        <v>157</v>
      </c>
      <c r="D155" s="406">
        <f t="shared" ca="1" si="26"/>
        <v>0</v>
      </c>
      <c r="E155" s="406"/>
      <c r="H155" s="485" t="s">
        <v>370</v>
      </c>
      <c r="I155" s="486">
        <v>3</v>
      </c>
      <c r="J155" s="69">
        <v>202</v>
      </c>
    </row>
    <row r="156" spans="3:10" x14ac:dyDescent="0.25">
      <c r="C156" s="404" t="s">
        <v>159</v>
      </c>
      <c r="D156" s="406">
        <f t="shared" ca="1" si="26"/>
        <v>0</v>
      </c>
      <c r="E156" s="406"/>
      <c r="H156" s="485" t="s">
        <v>371</v>
      </c>
      <c r="I156" s="486">
        <v>2</v>
      </c>
      <c r="J156" s="69">
        <v>80</v>
      </c>
    </row>
    <row r="157" spans="3:10" x14ac:dyDescent="0.25">
      <c r="H157" s="485" t="s">
        <v>372</v>
      </c>
      <c r="I157" s="486">
        <v>4</v>
      </c>
      <c r="J157" s="69">
        <v>195</v>
      </c>
    </row>
    <row r="158" spans="3:10" x14ac:dyDescent="0.25">
      <c r="H158" s="485" t="s">
        <v>373</v>
      </c>
      <c r="I158" s="486">
        <v>5</v>
      </c>
      <c r="J158" s="69">
        <v>193</v>
      </c>
    </row>
    <row r="159" spans="3:10" x14ac:dyDescent="0.25">
      <c r="H159" s="485" t="s">
        <v>374</v>
      </c>
      <c r="I159" s="486">
        <v>3</v>
      </c>
      <c r="J159" s="69">
        <v>80</v>
      </c>
    </row>
    <row r="160" spans="3:10" x14ac:dyDescent="0.25">
      <c r="H160" s="485" t="s">
        <v>375</v>
      </c>
      <c r="I160" s="486">
        <v>1</v>
      </c>
      <c r="J160" s="69">
        <v>50</v>
      </c>
    </row>
    <row r="161" spans="8:10" x14ac:dyDescent="0.25">
      <c r="H161" s="485" t="s">
        <v>376</v>
      </c>
      <c r="I161" s="486">
        <v>2</v>
      </c>
      <c r="J161" s="69">
        <v>60</v>
      </c>
    </row>
    <row r="162" spans="8:10" x14ac:dyDescent="0.25">
      <c r="H162" s="485" t="s">
        <v>377</v>
      </c>
      <c r="I162" s="486">
        <v>1</v>
      </c>
      <c r="J162" s="69">
        <v>64</v>
      </c>
    </row>
    <row r="163" spans="8:10" x14ac:dyDescent="0.25">
      <c r="H163" s="485" t="s">
        <v>378</v>
      </c>
      <c r="I163" s="486">
        <v>1</v>
      </c>
      <c r="J163" s="69">
        <v>52</v>
      </c>
    </row>
    <row r="164" spans="8:10" x14ac:dyDescent="0.25">
      <c r="H164" s="485" t="s">
        <v>379</v>
      </c>
      <c r="I164" s="486">
        <v>1</v>
      </c>
      <c r="J164" s="69">
        <v>64</v>
      </c>
    </row>
    <row r="165" spans="8:10" x14ac:dyDescent="0.25">
      <c r="H165" s="485" t="s">
        <v>380</v>
      </c>
      <c r="I165" s="486">
        <v>1</v>
      </c>
      <c r="J165" s="69">
        <v>70</v>
      </c>
    </row>
    <row r="166" spans="8:10" x14ac:dyDescent="0.25">
      <c r="H166" s="485" t="s">
        <v>381</v>
      </c>
      <c r="I166" s="486">
        <v>1</v>
      </c>
      <c r="J166" s="69">
        <v>80</v>
      </c>
    </row>
    <row r="167" spans="8:10" x14ac:dyDescent="0.25">
      <c r="H167" s="485" t="s">
        <v>159</v>
      </c>
      <c r="I167" s="486">
        <v>2</v>
      </c>
      <c r="J167" s="69">
        <v>128</v>
      </c>
    </row>
    <row r="168" spans="8:10" x14ac:dyDescent="0.25">
      <c r="H168" s="485" t="s">
        <v>382</v>
      </c>
      <c r="I168" s="486">
        <v>1</v>
      </c>
      <c r="J168" s="69">
        <v>80</v>
      </c>
    </row>
    <row r="169" spans="8:10" x14ac:dyDescent="0.25">
      <c r="H169" s="485" t="s">
        <v>383</v>
      </c>
      <c r="I169" s="486">
        <v>1</v>
      </c>
      <c r="J169" s="69">
        <v>0</v>
      </c>
    </row>
    <row r="170" spans="8:10" x14ac:dyDescent="0.25">
      <c r="H170" s="485" t="s">
        <v>384</v>
      </c>
      <c r="I170" s="486">
        <v>1</v>
      </c>
      <c r="J170" s="69">
        <v>50</v>
      </c>
    </row>
    <row r="171" spans="8:10" x14ac:dyDescent="0.25">
      <c r="H171" s="485" t="s">
        <v>385</v>
      </c>
      <c r="I171" s="486">
        <v>2</v>
      </c>
      <c r="J171" s="69">
        <v>65</v>
      </c>
    </row>
    <row r="172" spans="8:10" x14ac:dyDescent="0.25">
      <c r="H172" s="485" t="s">
        <v>386</v>
      </c>
      <c r="I172" s="486">
        <v>3</v>
      </c>
      <c r="J172" s="69">
        <v>145</v>
      </c>
    </row>
    <row r="173" spans="8:10" x14ac:dyDescent="0.25">
      <c r="H173" s="485" t="s">
        <v>387</v>
      </c>
      <c r="I173" s="486">
        <v>1</v>
      </c>
      <c r="J173" s="69">
        <v>0</v>
      </c>
    </row>
    <row r="174" spans="8:10" x14ac:dyDescent="0.25">
      <c r="H174" s="485" t="s">
        <v>388</v>
      </c>
      <c r="I174" s="486">
        <v>1</v>
      </c>
      <c r="J174" s="69">
        <v>50</v>
      </c>
    </row>
    <row r="175" spans="8:10" x14ac:dyDescent="0.25">
      <c r="H175" s="485" t="s">
        <v>389</v>
      </c>
      <c r="I175" s="486">
        <v>1</v>
      </c>
      <c r="J175" s="69">
        <v>80</v>
      </c>
    </row>
    <row r="176" spans="8:10" x14ac:dyDescent="0.25">
      <c r="H176" s="485" t="s">
        <v>390</v>
      </c>
      <c r="I176" s="486">
        <v>1</v>
      </c>
      <c r="J176" s="69">
        <v>0</v>
      </c>
    </row>
    <row r="177" spans="8:10" x14ac:dyDescent="0.25">
      <c r="H177" s="485" t="s">
        <v>391</v>
      </c>
      <c r="I177" s="486">
        <v>1</v>
      </c>
      <c r="J177" s="69">
        <v>0</v>
      </c>
    </row>
    <row r="178" spans="8:10" x14ac:dyDescent="0.25">
      <c r="H178" s="485" t="s">
        <v>392</v>
      </c>
      <c r="I178" s="486">
        <v>1</v>
      </c>
      <c r="J178" s="69">
        <v>0</v>
      </c>
    </row>
    <row r="179" spans="8:10" x14ac:dyDescent="0.25">
      <c r="H179" s="485" t="s">
        <v>393</v>
      </c>
      <c r="I179" s="486">
        <v>1</v>
      </c>
      <c r="J179" s="69">
        <v>0</v>
      </c>
    </row>
    <row r="180" spans="8:10" x14ac:dyDescent="0.25">
      <c r="H180" s="485">
        <v>36</v>
      </c>
      <c r="I180" s="486">
        <v>119</v>
      </c>
      <c r="J180" s="69">
        <v>5719</v>
      </c>
    </row>
  </sheetData>
  <autoFilter ref="B13:DE74" xr:uid="{35F3D49F-B7C8-44E5-A0DB-B27A21089DE6}"/>
  <mergeCells count="14">
    <mergeCell ref="AR12:AW12"/>
    <mergeCell ref="AR71:AS71"/>
    <mergeCell ref="AC11:AW11"/>
    <mergeCell ref="C4:AD4"/>
    <mergeCell ref="AF71:AG71"/>
    <mergeCell ref="AL71:AM71"/>
    <mergeCell ref="Y12:AB12"/>
    <mergeCell ref="AC12:AE12"/>
    <mergeCell ref="AL12:AQ12"/>
    <mergeCell ref="AF12:AK12"/>
    <mergeCell ref="AC71:AD71"/>
    <mergeCell ref="S12:T12"/>
    <mergeCell ref="B9:C9"/>
    <mergeCell ref="B10:C10"/>
  </mergeCells>
  <dataValidations count="6">
    <dataValidation type="whole" allowBlank="1" showInputMessage="1" showErrorMessage="1" error="El valor máximo por intervención es de $14,400,000 para 80H_x000a_" sqref="R29 R41:R51 R63:R66 R24 R26:R27 R70" xr:uid="{46BFBB7C-EECF-4B8F-A1AB-F41915BA3A05}">
      <formula1>0</formula1>
      <formula2>$R$9</formula2>
    </dataValidation>
    <dataValidation type="whole" allowBlank="1" showInputMessage="1" showErrorMessage="1" error="El valor máximo por intervención es de $14,400,000 para 80H_x000a_" sqref="R30:R40 R14:R18 R20:R23" xr:uid="{A7F16F2F-00C3-40BB-98B4-C26F82AF0DF8}">
      <formula1>0</formula1>
      <formula2>$P$9</formula2>
    </dataValidation>
    <dataValidation type="list" allowBlank="1" showInputMessage="1" showErrorMessage="1" sqref="O14:O70" xr:uid="{53E81653-84C6-4F39-A3A8-D30067E97823}">
      <formula1>AZ$1:AZ$3</formula1>
    </dataValidation>
    <dataValidation type="whole" allowBlank="1" showInputMessage="1" showErrorMessage="1" error="El valor máximo por hora de intervención son $180,000" sqref="J14:J70" xr:uid="{6F65C103-64B8-42D7-B0A7-24B5F99221F9}">
      <formula1>0</formula1>
      <formula2>180000</formula2>
    </dataValidation>
    <dataValidation type="whole" allowBlank="1" showInputMessage="1" showErrorMessage="1" error="Número máximo de horas por intervención 80Horas" sqref="H14:H70" xr:uid="{78C91CF6-3647-48D8-BFAD-DD061DECC1FC}">
      <formula1>0</formula1>
      <formula2>80</formula2>
    </dataValidation>
    <dataValidation allowBlank="1" showErrorMessage="1" sqref="M65:M66" xr:uid="{9438FDE2-84D7-40A7-AE54-B1689A119B26}"/>
  </dataValidations>
  <pageMargins left="0.7" right="0.7" top="0.75" bottom="0.75" header="0.3" footer="0.3"/>
  <pageSetup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39FD1-D356-4A6D-AEB2-95245B56092E}">
  <dimension ref="B1:Q131"/>
  <sheetViews>
    <sheetView zoomScale="96" zoomScaleNormal="96" workbookViewId="0"/>
  </sheetViews>
  <sheetFormatPr baseColWidth="10" defaultColWidth="11.42578125" defaultRowHeight="15" x14ac:dyDescent="0.25"/>
  <cols>
    <col min="1" max="1" width="3.28515625" style="61" customWidth="1"/>
    <col min="2" max="2" width="15.5703125" style="69" customWidth="1"/>
    <col min="3" max="3" width="12.85546875" style="78" customWidth="1"/>
    <col min="4" max="4" width="36.28515625" style="61" customWidth="1"/>
    <col min="5" max="5" width="33.7109375" style="61" customWidth="1"/>
    <col min="6" max="6" width="14.5703125" style="61" customWidth="1"/>
    <col min="7" max="7" width="26.42578125" style="69" customWidth="1"/>
    <col min="8" max="8" width="20" style="61" customWidth="1"/>
    <col min="9" max="9" width="18.28515625" style="61" customWidth="1"/>
    <col min="10" max="10" width="21" style="61" customWidth="1"/>
    <col min="11" max="11" width="15.5703125" style="61" bestFit="1" customWidth="1"/>
    <col min="12" max="12" width="12.140625" style="61" hidden="1" customWidth="1"/>
    <col min="13" max="13" width="14.28515625" style="61" hidden="1" customWidth="1"/>
    <col min="14" max="16" width="12.140625" style="61" hidden="1" customWidth="1"/>
    <col min="17" max="17" width="12.85546875" style="61" bestFit="1" customWidth="1"/>
    <col min="18" max="16384" width="11.42578125" style="61"/>
  </cols>
  <sheetData>
    <row r="1" spans="2:11" x14ac:dyDescent="0.25">
      <c r="I1" s="2"/>
    </row>
    <row r="4" spans="2:11" ht="30" customHeight="1" x14ac:dyDescent="0.25">
      <c r="B4" s="523" t="s">
        <v>169</v>
      </c>
      <c r="C4" s="523"/>
      <c r="D4" s="523"/>
      <c r="E4" s="523"/>
      <c r="F4" s="523"/>
      <c r="G4" s="523"/>
      <c r="H4" s="523"/>
      <c r="I4" s="523"/>
      <c r="J4" s="523"/>
    </row>
    <row r="5" spans="2:11" ht="26.25" x14ac:dyDescent="0.3">
      <c r="B5" s="183" t="s">
        <v>170</v>
      </c>
      <c r="C5" s="338"/>
      <c r="D5" s="338"/>
      <c r="E5" s="338"/>
      <c r="F5" s="338"/>
      <c r="G5" s="338"/>
      <c r="H5" s="338"/>
      <c r="I5" s="338"/>
      <c r="J5" s="338"/>
    </row>
    <row r="6" spans="2:11" ht="14.25" customHeight="1" x14ac:dyDescent="0.25">
      <c r="B6" s="127" t="str">
        <f>+'GLOBAL CONVENIO'!B7</f>
        <v>Versión 4: 14/08/19</v>
      </c>
      <c r="C6" s="338"/>
      <c r="D6" s="338"/>
      <c r="E6" s="338"/>
      <c r="F6" s="338"/>
      <c r="G6" s="338"/>
      <c r="H6" s="338"/>
      <c r="I6" s="338"/>
      <c r="J6" s="338"/>
    </row>
    <row r="7" spans="2:11" ht="14.25" customHeight="1" x14ac:dyDescent="0.25">
      <c r="B7" s="338"/>
      <c r="C7" s="338"/>
      <c r="D7" s="338"/>
      <c r="E7" s="338"/>
      <c r="F7" s="338"/>
      <c r="G7" s="338"/>
      <c r="H7" s="338"/>
      <c r="I7" s="338"/>
      <c r="J7" s="338"/>
    </row>
    <row r="8" spans="2:11" ht="17.25" customHeight="1" x14ac:dyDescent="0.25">
      <c r="B8" s="546" t="str">
        <f>+'GLOBAL CONVENIO'!G10</f>
        <v>FECHA DE PRESENTACIÓN</v>
      </c>
      <c r="C8" s="546"/>
      <c r="D8" s="194">
        <f>+'GLOBAL CONVENIO'!I10</f>
        <v>43728</v>
      </c>
    </row>
    <row r="9" spans="2:11" ht="15.75" customHeight="1" x14ac:dyDescent="0.25">
      <c r="B9" s="546" t="str">
        <f>+'GLOBAL CONVENIO'!G11</f>
        <v>PERIODO DE REPORTE</v>
      </c>
      <c r="C9" s="546"/>
      <c r="D9" s="339" t="str">
        <f>+'GLOBAL CONVENIO'!I11</f>
        <v>AGOSTO</v>
      </c>
    </row>
    <row r="10" spans="2:11" ht="21.75" customHeight="1" x14ac:dyDescent="0.25">
      <c r="J10" s="102"/>
    </row>
    <row r="11" spans="2:11" s="8" customFormat="1" ht="42.75" customHeight="1" x14ac:dyDescent="0.25">
      <c r="B11" s="7" t="s">
        <v>350</v>
      </c>
      <c r="C11" s="7" t="s">
        <v>125</v>
      </c>
      <c r="D11" s="7" t="s">
        <v>171</v>
      </c>
      <c r="E11" s="7" t="s">
        <v>172</v>
      </c>
      <c r="F11" s="7" t="s">
        <v>23</v>
      </c>
      <c r="G11" s="7" t="s">
        <v>173</v>
      </c>
      <c r="H11" s="7" t="s">
        <v>120</v>
      </c>
      <c r="I11" s="7" t="s">
        <v>174</v>
      </c>
      <c r="J11" s="7" t="s">
        <v>175</v>
      </c>
      <c r="K11" s="7" t="s">
        <v>176</v>
      </c>
    </row>
    <row r="12" spans="2:11" s="17" customFormat="1" ht="12.75" x14ac:dyDescent="0.2">
      <c r="B12" s="72">
        <v>1</v>
      </c>
      <c r="C12" s="291" t="s">
        <v>404</v>
      </c>
      <c r="D12" s="290" t="s">
        <v>406</v>
      </c>
      <c r="E12" s="316" t="s">
        <v>177</v>
      </c>
      <c r="F12" s="162">
        <v>43617</v>
      </c>
      <c r="G12" s="16">
        <v>43646</v>
      </c>
      <c r="H12" s="103" t="s">
        <v>58</v>
      </c>
      <c r="I12" s="9" t="s">
        <v>58</v>
      </c>
      <c r="J12" s="317">
        <f>+K12</f>
        <v>74391.48</v>
      </c>
      <c r="K12" s="97">
        <v>74391.48</v>
      </c>
    </row>
    <row r="13" spans="2:11" s="14" customFormat="1" ht="12.75" x14ac:dyDescent="0.2">
      <c r="B13" s="72">
        <f>1+B12</f>
        <v>2</v>
      </c>
      <c r="C13" s="291" t="s">
        <v>404</v>
      </c>
      <c r="D13" s="290" t="s">
        <v>406</v>
      </c>
      <c r="E13" s="316" t="s">
        <v>178</v>
      </c>
      <c r="F13" s="162">
        <v>43647</v>
      </c>
      <c r="G13" s="16">
        <v>43677</v>
      </c>
      <c r="H13" s="103" t="s">
        <v>58</v>
      </c>
      <c r="I13" s="9" t="s">
        <v>58</v>
      </c>
      <c r="J13" s="318">
        <f>+K13</f>
        <v>104938.11</v>
      </c>
      <c r="K13" s="97">
        <v>104938.11</v>
      </c>
    </row>
    <row r="14" spans="2:11" s="14" customFormat="1" ht="12.75" x14ac:dyDescent="0.2">
      <c r="B14" s="72">
        <f t="shared" ref="B14:B41" si="0">1+B13</f>
        <v>3</v>
      </c>
      <c r="C14" s="12"/>
      <c r="D14" s="12"/>
      <c r="E14" s="23"/>
      <c r="F14" s="162"/>
      <c r="G14" s="16"/>
      <c r="H14" s="10"/>
      <c r="I14" s="10"/>
      <c r="J14" s="195"/>
      <c r="K14" s="13"/>
    </row>
    <row r="15" spans="2:11" s="14" customFormat="1" ht="12.75" x14ac:dyDescent="0.2">
      <c r="B15" s="72">
        <f t="shared" si="0"/>
        <v>4</v>
      </c>
      <c r="C15" s="12"/>
      <c r="D15" s="12"/>
      <c r="E15" s="23"/>
      <c r="F15" s="9"/>
      <c r="G15" s="16"/>
      <c r="H15" s="10"/>
      <c r="I15" s="10"/>
      <c r="J15" s="195"/>
      <c r="K15" s="13"/>
    </row>
    <row r="16" spans="2:11" s="14" customFormat="1" ht="12.75" x14ac:dyDescent="0.2">
      <c r="B16" s="72">
        <f t="shared" si="0"/>
        <v>5</v>
      </c>
      <c r="C16" s="12"/>
      <c r="D16" s="12"/>
      <c r="E16" s="23"/>
      <c r="F16" s="9"/>
      <c r="G16" s="16"/>
      <c r="H16" s="10"/>
      <c r="I16" s="10"/>
      <c r="J16" s="195"/>
      <c r="K16" s="13"/>
    </row>
    <row r="17" spans="2:11" s="14" customFormat="1" ht="12.75" x14ac:dyDescent="0.2">
      <c r="B17" s="72">
        <f t="shared" si="0"/>
        <v>6</v>
      </c>
      <c r="C17" s="12"/>
      <c r="D17" s="12"/>
      <c r="E17" s="23"/>
      <c r="F17" s="9"/>
      <c r="G17" s="16"/>
      <c r="H17" s="10"/>
      <c r="I17" s="10"/>
      <c r="J17" s="195"/>
      <c r="K17" s="13"/>
    </row>
    <row r="18" spans="2:11" s="14" customFormat="1" ht="12.75" x14ac:dyDescent="0.2">
      <c r="B18" s="72">
        <f t="shared" si="0"/>
        <v>7</v>
      </c>
      <c r="C18" s="12"/>
      <c r="D18" s="12"/>
      <c r="E18" s="23"/>
      <c r="F18" s="9"/>
      <c r="G18" s="16"/>
      <c r="H18" s="10"/>
      <c r="I18" s="10"/>
      <c r="J18" s="195"/>
      <c r="K18" s="13"/>
    </row>
    <row r="19" spans="2:11" s="14" customFormat="1" ht="12.75" x14ac:dyDescent="0.2">
      <c r="B19" s="72">
        <f t="shared" si="0"/>
        <v>8</v>
      </c>
      <c r="C19" s="12"/>
      <c r="D19" s="12"/>
      <c r="E19" s="23"/>
      <c r="F19" s="9"/>
      <c r="G19" s="16"/>
      <c r="H19" s="10"/>
      <c r="I19" s="10"/>
      <c r="J19" s="195"/>
      <c r="K19" s="13"/>
    </row>
    <row r="20" spans="2:11" s="14" customFormat="1" ht="12.75" x14ac:dyDescent="0.2">
      <c r="B20" s="72">
        <f t="shared" si="0"/>
        <v>9</v>
      </c>
      <c r="C20" s="12"/>
      <c r="D20" s="12"/>
      <c r="E20" s="23"/>
      <c r="F20" s="9"/>
      <c r="G20" s="16"/>
      <c r="H20" s="10"/>
      <c r="I20" s="10"/>
      <c r="J20" s="195"/>
      <c r="K20" s="13"/>
    </row>
    <row r="21" spans="2:11" s="14" customFormat="1" ht="12.75" x14ac:dyDescent="0.2">
      <c r="B21" s="72">
        <f t="shared" si="0"/>
        <v>10</v>
      </c>
      <c r="C21" s="12"/>
      <c r="D21" s="12"/>
      <c r="E21" s="23"/>
      <c r="F21" s="9"/>
      <c r="G21" s="16"/>
      <c r="H21" s="10"/>
      <c r="I21" s="10"/>
      <c r="J21" s="195"/>
      <c r="K21" s="13"/>
    </row>
    <row r="22" spans="2:11" s="14" customFormat="1" ht="12.75" x14ac:dyDescent="0.2">
      <c r="B22" s="72">
        <f t="shared" si="0"/>
        <v>11</v>
      </c>
      <c r="C22" s="12"/>
      <c r="D22" s="12"/>
      <c r="E22" s="23"/>
      <c r="F22" s="9"/>
      <c r="G22" s="16"/>
      <c r="H22" s="10"/>
      <c r="I22" s="10"/>
      <c r="J22" s="195"/>
      <c r="K22" s="13"/>
    </row>
    <row r="23" spans="2:11" s="14" customFormat="1" ht="12.75" x14ac:dyDescent="0.2">
      <c r="B23" s="72">
        <f t="shared" si="0"/>
        <v>12</v>
      </c>
      <c r="C23" s="12"/>
      <c r="D23" s="12"/>
      <c r="E23" s="23"/>
      <c r="F23" s="9"/>
      <c r="G23" s="16"/>
      <c r="H23" s="10"/>
      <c r="I23" s="10"/>
      <c r="J23" s="195"/>
      <c r="K23" s="13"/>
    </row>
    <row r="24" spans="2:11" s="14" customFormat="1" ht="12.75" x14ac:dyDescent="0.2">
      <c r="B24" s="72">
        <f t="shared" si="0"/>
        <v>13</v>
      </c>
      <c r="C24" s="12"/>
      <c r="D24" s="12"/>
      <c r="E24" s="23"/>
      <c r="F24" s="9"/>
      <c r="G24" s="16"/>
      <c r="H24" s="10"/>
      <c r="I24" s="10"/>
      <c r="J24" s="195"/>
      <c r="K24" s="13"/>
    </row>
    <row r="25" spans="2:11" s="14" customFormat="1" ht="12.75" x14ac:dyDescent="0.2">
      <c r="B25" s="72">
        <f t="shared" si="0"/>
        <v>14</v>
      </c>
      <c r="C25" s="12"/>
      <c r="D25" s="12"/>
      <c r="E25" s="23"/>
      <c r="F25" s="9"/>
      <c r="G25" s="16"/>
      <c r="H25" s="10"/>
      <c r="I25" s="10"/>
      <c r="J25" s="195"/>
      <c r="K25" s="13"/>
    </row>
    <row r="26" spans="2:11" s="14" customFormat="1" ht="12.75" x14ac:dyDescent="0.2">
      <c r="B26" s="72">
        <f t="shared" si="0"/>
        <v>15</v>
      </c>
      <c r="C26" s="12"/>
      <c r="D26" s="12"/>
      <c r="E26" s="23"/>
      <c r="F26" s="9"/>
      <c r="G26" s="16"/>
      <c r="H26" s="10"/>
      <c r="I26" s="10"/>
      <c r="J26" s="195"/>
      <c r="K26" s="13"/>
    </row>
    <row r="27" spans="2:11" s="14" customFormat="1" ht="12.75" x14ac:dyDescent="0.2">
      <c r="B27" s="72">
        <f t="shared" si="0"/>
        <v>16</v>
      </c>
      <c r="C27" s="12"/>
      <c r="D27" s="12"/>
      <c r="E27" s="23"/>
      <c r="F27" s="9"/>
      <c r="G27" s="16"/>
      <c r="H27" s="10"/>
      <c r="I27" s="10"/>
      <c r="J27" s="195"/>
      <c r="K27" s="13"/>
    </row>
    <row r="28" spans="2:11" s="14" customFormat="1" ht="12.75" x14ac:dyDescent="0.2">
      <c r="B28" s="72">
        <f t="shared" si="0"/>
        <v>17</v>
      </c>
      <c r="C28" s="12"/>
      <c r="D28" s="12"/>
      <c r="E28" s="23"/>
      <c r="F28" s="9"/>
      <c r="G28" s="16"/>
      <c r="H28" s="10"/>
      <c r="I28" s="10"/>
      <c r="J28" s="195"/>
      <c r="K28" s="13"/>
    </row>
    <row r="29" spans="2:11" s="14" customFormat="1" ht="12.75" x14ac:dyDescent="0.2">
      <c r="B29" s="72">
        <f t="shared" si="0"/>
        <v>18</v>
      </c>
      <c r="C29" s="12"/>
      <c r="D29" s="12"/>
      <c r="E29" s="23"/>
      <c r="F29" s="9"/>
      <c r="G29" s="16"/>
      <c r="H29" s="10"/>
      <c r="I29" s="10"/>
      <c r="J29" s="195"/>
      <c r="K29" s="13"/>
    </row>
    <row r="30" spans="2:11" s="14" customFormat="1" ht="12.75" x14ac:dyDescent="0.2">
      <c r="B30" s="72">
        <f t="shared" si="0"/>
        <v>19</v>
      </c>
      <c r="C30" s="12"/>
      <c r="D30" s="12"/>
      <c r="E30" s="23"/>
      <c r="F30" s="9"/>
      <c r="G30" s="16"/>
      <c r="H30" s="10"/>
      <c r="I30" s="10"/>
      <c r="J30" s="195"/>
      <c r="K30" s="13"/>
    </row>
    <row r="31" spans="2:11" s="14" customFormat="1" ht="12.75" x14ac:dyDescent="0.2">
      <c r="B31" s="72">
        <f t="shared" si="0"/>
        <v>20</v>
      </c>
      <c r="C31" s="12"/>
      <c r="D31" s="12"/>
      <c r="E31" s="23"/>
      <c r="F31" s="9"/>
      <c r="G31" s="16"/>
      <c r="H31" s="10"/>
      <c r="I31" s="10"/>
      <c r="J31" s="195"/>
      <c r="K31" s="13"/>
    </row>
    <row r="32" spans="2:11" s="14" customFormat="1" ht="12.75" x14ac:dyDescent="0.2">
      <c r="B32" s="72">
        <f t="shared" si="0"/>
        <v>21</v>
      </c>
      <c r="C32" s="12"/>
      <c r="D32" s="12"/>
      <c r="E32" s="23"/>
      <c r="F32" s="9"/>
      <c r="G32" s="16"/>
      <c r="H32" s="10"/>
      <c r="I32" s="10"/>
      <c r="J32" s="195"/>
      <c r="K32" s="13"/>
    </row>
    <row r="33" spans="2:11" s="14" customFormat="1" ht="12.75" x14ac:dyDescent="0.2">
      <c r="B33" s="72">
        <f t="shared" si="0"/>
        <v>22</v>
      </c>
      <c r="C33" s="12"/>
      <c r="D33" s="12"/>
      <c r="E33" s="23"/>
      <c r="F33" s="9"/>
      <c r="G33" s="16"/>
      <c r="H33" s="10"/>
      <c r="I33" s="10"/>
      <c r="J33" s="195"/>
      <c r="K33" s="13"/>
    </row>
    <row r="34" spans="2:11" s="14" customFormat="1" ht="12.75" x14ac:dyDescent="0.2">
      <c r="B34" s="72">
        <f t="shared" si="0"/>
        <v>23</v>
      </c>
      <c r="C34" s="12"/>
      <c r="D34" s="12"/>
      <c r="E34" s="23"/>
      <c r="F34" s="9"/>
      <c r="G34" s="16"/>
      <c r="H34" s="10"/>
      <c r="I34" s="10"/>
      <c r="J34" s="195"/>
      <c r="K34" s="13"/>
    </row>
    <row r="35" spans="2:11" s="14" customFormat="1" ht="12.75" x14ac:dyDescent="0.2">
      <c r="B35" s="72">
        <f t="shared" si="0"/>
        <v>24</v>
      </c>
      <c r="C35" s="12"/>
      <c r="D35" s="12"/>
      <c r="E35" s="23"/>
      <c r="F35" s="9"/>
      <c r="G35" s="16"/>
      <c r="H35" s="10"/>
      <c r="I35" s="10"/>
      <c r="J35" s="195"/>
      <c r="K35" s="13"/>
    </row>
    <row r="36" spans="2:11" s="14" customFormat="1" ht="12.75" x14ac:dyDescent="0.2">
      <c r="B36" s="72">
        <f t="shared" si="0"/>
        <v>25</v>
      </c>
      <c r="C36" s="12"/>
      <c r="D36" s="12"/>
      <c r="E36" s="23"/>
      <c r="F36" s="9"/>
      <c r="G36" s="16"/>
      <c r="H36" s="10"/>
      <c r="I36" s="10"/>
      <c r="J36" s="195"/>
      <c r="K36" s="13"/>
    </row>
    <row r="37" spans="2:11" s="14" customFormat="1" ht="12.75" x14ac:dyDescent="0.2">
      <c r="B37" s="72">
        <f t="shared" si="0"/>
        <v>26</v>
      </c>
      <c r="C37" s="12"/>
      <c r="D37" s="12"/>
      <c r="E37" s="23"/>
      <c r="F37" s="9"/>
      <c r="G37" s="16"/>
      <c r="H37" s="10"/>
      <c r="I37" s="10"/>
      <c r="J37" s="195"/>
      <c r="K37" s="13"/>
    </row>
    <row r="38" spans="2:11" s="14" customFormat="1" ht="12.75" x14ac:dyDescent="0.2">
      <c r="B38" s="72">
        <f t="shared" si="0"/>
        <v>27</v>
      </c>
      <c r="C38" s="12"/>
      <c r="D38" s="12"/>
      <c r="E38" s="23"/>
      <c r="F38" s="9"/>
      <c r="G38" s="16"/>
      <c r="H38" s="10"/>
      <c r="I38" s="10"/>
      <c r="J38" s="195"/>
      <c r="K38" s="13"/>
    </row>
    <row r="39" spans="2:11" s="14" customFormat="1" ht="12.75" x14ac:dyDescent="0.2">
      <c r="B39" s="72">
        <f t="shared" si="0"/>
        <v>28</v>
      </c>
      <c r="C39" s="12"/>
      <c r="D39" s="12"/>
      <c r="E39" s="23"/>
      <c r="F39" s="9"/>
      <c r="G39" s="16"/>
      <c r="H39" s="10"/>
      <c r="I39" s="10"/>
      <c r="J39" s="195"/>
      <c r="K39" s="13"/>
    </row>
    <row r="40" spans="2:11" s="14" customFormat="1" ht="12.75" x14ac:dyDescent="0.2">
      <c r="B40" s="72">
        <f t="shared" si="0"/>
        <v>29</v>
      </c>
      <c r="C40" s="12"/>
      <c r="D40" s="12"/>
      <c r="E40" s="23"/>
      <c r="F40" s="9"/>
      <c r="G40" s="16"/>
      <c r="H40" s="10"/>
      <c r="I40" s="10"/>
      <c r="J40" s="195"/>
      <c r="K40" s="13"/>
    </row>
    <row r="41" spans="2:11" s="14" customFormat="1" ht="12.75" x14ac:dyDescent="0.2">
      <c r="B41" s="72">
        <f t="shared" si="0"/>
        <v>30</v>
      </c>
      <c r="C41" s="12"/>
      <c r="D41" s="12"/>
      <c r="E41" s="23"/>
      <c r="F41" s="9"/>
      <c r="G41" s="16"/>
      <c r="H41" s="10"/>
      <c r="I41" s="10"/>
      <c r="J41" s="195"/>
      <c r="K41" s="13"/>
    </row>
    <row r="42" spans="2:11" x14ac:dyDescent="0.25">
      <c r="D42" s="78"/>
      <c r="G42" s="61"/>
      <c r="H42" s="69"/>
      <c r="I42" s="69"/>
      <c r="J42" s="69"/>
    </row>
    <row r="43" spans="2:11" s="4" customFormat="1" x14ac:dyDescent="0.25">
      <c r="B43" s="340"/>
      <c r="C43" s="79"/>
      <c r="D43" s="79"/>
      <c r="E43" s="31"/>
      <c r="F43" s="31"/>
      <c r="G43" s="31"/>
      <c r="H43" s="341"/>
      <c r="I43" s="341"/>
      <c r="J43" s="341"/>
      <c r="K43" s="319">
        <f>SUM(K12:K42)</f>
        <v>179329.59</v>
      </c>
    </row>
    <row r="46" spans="2:11" x14ac:dyDescent="0.25">
      <c r="B46" s="73" t="s">
        <v>179</v>
      </c>
    </row>
    <row r="47" spans="2:11" x14ac:dyDescent="0.25">
      <c r="B47" s="61"/>
    </row>
    <row r="48" spans="2:11" ht="26.25" x14ac:dyDescent="0.25">
      <c r="B48" s="523" t="s">
        <v>180</v>
      </c>
      <c r="C48" s="523"/>
      <c r="D48" s="523"/>
      <c r="E48" s="523"/>
      <c r="F48" s="523"/>
      <c r="G48" s="523"/>
      <c r="H48" s="523"/>
      <c r="I48" s="523"/>
      <c r="J48" s="523"/>
    </row>
    <row r="49" spans="2:17" x14ac:dyDescent="0.25">
      <c r="B49" s="78"/>
    </row>
    <row r="50" spans="2:17" ht="18.75" x14ac:dyDescent="0.3">
      <c r="B50" s="74"/>
    </row>
    <row r="51" spans="2:17" ht="33.75" customHeight="1" x14ac:dyDescent="0.25">
      <c r="B51" s="7" t="s">
        <v>350</v>
      </c>
      <c r="C51" s="7" t="s">
        <v>181</v>
      </c>
      <c r="D51" s="7" t="s">
        <v>171</v>
      </c>
      <c r="E51" s="7" t="s">
        <v>172</v>
      </c>
      <c r="F51" s="7" t="s">
        <v>23</v>
      </c>
      <c r="G51" s="7" t="s">
        <v>173</v>
      </c>
      <c r="H51" s="7" t="s">
        <v>120</v>
      </c>
      <c r="I51" s="7" t="s">
        <v>174</v>
      </c>
      <c r="J51" s="7" t="s">
        <v>175</v>
      </c>
      <c r="K51" s="7" t="s">
        <v>176</v>
      </c>
    </row>
    <row r="52" spans="2:17" ht="32.25" customHeight="1" x14ac:dyDescent="0.25">
      <c r="B52" s="72">
        <v>1</v>
      </c>
      <c r="C52" s="80" t="s">
        <v>406</v>
      </c>
      <c r="D52" s="80" t="s">
        <v>408</v>
      </c>
      <c r="E52" s="11" t="s">
        <v>183</v>
      </c>
      <c r="F52" s="162">
        <v>43586</v>
      </c>
      <c r="G52" s="16" t="s">
        <v>184</v>
      </c>
      <c r="H52" s="9">
        <v>782</v>
      </c>
      <c r="I52" s="406" t="s">
        <v>185</v>
      </c>
      <c r="J52" s="97">
        <v>3686264.19</v>
      </c>
      <c r="K52" s="375">
        <v>3686264.19</v>
      </c>
      <c r="L52" s="83"/>
      <c r="Q52" s="471" t="s">
        <v>401</v>
      </c>
    </row>
    <row r="53" spans="2:17" x14ac:dyDescent="0.25">
      <c r="B53" s="72">
        <f>1+B52</f>
        <v>2</v>
      </c>
      <c r="C53" s="80" t="s">
        <v>406</v>
      </c>
      <c r="D53" s="80" t="s">
        <v>408</v>
      </c>
      <c r="E53" s="11" t="s">
        <v>186</v>
      </c>
      <c r="F53" s="162">
        <v>43617</v>
      </c>
      <c r="G53" s="16" t="s">
        <v>187</v>
      </c>
      <c r="H53" s="9">
        <v>74216</v>
      </c>
      <c r="I53" s="406" t="s">
        <v>188</v>
      </c>
      <c r="J53" s="97">
        <v>1800000</v>
      </c>
      <c r="K53" s="462">
        <v>1800000</v>
      </c>
      <c r="L53" s="83"/>
    </row>
    <row r="54" spans="2:17" x14ac:dyDescent="0.25">
      <c r="B54" s="72">
        <f t="shared" ref="B54:B113" si="1">1+B53</f>
        <v>3</v>
      </c>
      <c r="C54" s="80" t="s">
        <v>406</v>
      </c>
      <c r="D54" s="80" t="s">
        <v>408</v>
      </c>
      <c r="E54" s="11" t="s">
        <v>189</v>
      </c>
      <c r="F54" s="162">
        <v>43617</v>
      </c>
      <c r="G54" s="16" t="s">
        <v>187</v>
      </c>
      <c r="H54" s="9">
        <v>74320</v>
      </c>
      <c r="I54" s="406" t="s">
        <v>190</v>
      </c>
      <c r="J54" s="97">
        <v>262000</v>
      </c>
      <c r="K54" s="462">
        <v>262000</v>
      </c>
      <c r="L54" s="83"/>
    </row>
    <row r="55" spans="2:17" x14ac:dyDescent="0.25">
      <c r="B55" s="72">
        <f t="shared" si="1"/>
        <v>4</v>
      </c>
      <c r="C55" s="80" t="s">
        <v>406</v>
      </c>
      <c r="D55" s="80" t="s">
        <v>408</v>
      </c>
      <c r="E55" s="11" t="s">
        <v>191</v>
      </c>
      <c r="F55" s="162">
        <v>43617</v>
      </c>
      <c r="G55" s="16" t="s">
        <v>192</v>
      </c>
      <c r="H55" s="9">
        <v>74282</v>
      </c>
      <c r="I55" s="406" t="s">
        <v>193</v>
      </c>
      <c r="J55" s="97">
        <v>400000</v>
      </c>
      <c r="K55" s="462">
        <v>400000</v>
      </c>
      <c r="L55" s="83"/>
    </row>
    <row r="56" spans="2:17" x14ac:dyDescent="0.25">
      <c r="B56" s="72">
        <f t="shared" si="1"/>
        <v>5</v>
      </c>
      <c r="C56" s="80" t="s">
        <v>406</v>
      </c>
      <c r="D56" s="80" t="s">
        <v>408</v>
      </c>
      <c r="E56" s="11" t="s">
        <v>194</v>
      </c>
      <c r="F56" s="162">
        <v>43617</v>
      </c>
      <c r="G56" s="16" t="s">
        <v>195</v>
      </c>
      <c r="H56" s="9">
        <v>74216</v>
      </c>
      <c r="I56" s="406" t="s">
        <v>196</v>
      </c>
      <c r="J56" s="97">
        <v>590000</v>
      </c>
      <c r="K56" s="462">
        <v>590000</v>
      </c>
      <c r="L56" s="83"/>
    </row>
    <row r="57" spans="2:17" x14ac:dyDescent="0.25">
      <c r="B57" s="72">
        <f t="shared" si="1"/>
        <v>6</v>
      </c>
      <c r="C57" s="80" t="s">
        <v>406</v>
      </c>
      <c r="D57" s="80" t="s">
        <v>408</v>
      </c>
      <c r="E57" s="11" t="s">
        <v>197</v>
      </c>
      <c r="F57" s="162">
        <v>43617</v>
      </c>
      <c r="G57" s="16" t="s">
        <v>187</v>
      </c>
      <c r="H57" s="9">
        <v>74319</v>
      </c>
      <c r="I57" s="406" t="s">
        <v>198</v>
      </c>
      <c r="J57" s="97">
        <v>1333700</v>
      </c>
      <c r="K57" s="462">
        <v>1333700</v>
      </c>
      <c r="L57" s="83"/>
    </row>
    <row r="58" spans="2:17" x14ac:dyDescent="0.25">
      <c r="B58" s="72">
        <f t="shared" si="1"/>
        <v>7</v>
      </c>
      <c r="C58" s="80" t="s">
        <v>406</v>
      </c>
      <c r="D58" s="80" t="s">
        <v>408</v>
      </c>
      <c r="E58" s="11" t="s">
        <v>199</v>
      </c>
      <c r="F58" s="162">
        <v>43617</v>
      </c>
      <c r="G58" s="16" t="s">
        <v>200</v>
      </c>
      <c r="H58" s="9">
        <v>74283</v>
      </c>
      <c r="I58" s="406" t="s">
        <v>201</v>
      </c>
      <c r="J58" s="97">
        <v>3629500</v>
      </c>
      <c r="K58" s="462">
        <v>3629500</v>
      </c>
      <c r="L58" s="83"/>
    </row>
    <row r="59" spans="2:17" x14ac:dyDescent="0.25">
      <c r="B59" s="72">
        <f t="shared" si="1"/>
        <v>8</v>
      </c>
      <c r="C59" s="80" t="s">
        <v>406</v>
      </c>
      <c r="D59" s="80" t="s">
        <v>408</v>
      </c>
      <c r="E59" s="11" t="s">
        <v>202</v>
      </c>
      <c r="F59" s="162">
        <v>43617</v>
      </c>
      <c r="G59" s="16" t="s">
        <v>200</v>
      </c>
      <c r="H59" s="9">
        <v>74305</v>
      </c>
      <c r="I59" s="406" t="s">
        <v>203</v>
      </c>
      <c r="J59" s="97">
        <v>702100</v>
      </c>
      <c r="K59" s="462">
        <v>702100</v>
      </c>
      <c r="L59" s="83"/>
    </row>
    <row r="60" spans="2:17" x14ac:dyDescent="0.25">
      <c r="B60" s="72">
        <f t="shared" si="1"/>
        <v>9</v>
      </c>
      <c r="C60" s="80" t="s">
        <v>406</v>
      </c>
      <c r="D60" s="80" t="s">
        <v>408</v>
      </c>
      <c r="E60" s="11" t="s">
        <v>204</v>
      </c>
      <c r="F60" s="162">
        <v>43617</v>
      </c>
      <c r="G60" s="16" t="s">
        <v>205</v>
      </c>
      <c r="H60" s="9">
        <v>74276</v>
      </c>
      <c r="I60" s="406" t="s">
        <v>206</v>
      </c>
      <c r="J60" s="97">
        <v>1320900</v>
      </c>
      <c r="K60" s="462">
        <v>1320900</v>
      </c>
      <c r="L60" s="83"/>
    </row>
    <row r="61" spans="2:17" x14ac:dyDescent="0.25">
      <c r="B61" s="72">
        <f t="shared" si="1"/>
        <v>10</v>
      </c>
      <c r="C61" s="80" t="s">
        <v>406</v>
      </c>
      <c r="D61" s="80" t="s">
        <v>408</v>
      </c>
      <c r="E61" s="11" t="s">
        <v>207</v>
      </c>
      <c r="F61" s="162">
        <v>43617</v>
      </c>
      <c r="G61" s="16" t="s">
        <v>192</v>
      </c>
      <c r="H61" s="9" t="s">
        <v>208</v>
      </c>
      <c r="I61" s="406" t="s">
        <v>209</v>
      </c>
      <c r="J61" s="97">
        <v>5964875</v>
      </c>
      <c r="K61" s="375">
        <v>5964875</v>
      </c>
      <c r="L61" s="83"/>
    </row>
    <row r="62" spans="2:17" x14ac:dyDescent="0.25">
      <c r="B62" s="72">
        <f t="shared" si="1"/>
        <v>11</v>
      </c>
      <c r="C62" s="80" t="s">
        <v>406</v>
      </c>
      <c r="D62" s="80" t="s">
        <v>408</v>
      </c>
      <c r="E62" s="11" t="s">
        <v>210</v>
      </c>
      <c r="F62" s="162">
        <v>43617</v>
      </c>
      <c r="G62" s="16" t="s">
        <v>192</v>
      </c>
      <c r="H62" s="9">
        <v>74280</v>
      </c>
      <c r="I62" s="406" t="s">
        <v>211</v>
      </c>
      <c r="J62" s="97">
        <v>767550</v>
      </c>
      <c r="K62" s="462">
        <v>767550</v>
      </c>
      <c r="L62" s="83"/>
    </row>
    <row r="63" spans="2:17" x14ac:dyDescent="0.25">
      <c r="B63" s="72">
        <f t="shared" si="1"/>
        <v>12</v>
      </c>
      <c r="C63" s="80" t="s">
        <v>406</v>
      </c>
      <c r="D63" s="80" t="s">
        <v>408</v>
      </c>
      <c r="E63" s="11" t="s">
        <v>212</v>
      </c>
      <c r="F63" s="162">
        <v>43617</v>
      </c>
      <c r="G63" s="16" t="s">
        <v>213</v>
      </c>
      <c r="H63" s="9">
        <v>74245</v>
      </c>
      <c r="I63" s="406" t="s">
        <v>214</v>
      </c>
      <c r="J63" s="97">
        <v>213371</v>
      </c>
      <c r="K63" s="462">
        <v>213371</v>
      </c>
      <c r="L63" s="83"/>
    </row>
    <row r="64" spans="2:17" x14ac:dyDescent="0.25">
      <c r="B64" s="72">
        <f t="shared" si="1"/>
        <v>13</v>
      </c>
      <c r="C64" s="80" t="s">
        <v>406</v>
      </c>
      <c r="D64" s="80" t="s">
        <v>408</v>
      </c>
      <c r="E64" s="11" t="s">
        <v>215</v>
      </c>
      <c r="F64" s="162">
        <v>43617</v>
      </c>
      <c r="G64" s="16" t="s">
        <v>187</v>
      </c>
      <c r="H64" s="9">
        <v>74243</v>
      </c>
      <c r="I64" s="406" t="s">
        <v>216</v>
      </c>
      <c r="J64" s="97">
        <v>216000</v>
      </c>
      <c r="K64" s="462">
        <v>216000</v>
      </c>
      <c r="L64" s="83"/>
    </row>
    <row r="65" spans="2:15" x14ac:dyDescent="0.25">
      <c r="B65" s="72">
        <f t="shared" si="1"/>
        <v>14</v>
      </c>
      <c r="C65" s="80" t="s">
        <v>406</v>
      </c>
      <c r="D65" s="80" t="s">
        <v>408</v>
      </c>
      <c r="E65" s="11" t="s">
        <v>217</v>
      </c>
      <c r="F65" s="162">
        <v>43617</v>
      </c>
      <c r="G65" s="16" t="s">
        <v>187</v>
      </c>
      <c r="H65" s="9">
        <v>74319</v>
      </c>
      <c r="I65" s="406" t="s">
        <v>198</v>
      </c>
      <c r="J65" s="97">
        <v>4216301</v>
      </c>
      <c r="K65" s="462">
        <v>4216301</v>
      </c>
      <c r="L65" s="83">
        <f>+K65+K57</f>
        <v>5550001</v>
      </c>
    </row>
    <row r="66" spans="2:15" x14ac:dyDescent="0.25">
      <c r="B66" s="72">
        <f t="shared" si="1"/>
        <v>15</v>
      </c>
      <c r="C66" s="80" t="s">
        <v>406</v>
      </c>
      <c r="D66" s="80" t="s">
        <v>408</v>
      </c>
      <c r="E66" s="11" t="s">
        <v>218</v>
      </c>
      <c r="F66" s="162">
        <v>43617</v>
      </c>
      <c r="G66" s="16" t="s">
        <v>219</v>
      </c>
      <c r="H66" s="9">
        <v>74422</v>
      </c>
      <c r="I66" s="406" t="s">
        <v>220</v>
      </c>
      <c r="J66" s="97">
        <f>+K66</f>
        <v>345600</v>
      </c>
      <c r="K66" s="462">
        <v>345600</v>
      </c>
      <c r="L66" s="83"/>
    </row>
    <row r="67" spans="2:15" x14ac:dyDescent="0.25">
      <c r="B67" s="72">
        <f t="shared" si="1"/>
        <v>16</v>
      </c>
      <c r="C67" s="80" t="s">
        <v>406</v>
      </c>
      <c r="D67" s="80" t="s">
        <v>408</v>
      </c>
      <c r="E67" s="11" t="s">
        <v>218</v>
      </c>
      <c r="F67" s="162">
        <v>43617</v>
      </c>
      <c r="G67" s="16" t="s">
        <v>221</v>
      </c>
      <c r="H67" s="9">
        <v>74422</v>
      </c>
      <c r="I67" s="406" t="s">
        <v>222</v>
      </c>
      <c r="J67" s="97">
        <f>+K67</f>
        <v>172800</v>
      </c>
      <c r="K67" s="462">
        <v>172800</v>
      </c>
      <c r="L67" s="83"/>
    </row>
    <row r="68" spans="2:15" ht="15" customHeight="1" x14ac:dyDescent="0.25">
      <c r="B68" s="72">
        <f t="shared" si="1"/>
        <v>17</v>
      </c>
      <c r="C68" s="80" t="s">
        <v>406</v>
      </c>
      <c r="D68" s="80" t="s">
        <v>408</v>
      </c>
      <c r="E68" s="11" t="s">
        <v>223</v>
      </c>
      <c r="F68" s="162">
        <v>43617</v>
      </c>
      <c r="G68" s="16" t="s">
        <v>224</v>
      </c>
      <c r="H68" s="9" t="s">
        <v>225</v>
      </c>
      <c r="I68" s="406" t="s">
        <v>226</v>
      </c>
      <c r="J68" s="97">
        <f>+K68</f>
        <v>598215</v>
      </c>
      <c r="K68" s="462">
        <v>598215</v>
      </c>
      <c r="L68" s="83"/>
    </row>
    <row r="69" spans="2:15" ht="15" customHeight="1" x14ac:dyDescent="0.25">
      <c r="B69" s="72">
        <f t="shared" si="1"/>
        <v>18</v>
      </c>
      <c r="C69" s="80" t="s">
        <v>406</v>
      </c>
      <c r="D69" s="80" t="s">
        <v>408</v>
      </c>
      <c r="E69" s="11" t="s">
        <v>227</v>
      </c>
      <c r="F69" s="162">
        <v>43617</v>
      </c>
      <c r="G69" s="16" t="s">
        <v>221</v>
      </c>
      <c r="H69" s="9">
        <v>74245</v>
      </c>
      <c r="I69" s="406" t="s">
        <v>214</v>
      </c>
      <c r="J69" s="97">
        <f>+K69</f>
        <v>22671</v>
      </c>
      <c r="K69" s="462">
        <v>22671</v>
      </c>
      <c r="L69" s="83"/>
    </row>
    <row r="70" spans="2:15" ht="15" customHeight="1" x14ac:dyDescent="0.25">
      <c r="B70" s="72">
        <f t="shared" si="1"/>
        <v>19</v>
      </c>
      <c r="C70" s="80" t="s">
        <v>406</v>
      </c>
      <c r="D70" s="80" t="s">
        <v>408</v>
      </c>
      <c r="E70" s="11" t="s">
        <v>228</v>
      </c>
      <c r="F70" s="162">
        <v>43617</v>
      </c>
      <c r="G70" s="16" t="s">
        <v>229</v>
      </c>
      <c r="H70" s="9" t="s">
        <v>58</v>
      </c>
      <c r="I70" s="406" t="s">
        <v>230</v>
      </c>
      <c r="J70" s="97">
        <f t="shared" ref="J70:J90" si="2">+K70</f>
        <v>207029</v>
      </c>
      <c r="K70" s="462">
        <v>207029</v>
      </c>
      <c r="L70" s="83"/>
    </row>
    <row r="71" spans="2:15" ht="15" customHeight="1" x14ac:dyDescent="0.25">
      <c r="B71" s="72">
        <f t="shared" si="1"/>
        <v>20</v>
      </c>
      <c r="C71" s="80" t="s">
        <v>406</v>
      </c>
      <c r="D71" s="80" t="s">
        <v>408</v>
      </c>
      <c r="E71" s="11" t="s">
        <v>231</v>
      </c>
      <c r="F71" s="162">
        <v>43617</v>
      </c>
      <c r="G71" s="16" t="s">
        <v>205</v>
      </c>
      <c r="H71" s="9" t="s">
        <v>58</v>
      </c>
      <c r="I71" s="406" t="s">
        <v>232</v>
      </c>
      <c r="J71" s="97">
        <f t="shared" si="2"/>
        <v>262237</v>
      </c>
      <c r="K71" s="462">
        <v>262237</v>
      </c>
      <c r="L71" s="83"/>
    </row>
    <row r="72" spans="2:15" ht="15" customHeight="1" x14ac:dyDescent="0.25">
      <c r="B72" s="72">
        <f t="shared" si="1"/>
        <v>21</v>
      </c>
      <c r="C72" s="80" t="s">
        <v>406</v>
      </c>
      <c r="D72" s="80" t="s">
        <v>408</v>
      </c>
      <c r="E72" s="11" t="s">
        <v>233</v>
      </c>
      <c r="F72" s="162">
        <v>43617</v>
      </c>
      <c r="G72" s="16" t="s">
        <v>234</v>
      </c>
      <c r="H72" s="9" t="s">
        <v>58</v>
      </c>
      <c r="I72" s="406" t="s">
        <v>235</v>
      </c>
      <c r="J72" s="97">
        <f t="shared" si="2"/>
        <v>207029</v>
      </c>
      <c r="K72" s="462">
        <v>207029</v>
      </c>
      <c r="L72" s="83"/>
    </row>
    <row r="73" spans="2:15" ht="15.75" customHeight="1" x14ac:dyDescent="0.25">
      <c r="B73" s="72">
        <f t="shared" si="1"/>
        <v>22</v>
      </c>
      <c r="C73" s="80" t="s">
        <v>406</v>
      </c>
      <c r="D73" s="80" t="s">
        <v>408</v>
      </c>
      <c r="E73" s="11" t="s">
        <v>236</v>
      </c>
      <c r="F73" s="162">
        <v>43617</v>
      </c>
      <c r="G73" s="16" t="s">
        <v>237</v>
      </c>
      <c r="H73" s="9" t="s">
        <v>58</v>
      </c>
      <c r="I73" s="406" t="s">
        <v>58</v>
      </c>
      <c r="J73" s="97">
        <f t="shared" si="2"/>
        <v>794.81</v>
      </c>
      <c r="K73" s="376">
        <v>794.81</v>
      </c>
      <c r="L73" s="83"/>
    </row>
    <row r="74" spans="2:15" ht="15.75" customHeight="1" x14ac:dyDescent="0.25">
      <c r="B74" s="72">
        <f t="shared" si="1"/>
        <v>23</v>
      </c>
      <c r="C74" s="80" t="s">
        <v>406</v>
      </c>
      <c r="D74" s="80" t="s">
        <v>408</v>
      </c>
      <c r="E74" s="11" t="s">
        <v>238</v>
      </c>
      <c r="F74" s="162">
        <v>43556</v>
      </c>
      <c r="G74" s="16" t="s">
        <v>239</v>
      </c>
      <c r="H74" s="9" t="s">
        <v>58</v>
      </c>
      <c r="I74" s="406" t="s">
        <v>240</v>
      </c>
      <c r="J74" s="97">
        <f t="shared" si="2"/>
        <v>4713032</v>
      </c>
      <c r="K74" s="375">
        <v>4713032</v>
      </c>
      <c r="L74" s="83">
        <v>2376880</v>
      </c>
      <c r="M74" s="464">
        <v>921362</v>
      </c>
    </row>
    <row r="75" spans="2:15" ht="15.75" customHeight="1" x14ac:dyDescent="0.25">
      <c r="B75" s="72">
        <f t="shared" si="1"/>
        <v>24</v>
      </c>
      <c r="C75" s="80" t="s">
        <v>406</v>
      </c>
      <c r="D75" s="80" t="s">
        <v>408</v>
      </c>
      <c r="E75" s="11" t="s">
        <v>241</v>
      </c>
      <c r="F75" s="162">
        <v>43556</v>
      </c>
      <c r="G75" s="16" t="s">
        <v>239</v>
      </c>
      <c r="H75" s="9" t="s">
        <v>58</v>
      </c>
      <c r="I75" s="406" t="s">
        <v>242</v>
      </c>
      <c r="J75" s="97">
        <f t="shared" si="2"/>
        <v>3104842</v>
      </c>
      <c r="K75" s="375">
        <v>3104842</v>
      </c>
      <c r="L75" s="83">
        <v>870780</v>
      </c>
      <c r="M75" s="464">
        <v>348312</v>
      </c>
    </row>
    <row r="76" spans="2:15" ht="15.75" customHeight="1" x14ac:dyDescent="0.25">
      <c r="B76" s="72">
        <f t="shared" si="1"/>
        <v>25</v>
      </c>
      <c r="C76" s="80" t="s">
        <v>406</v>
      </c>
      <c r="D76" s="80" t="s">
        <v>408</v>
      </c>
      <c r="E76" s="11" t="s">
        <v>243</v>
      </c>
      <c r="F76" s="162">
        <v>43556</v>
      </c>
      <c r="G76" s="16" t="s">
        <v>239</v>
      </c>
      <c r="H76" s="9" t="s">
        <v>58</v>
      </c>
      <c r="I76" s="406" t="s">
        <v>244</v>
      </c>
      <c r="J76" s="97">
        <f t="shared" si="2"/>
        <v>1723392</v>
      </c>
      <c r="K76" s="375">
        <v>1723392</v>
      </c>
      <c r="L76" s="83">
        <v>620080</v>
      </c>
      <c r="M76" s="464">
        <v>1540262</v>
      </c>
      <c r="N76" s="83">
        <f>+M76+L76</f>
        <v>2160342</v>
      </c>
      <c r="O76" s="465">
        <f>+K76-N76</f>
        <v>-436950</v>
      </c>
    </row>
    <row r="77" spans="2:15" ht="15.75" customHeight="1" x14ac:dyDescent="0.25">
      <c r="B77" s="72">
        <f t="shared" si="1"/>
        <v>26</v>
      </c>
      <c r="C77" s="80" t="s">
        <v>406</v>
      </c>
      <c r="D77" s="80" t="s">
        <v>408</v>
      </c>
      <c r="E77" s="11" t="s">
        <v>245</v>
      </c>
      <c r="F77" s="162">
        <v>43586</v>
      </c>
      <c r="G77" s="16" t="s">
        <v>73</v>
      </c>
      <c r="H77" s="9" t="s">
        <v>58</v>
      </c>
      <c r="I77" s="406" t="s">
        <v>246</v>
      </c>
      <c r="J77" s="97">
        <f t="shared" si="2"/>
        <v>6732860</v>
      </c>
      <c r="K77" s="375">
        <v>6732860</v>
      </c>
      <c r="L77" s="83">
        <v>2303080</v>
      </c>
      <c r="M77" s="83">
        <v>2303080</v>
      </c>
    </row>
    <row r="78" spans="2:15" ht="15.75" customHeight="1" x14ac:dyDescent="0.25">
      <c r="B78" s="72">
        <f t="shared" si="1"/>
        <v>27</v>
      </c>
      <c r="C78" s="80" t="s">
        <v>406</v>
      </c>
      <c r="D78" s="80" t="s">
        <v>408</v>
      </c>
      <c r="E78" s="11" t="s">
        <v>247</v>
      </c>
      <c r="F78" s="162">
        <v>43586</v>
      </c>
      <c r="G78" s="16" t="s">
        <v>73</v>
      </c>
      <c r="H78" s="9" t="s">
        <v>58</v>
      </c>
      <c r="I78" s="406" t="s">
        <v>248</v>
      </c>
      <c r="J78" s="97">
        <f t="shared" si="2"/>
        <v>4381800</v>
      </c>
      <c r="K78" s="375">
        <v>4381800</v>
      </c>
      <c r="L78" s="83">
        <v>870780</v>
      </c>
      <c r="M78" s="83">
        <v>870780</v>
      </c>
    </row>
    <row r="79" spans="2:15" ht="15.75" customHeight="1" x14ac:dyDescent="0.25">
      <c r="B79" s="72">
        <f t="shared" si="1"/>
        <v>28</v>
      </c>
      <c r="C79" s="80" t="s">
        <v>406</v>
      </c>
      <c r="D79" s="80" t="s">
        <v>408</v>
      </c>
      <c r="E79" s="11" t="s">
        <v>249</v>
      </c>
      <c r="F79" s="162">
        <v>43586</v>
      </c>
      <c r="G79" s="16" t="s">
        <v>73</v>
      </c>
      <c r="H79" s="9" t="s">
        <v>58</v>
      </c>
      <c r="I79" s="406" t="s">
        <v>250</v>
      </c>
      <c r="J79" s="97">
        <f t="shared" si="2"/>
        <v>2461560</v>
      </c>
      <c r="K79" s="375">
        <v>2461560</v>
      </c>
      <c r="L79" s="83">
        <v>1533200</v>
      </c>
      <c r="M79" s="83">
        <v>1533200</v>
      </c>
    </row>
    <row r="80" spans="2:15" ht="15.75" customHeight="1" x14ac:dyDescent="0.25">
      <c r="B80" s="72">
        <f t="shared" si="1"/>
        <v>29</v>
      </c>
      <c r="C80" s="80" t="s">
        <v>406</v>
      </c>
      <c r="D80" s="80" t="s">
        <v>408</v>
      </c>
      <c r="E80" s="11" t="s">
        <v>251</v>
      </c>
      <c r="F80" s="162">
        <v>43617</v>
      </c>
      <c r="G80" s="16" t="s">
        <v>237</v>
      </c>
      <c r="H80" s="9" t="s">
        <v>58</v>
      </c>
      <c r="I80" s="406" t="s">
        <v>252</v>
      </c>
      <c r="J80" s="97">
        <f t="shared" si="2"/>
        <v>7897910</v>
      </c>
      <c r="K80" s="375">
        <v>7897910</v>
      </c>
      <c r="L80" s="83">
        <v>1165050</v>
      </c>
      <c r="M80" s="464">
        <v>2195880</v>
      </c>
      <c r="N80" s="464">
        <v>2418547</v>
      </c>
    </row>
    <row r="81" spans="2:16" ht="15" customHeight="1" x14ac:dyDescent="0.25">
      <c r="B81" s="72">
        <f t="shared" si="1"/>
        <v>30</v>
      </c>
      <c r="C81" s="80" t="s">
        <v>406</v>
      </c>
      <c r="D81" s="80" t="s">
        <v>408</v>
      </c>
      <c r="E81" s="11" t="s">
        <v>253</v>
      </c>
      <c r="F81" s="162">
        <v>43617</v>
      </c>
      <c r="G81" s="16" t="s">
        <v>237</v>
      </c>
      <c r="H81" s="9" t="s">
        <v>58</v>
      </c>
      <c r="I81" s="406" t="s">
        <v>254</v>
      </c>
      <c r="J81" s="97">
        <f t="shared" si="2"/>
        <v>5150663</v>
      </c>
      <c r="K81" s="375">
        <v>5150663</v>
      </c>
      <c r="L81" s="83">
        <v>425925</v>
      </c>
      <c r="M81" s="283">
        <v>870780</v>
      </c>
      <c r="N81" s="283">
        <v>870780</v>
      </c>
    </row>
    <row r="82" spans="2:16" ht="15" customHeight="1" x14ac:dyDescent="0.25">
      <c r="B82" s="72">
        <f t="shared" si="1"/>
        <v>31</v>
      </c>
      <c r="C82" s="80" t="s">
        <v>406</v>
      </c>
      <c r="D82" s="80" t="s">
        <v>408</v>
      </c>
      <c r="E82" s="11" t="s">
        <v>255</v>
      </c>
      <c r="F82" s="162">
        <v>43617</v>
      </c>
      <c r="G82" s="16" t="s">
        <v>237</v>
      </c>
      <c r="H82" s="9" t="s">
        <v>58</v>
      </c>
      <c r="I82" s="406" t="s">
        <v>256</v>
      </c>
      <c r="J82" s="97">
        <f t="shared" si="2"/>
        <v>2887485</v>
      </c>
      <c r="K82" s="375">
        <v>2887485</v>
      </c>
      <c r="L82" s="83">
        <v>768601</v>
      </c>
      <c r="M82" s="283">
        <v>1533200</v>
      </c>
      <c r="N82" s="464">
        <v>1533662</v>
      </c>
      <c r="O82" s="82">
        <f>+N82+M82+L82</f>
        <v>3835463</v>
      </c>
      <c r="P82" s="466">
        <f>+K82-O82</f>
        <v>-947978</v>
      </c>
    </row>
    <row r="83" spans="2:16" ht="15" customHeight="1" x14ac:dyDescent="0.25">
      <c r="B83" s="72">
        <f t="shared" si="1"/>
        <v>32</v>
      </c>
      <c r="C83" s="285" t="s">
        <v>406</v>
      </c>
      <c r="D83" s="409" t="s">
        <v>408</v>
      </c>
      <c r="E83" s="409" t="s">
        <v>257</v>
      </c>
      <c r="F83" s="468">
        <v>43647</v>
      </c>
      <c r="G83" s="469" t="s">
        <v>258</v>
      </c>
      <c r="H83" s="470" t="s">
        <v>58</v>
      </c>
      <c r="I83" s="467" t="s">
        <v>259</v>
      </c>
      <c r="J83" s="97">
        <f t="shared" si="2"/>
        <v>6732860</v>
      </c>
      <c r="K83" s="375">
        <v>6732860</v>
      </c>
      <c r="L83" s="471"/>
      <c r="M83" s="471"/>
    </row>
    <row r="84" spans="2:16" ht="15" customHeight="1" x14ac:dyDescent="0.25">
      <c r="B84" s="72">
        <f t="shared" si="1"/>
        <v>33</v>
      </c>
      <c r="C84" s="285" t="s">
        <v>406</v>
      </c>
      <c r="D84" s="11" t="s">
        <v>408</v>
      </c>
      <c r="E84" s="11" t="s">
        <v>260</v>
      </c>
      <c r="F84" s="162">
        <v>43647</v>
      </c>
      <c r="G84" s="284" t="s">
        <v>258</v>
      </c>
      <c r="H84" s="9" t="s">
        <v>58</v>
      </c>
      <c r="I84" s="467" t="s">
        <v>261</v>
      </c>
      <c r="J84" s="97">
        <f t="shared" si="2"/>
        <v>2461560</v>
      </c>
      <c r="K84" s="375">
        <v>2461560</v>
      </c>
      <c r="L84" s="464">
        <v>870780</v>
      </c>
      <c r="M84" s="471"/>
    </row>
    <row r="85" spans="2:16" ht="15" customHeight="1" x14ac:dyDescent="0.25">
      <c r="B85" s="72">
        <f t="shared" si="1"/>
        <v>34</v>
      </c>
      <c r="C85" s="285" t="s">
        <v>406</v>
      </c>
      <c r="D85" s="11" t="s">
        <v>408</v>
      </c>
      <c r="E85" s="11" t="s">
        <v>262</v>
      </c>
      <c r="F85" s="162">
        <v>43647</v>
      </c>
      <c r="G85" s="284" t="s">
        <v>258</v>
      </c>
      <c r="H85" s="9" t="s">
        <v>58</v>
      </c>
      <c r="I85" s="467" t="s">
        <v>263</v>
      </c>
      <c r="J85" s="97">
        <f t="shared" si="2"/>
        <v>4879200</v>
      </c>
      <c r="K85" s="375">
        <v>4879200</v>
      </c>
      <c r="L85" s="83">
        <v>1279300</v>
      </c>
      <c r="M85" s="83">
        <v>1279300</v>
      </c>
    </row>
    <row r="86" spans="2:16" ht="15" customHeight="1" x14ac:dyDescent="0.25">
      <c r="B86" s="72">
        <f t="shared" si="1"/>
        <v>35</v>
      </c>
      <c r="C86" s="285" t="s">
        <v>406</v>
      </c>
      <c r="D86" s="11" t="s">
        <v>408</v>
      </c>
      <c r="E86" s="11" t="s">
        <v>264</v>
      </c>
      <c r="F86" s="162">
        <v>43647</v>
      </c>
      <c r="G86" s="284" t="s">
        <v>258</v>
      </c>
      <c r="H86" s="9" t="s">
        <v>58</v>
      </c>
      <c r="I86" s="406" t="s">
        <v>265</v>
      </c>
      <c r="J86" s="97">
        <f t="shared" si="2"/>
        <v>1794252</v>
      </c>
      <c r="K86" s="472">
        <v>1794252</v>
      </c>
    </row>
    <row r="87" spans="2:16" ht="15" customHeight="1" x14ac:dyDescent="0.25">
      <c r="B87" s="72">
        <f t="shared" si="1"/>
        <v>36</v>
      </c>
      <c r="C87" s="285" t="s">
        <v>406</v>
      </c>
      <c r="D87" s="11" t="s">
        <v>408</v>
      </c>
      <c r="E87" s="11" t="s">
        <v>266</v>
      </c>
      <c r="F87" s="162">
        <v>43647</v>
      </c>
      <c r="G87" s="284" t="s">
        <v>258</v>
      </c>
      <c r="H87" s="9" t="s">
        <v>58</v>
      </c>
      <c r="I87" s="467" t="s">
        <v>232</v>
      </c>
      <c r="J87" s="97">
        <f t="shared" si="2"/>
        <v>828116</v>
      </c>
      <c r="K87" s="375">
        <v>828116</v>
      </c>
      <c r="L87" s="83"/>
      <c r="M87" s="283"/>
    </row>
    <row r="88" spans="2:16" ht="15" customHeight="1" x14ac:dyDescent="0.25">
      <c r="B88" s="72">
        <f t="shared" si="1"/>
        <v>37</v>
      </c>
      <c r="C88" s="285" t="s">
        <v>406</v>
      </c>
      <c r="D88" s="11" t="s">
        <v>408</v>
      </c>
      <c r="E88" s="11" t="s">
        <v>267</v>
      </c>
      <c r="F88" s="162">
        <v>43647</v>
      </c>
      <c r="G88" s="284" t="s">
        <v>268</v>
      </c>
      <c r="H88" s="470">
        <v>74168</v>
      </c>
      <c r="I88" s="406" t="s">
        <v>269</v>
      </c>
      <c r="J88" s="97">
        <v>5940480</v>
      </c>
      <c r="K88" s="375">
        <v>845376</v>
      </c>
      <c r="L88" s="83"/>
      <c r="M88" s="283"/>
    </row>
    <row r="89" spans="2:16" ht="15" customHeight="1" x14ac:dyDescent="0.25">
      <c r="B89" s="72">
        <f t="shared" si="1"/>
        <v>38</v>
      </c>
      <c r="C89" s="285" t="s">
        <v>406</v>
      </c>
      <c r="D89" s="11" t="s">
        <v>408</v>
      </c>
      <c r="E89" s="11" t="s">
        <v>270</v>
      </c>
      <c r="F89" s="162">
        <v>43647</v>
      </c>
      <c r="G89" s="284" t="s">
        <v>268</v>
      </c>
      <c r="H89" s="470">
        <v>74387</v>
      </c>
      <c r="I89" s="406" t="s">
        <v>269</v>
      </c>
      <c r="J89" s="97">
        <v>6641152</v>
      </c>
      <c r="K89" s="375">
        <v>426496</v>
      </c>
      <c r="L89" s="83"/>
      <c r="M89" s="283"/>
    </row>
    <row r="90" spans="2:16" ht="16.5" customHeight="1" x14ac:dyDescent="0.25">
      <c r="B90" s="72">
        <f t="shared" si="1"/>
        <v>39</v>
      </c>
      <c r="C90" s="285" t="s">
        <v>406</v>
      </c>
      <c r="D90" s="11" t="s">
        <v>408</v>
      </c>
      <c r="E90" s="11" t="s">
        <v>271</v>
      </c>
      <c r="F90" s="162">
        <v>43647</v>
      </c>
      <c r="G90" s="284" t="s">
        <v>268</v>
      </c>
      <c r="H90" s="9" t="s">
        <v>272</v>
      </c>
      <c r="I90" s="406" t="s">
        <v>273</v>
      </c>
      <c r="J90" s="97">
        <f t="shared" si="2"/>
        <v>200880</v>
      </c>
      <c r="K90" s="376">
        <v>200880</v>
      </c>
      <c r="L90" s="83"/>
      <c r="M90" s="283"/>
    </row>
    <row r="91" spans="2:16" ht="15" customHeight="1" x14ac:dyDescent="0.25">
      <c r="B91" s="72">
        <f t="shared" si="1"/>
        <v>40</v>
      </c>
      <c r="C91" s="80" t="s">
        <v>406</v>
      </c>
      <c r="D91" s="80" t="s">
        <v>408</v>
      </c>
      <c r="E91" s="11" t="s">
        <v>274</v>
      </c>
      <c r="F91" s="162">
        <v>43678</v>
      </c>
      <c r="G91" s="16" t="s">
        <v>275</v>
      </c>
      <c r="H91" s="9" t="s">
        <v>58</v>
      </c>
      <c r="I91" s="406" t="s">
        <v>276</v>
      </c>
      <c r="J91" s="97">
        <f>+K91</f>
        <v>2461560</v>
      </c>
      <c r="K91" s="376">
        <v>2461560</v>
      </c>
      <c r="L91" s="83"/>
      <c r="M91" s="283"/>
    </row>
    <row r="92" spans="2:16" ht="15" customHeight="1" x14ac:dyDescent="0.25">
      <c r="B92" s="72">
        <f t="shared" si="1"/>
        <v>41</v>
      </c>
      <c r="C92" s="80" t="s">
        <v>406</v>
      </c>
      <c r="D92" s="80" t="s">
        <v>408</v>
      </c>
      <c r="E92" s="11" t="s">
        <v>277</v>
      </c>
      <c r="F92" s="162">
        <v>43678</v>
      </c>
      <c r="G92" s="16" t="s">
        <v>275</v>
      </c>
      <c r="H92" s="9" t="s">
        <v>58</v>
      </c>
      <c r="I92" s="406" t="s">
        <v>278</v>
      </c>
      <c r="J92" s="97">
        <f t="shared" ref="J92:J93" si="3">+K92</f>
        <v>4381800</v>
      </c>
      <c r="K92" s="376">
        <v>4381800</v>
      </c>
      <c r="L92" s="83"/>
      <c r="M92" s="283"/>
    </row>
    <row r="93" spans="2:16" ht="15" customHeight="1" x14ac:dyDescent="0.25">
      <c r="B93" s="72">
        <f t="shared" si="1"/>
        <v>42</v>
      </c>
      <c r="C93" s="285" t="s">
        <v>406</v>
      </c>
      <c r="D93" s="11" t="s">
        <v>408</v>
      </c>
      <c r="E93" s="11" t="s">
        <v>279</v>
      </c>
      <c r="F93" s="162">
        <v>43678</v>
      </c>
      <c r="G93" s="16" t="s">
        <v>275</v>
      </c>
      <c r="H93" s="9" t="s">
        <v>58</v>
      </c>
      <c r="I93" s="406" t="s">
        <v>280</v>
      </c>
      <c r="J93" s="97">
        <f t="shared" si="3"/>
        <v>6732860</v>
      </c>
      <c r="K93" s="376">
        <v>6732860</v>
      </c>
      <c r="L93" s="83"/>
      <c r="M93" s="283"/>
    </row>
    <row r="94" spans="2:16" ht="15" customHeight="1" x14ac:dyDescent="0.25">
      <c r="B94" s="72">
        <f t="shared" si="1"/>
        <v>43</v>
      </c>
      <c r="C94" s="80" t="s">
        <v>406</v>
      </c>
      <c r="D94" s="80" t="s">
        <v>408</v>
      </c>
      <c r="E94" s="11" t="s">
        <v>281</v>
      </c>
      <c r="F94" s="162">
        <v>43617</v>
      </c>
      <c r="G94" s="16" t="s">
        <v>282</v>
      </c>
      <c r="H94" s="9">
        <v>2019139</v>
      </c>
      <c r="I94" s="406" t="s">
        <v>283</v>
      </c>
      <c r="J94" s="97">
        <f>+K94</f>
        <v>1058000</v>
      </c>
      <c r="K94" s="376">
        <v>1058000</v>
      </c>
      <c r="L94" s="83"/>
      <c r="M94" s="283"/>
    </row>
    <row r="95" spans="2:16" ht="15" customHeight="1" x14ac:dyDescent="0.25">
      <c r="B95" s="72">
        <f t="shared" si="1"/>
        <v>44</v>
      </c>
      <c r="C95" s="285" t="s">
        <v>406</v>
      </c>
      <c r="D95" s="11" t="s">
        <v>408</v>
      </c>
      <c r="E95" s="11" t="s">
        <v>270</v>
      </c>
      <c r="F95" s="162">
        <v>43678</v>
      </c>
      <c r="G95" s="284" t="s">
        <v>284</v>
      </c>
      <c r="H95" s="470">
        <v>74387</v>
      </c>
      <c r="I95" s="406" t="s">
        <v>285</v>
      </c>
      <c r="J95" s="97">
        <v>5940480</v>
      </c>
      <c r="K95" s="375">
        <v>913920</v>
      </c>
      <c r="L95" s="83"/>
      <c r="M95" s="283"/>
    </row>
    <row r="96" spans="2:16" ht="15" customHeight="1" x14ac:dyDescent="0.25">
      <c r="B96" s="72">
        <f t="shared" si="1"/>
        <v>45</v>
      </c>
      <c r="C96" s="285" t="s">
        <v>406</v>
      </c>
      <c r="D96" s="11" t="s">
        <v>408</v>
      </c>
      <c r="E96" s="11" t="s">
        <v>267</v>
      </c>
      <c r="F96" s="162">
        <v>43678</v>
      </c>
      <c r="G96" s="284" t="s">
        <v>284</v>
      </c>
      <c r="H96" s="470">
        <v>74168</v>
      </c>
      <c r="I96" s="406" t="s">
        <v>285</v>
      </c>
      <c r="J96" s="97">
        <v>6641152</v>
      </c>
      <c r="K96" s="375">
        <v>685440</v>
      </c>
      <c r="L96" s="83"/>
      <c r="M96" s="283"/>
    </row>
    <row r="97" spans="2:17" ht="15" customHeight="1" x14ac:dyDescent="0.25">
      <c r="B97" s="72">
        <f t="shared" si="1"/>
        <v>46</v>
      </c>
      <c r="C97" s="285" t="s">
        <v>406</v>
      </c>
      <c r="D97" s="11" t="s">
        <v>408</v>
      </c>
      <c r="E97" s="11" t="s">
        <v>267</v>
      </c>
      <c r="F97" s="162">
        <v>43678</v>
      </c>
      <c r="G97" s="284" t="s">
        <v>282</v>
      </c>
      <c r="H97" s="470">
        <v>74168</v>
      </c>
      <c r="I97" s="406" t="s">
        <v>286</v>
      </c>
      <c r="J97" s="97">
        <v>6641152</v>
      </c>
      <c r="K97" s="375">
        <v>685440</v>
      </c>
      <c r="L97" s="83"/>
      <c r="M97" s="283"/>
    </row>
    <row r="98" spans="2:17" ht="15" customHeight="1" x14ac:dyDescent="0.25">
      <c r="B98" s="72">
        <f t="shared" si="1"/>
        <v>47</v>
      </c>
      <c r="C98" s="80" t="s">
        <v>406</v>
      </c>
      <c r="D98" s="80" t="s">
        <v>408</v>
      </c>
      <c r="E98" s="11" t="s">
        <v>287</v>
      </c>
      <c r="F98" s="162">
        <v>43678</v>
      </c>
      <c r="G98" s="284" t="s">
        <v>288</v>
      </c>
      <c r="H98" s="9" t="s">
        <v>289</v>
      </c>
      <c r="I98" s="406" t="s">
        <v>290</v>
      </c>
      <c r="J98" s="97">
        <f>+K98</f>
        <v>385020</v>
      </c>
      <c r="K98" s="462">
        <v>385020</v>
      </c>
      <c r="L98" s="83"/>
      <c r="M98" s="283"/>
    </row>
    <row r="99" spans="2:17" ht="15" customHeight="1" x14ac:dyDescent="0.25">
      <c r="B99" s="72">
        <f t="shared" si="1"/>
        <v>48</v>
      </c>
      <c r="C99" s="80" t="s">
        <v>406</v>
      </c>
      <c r="D99" s="80" t="s">
        <v>408</v>
      </c>
      <c r="E99" s="11" t="s">
        <v>291</v>
      </c>
      <c r="F99" s="162">
        <v>43678</v>
      </c>
      <c r="G99" s="284" t="s">
        <v>292</v>
      </c>
      <c r="H99" s="9" t="s">
        <v>293</v>
      </c>
      <c r="I99" s="406" t="s">
        <v>294</v>
      </c>
      <c r="J99" s="97">
        <f>+K99</f>
        <v>602615</v>
      </c>
      <c r="K99" s="462">
        <v>602615</v>
      </c>
      <c r="L99" s="83"/>
      <c r="M99" s="283"/>
    </row>
    <row r="100" spans="2:17" ht="15" customHeight="1" x14ac:dyDescent="0.25">
      <c r="B100" s="72">
        <f t="shared" si="1"/>
        <v>49</v>
      </c>
      <c r="C100" s="285" t="s">
        <v>406</v>
      </c>
      <c r="D100" s="11" t="s">
        <v>408</v>
      </c>
      <c r="E100" s="11" t="s">
        <v>295</v>
      </c>
      <c r="F100" s="162">
        <v>43678</v>
      </c>
      <c r="G100" s="284" t="s">
        <v>292</v>
      </c>
      <c r="H100" s="9" t="s">
        <v>296</v>
      </c>
      <c r="I100" s="406" t="s">
        <v>297</v>
      </c>
      <c r="J100" s="97">
        <f>+K100</f>
        <v>453600</v>
      </c>
      <c r="K100" s="462">
        <v>453600</v>
      </c>
      <c r="L100" s="83"/>
      <c r="M100" s="283"/>
    </row>
    <row r="101" spans="2:17" ht="15" customHeight="1" x14ac:dyDescent="0.25">
      <c r="B101" s="72">
        <f t="shared" si="1"/>
        <v>50</v>
      </c>
      <c r="C101" s="285" t="s">
        <v>406</v>
      </c>
      <c r="D101" s="11" t="s">
        <v>408</v>
      </c>
      <c r="E101" s="11" t="s">
        <v>298</v>
      </c>
      <c r="F101" s="162">
        <v>43678</v>
      </c>
      <c r="G101" s="284" t="s">
        <v>292</v>
      </c>
      <c r="H101" s="9" t="s">
        <v>299</v>
      </c>
      <c r="I101" s="406" t="s">
        <v>300</v>
      </c>
      <c r="J101" s="97">
        <f>+K101</f>
        <v>310000</v>
      </c>
      <c r="K101" s="462">
        <v>310000</v>
      </c>
      <c r="L101" s="83"/>
      <c r="M101" s="283"/>
    </row>
    <row r="102" spans="2:17" ht="15" customHeight="1" x14ac:dyDescent="0.25">
      <c r="B102" s="72">
        <f t="shared" si="1"/>
        <v>51</v>
      </c>
      <c r="C102" s="285" t="s">
        <v>406</v>
      </c>
      <c r="D102" s="339" t="s">
        <v>408</v>
      </c>
      <c r="E102" s="11" t="s">
        <v>301</v>
      </c>
      <c r="F102" s="162">
        <v>43678</v>
      </c>
      <c r="G102" s="284" t="s">
        <v>302</v>
      </c>
      <c r="H102" s="9" t="s">
        <v>58</v>
      </c>
      <c r="I102" s="10" t="s">
        <v>303</v>
      </c>
      <c r="J102" s="97">
        <f>+K102</f>
        <v>414058</v>
      </c>
      <c r="K102" s="462">
        <v>414058</v>
      </c>
      <c r="L102" s="83"/>
      <c r="M102" s="283"/>
    </row>
    <row r="103" spans="2:17" ht="15" customHeight="1" x14ac:dyDescent="0.25">
      <c r="B103" s="72">
        <f t="shared" si="1"/>
        <v>52</v>
      </c>
      <c r="C103" s="285" t="s">
        <v>406</v>
      </c>
      <c r="D103" s="296" t="s">
        <v>408</v>
      </c>
      <c r="E103" s="11" t="s">
        <v>304</v>
      </c>
      <c r="F103" s="162">
        <v>43678</v>
      </c>
      <c r="G103" s="284" t="s">
        <v>302</v>
      </c>
      <c r="H103" s="9" t="s">
        <v>58</v>
      </c>
      <c r="I103" s="10" t="s">
        <v>305</v>
      </c>
      <c r="J103" s="97">
        <f t="shared" ref="J103:J104" si="4">+K103</f>
        <v>207029</v>
      </c>
      <c r="K103" s="462">
        <v>207029</v>
      </c>
      <c r="L103" s="83"/>
      <c r="M103" s="283"/>
    </row>
    <row r="104" spans="2:17" s="275" customFormat="1" ht="15" customHeight="1" x14ac:dyDescent="0.25">
      <c r="B104" s="72">
        <f t="shared" si="1"/>
        <v>53</v>
      </c>
      <c r="C104" s="285" t="s">
        <v>406</v>
      </c>
      <c r="D104" s="285" t="s">
        <v>408</v>
      </c>
      <c r="E104" s="320" t="s">
        <v>306</v>
      </c>
      <c r="F104" s="321">
        <v>43678</v>
      </c>
      <c r="G104" s="322" t="s">
        <v>302</v>
      </c>
      <c r="H104" s="323" t="s">
        <v>58</v>
      </c>
      <c r="I104" s="10" t="s">
        <v>307</v>
      </c>
      <c r="J104" s="324">
        <f t="shared" si="4"/>
        <v>621087</v>
      </c>
      <c r="K104" s="473">
        <v>621087</v>
      </c>
      <c r="L104" s="325"/>
      <c r="M104" s="326"/>
    </row>
    <row r="105" spans="2:17" s="275" customFormat="1" ht="15" customHeight="1" x14ac:dyDescent="0.25">
      <c r="B105" s="72">
        <f t="shared" si="1"/>
        <v>54</v>
      </c>
      <c r="C105" s="285" t="s">
        <v>406</v>
      </c>
      <c r="D105" s="285" t="s">
        <v>408</v>
      </c>
      <c r="E105" s="320" t="s">
        <v>308</v>
      </c>
      <c r="F105" s="321">
        <v>43678</v>
      </c>
      <c r="G105" s="322" t="s">
        <v>292</v>
      </c>
      <c r="H105" s="323">
        <v>782</v>
      </c>
      <c r="I105" s="10" t="s">
        <v>309</v>
      </c>
      <c r="J105" s="324">
        <f>+K105</f>
        <v>2097851</v>
      </c>
      <c r="K105" s="463">
        <v>2097851</v>
      </c>
      <c r="L105" s="325"/>
      <c r="M105" s="326"/>
      <c r="Q105" s="471" t="s">
        <v>401</v>
      </c>
    </row>
    <row r="106" spans="2:17" ht="15" customHeight="1" x14ac:dyDescent="0.25">
      <c r="B106" s="72">
        <f t="shared" si="1"/>
        <v>55</v>
      </c>
      <c r="C106" s="285"/>
      <c r="D106" s="11"/>
      <c r="E106" s="11"/>
      <c r="F106" s="162"/>
      <c r="G106" s="284"/>
      <c r="H106" s="9"/>
      <c r="I106" s="406"/>
      <c r="J106" s="196"/>
      <c r="K106" s="97"/>
      <c r="L106" s="83"/>
      <c r="M106" s="283"/>
    </row>
    <row r="107" spans="2:17" ht="15" customHeight="1" x14ac:dyDescent="0.25">
      <c r="B107" s="72">
        <f t="shared" si="1"/>
        <v>56</v>
      </c>
      <c r="C107" s="285"/>
      <c r="D107" s="11"/>
      <c r="E107" s="11"/>
      <c r="F107" s="162"/>
      <c r="G107" s="284"/>
      <c r="H107" s="9"/>
      <c r="I107" s="406"/>
      <c r="J107" s="196"/>
      <c r="K107" s="97"/>
      <c r="L107" s="83"/>
      <c r="M107" s="283"/>
    </row>
    <row r="108" spans="2:17" ht="15" customHeight="1" x14ac:dyDescent="0.25">
      <c r="B108" s="72">
        <f t="shared" si="1"/>
        <v>57</v>
      </c>
      <c r="C108" s="285"/>
      <c r="D108" s="11"/>
      <c r="E108" s="11"/>
      <c r="F108" s="162"/>
      <c r="G108" s="284"/>
      <c r="H108" s="9"/>
      <c r="I108" s="65"/>
      <c r="J108" s="196"/>
      <c r="K108" s="97"/>
      <c r="L108" s="83"/>
      <c r="M108" s="283"/>
    </row>
    <row r="109" spans="2:17" ht="15" customHeight="1" x14ac:dyDescent="0.25">
      <c r="B109" s="72">
        <f t="shared" si="1"/>
        <v>58</v>
      </c>
      <c r="C109" s="285"/>
      <c r="D109" s="11"/>
      <c r="E109" s="11"/>
      <c r="F109" s="162"/>
      <c r="G109" s="284"/>
      <c r="H109" s="9"/>
      <c r="I109" s="65"/>
      <c r="J109" s="196"/>
      <c r="K109" s="97"/>
      <c r="L109" s="83"/>
      <c r="M109" s="283"/>
    </row>
    <row r="110" spans="2:17" ht="15.75" customHeight="1" x14ac:dyDescent="0.25">
      <c r="B110" s="72">
        <f t="shared" si="1"/>
        <v>59</v>
      </c>
      <c r="C110" s="80"/>
      <c r="D110" s="80"/>
      <c r="E110" s="11"/>
      <c r="F110" s="9"/>
      <c r="G110" s="16"/>
      <c r="H110" s="9"/>
      <c r="I110" s="65"/>
      <c r="J110" s="196"/>
      <c r="K110" s="97"/>
      <c r="L110" s="100"/>
    </row>
    <row r="111" spans="2:17" ht="15.75" customHeight="1" x14ac:dyDescent="0.25">
      <c r="B111" s="72">
        <f t="shared" si="1"/>
        <v>60</v>
      </c>
      <c r="C111" s="80"/>
      <c r="D111" s="80"/>
      <c r="E111" s="11"/>
      <c r="F111" s="9"/>
      <c r="G111" s="16"/>
      <c r="H111" s="9"/>
      <c r="I111" s="65"/>
      <c r="J111" s="196"/>
      <c r="K111" s="97"/>
      <c r="L111" s="100"/>
    </row>
    <row r="112" spans="2:17" ht="15.75" customHeight="1" x14ac:dyDescent="0.25">
      <c r="B112" s="72">
        <f t="shared" si="1"/>
        <v>61</v>
      </c>
      <c r="C112" s="80"/>
      <c r="D112" s="80"/>
      <c r="E112" s="11"/>
      <c r="F112" s="9"/>
      <c r="G112" s="16"/>
      <c r="H112" s="9"/>
      <c r="I112" s="65"/>
      <c r="J112" s="196"/>
      <c r="K112" s="97"/>
      <c r="L112" s="100"/>
    </row>
    <row r="113" spans="2:13" ht="15.75" customHeight="1" x14ac:dyDescent="0.25">
      <c r="B113" s="72">
        <f t="shared" si="1"/>
        <v>62</v>
      </c>
      <c r="C113" s="80"/>
      <c r="D113" s="80"/>
      <c r="E113" s="11"/>
      <c r="F113" s="9"/>
      <c r="G113" s="16"/>
      <c r="H113" s="9"/>
      <c r="I113" s="65"/>
      <c r="J113" s="196"/>
      <c r="K113" s="97"/>
      <c r="L113" s="100"/>
    </row>
    <row r="114" spans="2:13" x14ac:dyDescent="0.25">
      <c r="D114" s="78"/>
      <c r="G114" s="61"/>
      <c r="H114" s="69"/>
    </row>
    <row r="115" spans="2:13" x14ac:dyDescent="0.25">
      <c r="B115" s="547"/>
      <c r="C115" s="548"/>
      <c r="D115" s="548"/>
      <c r="E115" s="548"/>
      <c r="F115" s="548"/>
      <c r="G115" s="548"/>
      <c r="H115" s="548"/>
      <c r="I115" s="548"/>
      <c r="J115" s="549"/>
      <c r="K115" s="32">
        <f>SUM(K52:K114)</f>
        <v>106151501</v>
      </c>
    </row>
    <row r="117" spans="2:13" x14ac:dyDescent="0.25">
      <c r="I117" s="82"/>
    </row>
    <row r="118" spans="2:13" x14ac:dyDescent="0.25">
      <c r="F118" s="82"/>
      <c r="M118" s="82"/>
    </row>
    <row r="123" spans="2:13" x14ac:dyDescent="0.25">
      <c r="H123" s="82"/>
    </row>
    <row r="125" spans="2:13" x14ac:dyDescent="0.25">
      <c r="G125" s="286"/>
      <c r="H125" s="286"/>
    </row>
    <row r="127" spans="2:13" x14ac:dyDescent="0.25">
      <c r="G127" s="286"/>
    </row>
    <row r="128" spans="2:13" x14ac:dyDescent="0.25">
      <c r="G128" s="287"/>
    </row>
    <row r="130" spans="7:7" x14ac:dyDescent="0.25">
      <c r="G130" s="286"/>
    </row>
    <row r="131" spans="7:7" x14ac:dyDescent="0.25">
      <c r="G131" s="287"/>
    </row>
  </sheetData>
  <autoFilter ref="B51:M113" xr:uid="{3A482EF5-CD4B-4277-B93F-1D03A8DCB93F}"/>
  <mergeCells count="5">
    <mergeCell ref="B4:J4"/>
    <mergeCell ref="B48:J48"/>
    <mergeCell ref="B9:C9"/>
    <mergeCell ref="B8:C8"/>
    <mergeCell ref="B115:J115"/>
  </mergeCells>
  <pageMargins left="0.7" right="0.7" top="0.75" bottom="0.75" header="0.3" footer="0.3"/>
  <pageSetup scale="68" orientation="landscape"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S51"/>
  <sheetViews>
    <sheetView workbookViewId="0"/>
  </sheetViews>
  <sheetFormatPr baseColWidth="10" defaultColWidth="11.42578125" defaultRowHeight="15" x14ac:dyDescent="0.25"/>
  <cols>
    <col min="1" max="1" width="20.5703125" style="68" customWidth="1"/>
    <col min="2" max="2" width="29.140625" style="68" bestFit="1" customWidth="1"/>
    <col min="3" max="3" width="24.5703125" style="68" bestFit="1" customWidth="1"/>
    <col min="4" max="5" width="24.85546875" style="68" customWidth="1"/>
    <col min="6" max="6" width="11.42578125" style="61"/>
    <col min="7" max="7" width="14" style="61" bestFit="1" customWidth="1"/>
    <col min="8" max="16384" width="11.42578125" style="68"/>
  </cols>
  <sheetData>
    <row r="1" spans="1:123" s="61" customFormat="1" ht="22.5" customHeight="1" x14ac:dyDescent="0.25">
      <c r="E1" s="39"/>
    </row>
    <row r="2" spans="1:123" s="61" customFormat="1" ht="22.5" customHeight="1" x14ac:dyDescent="0.25"/>
    <row r="3" spans="1:123" s="61" customFormat="1" ht="22.5" customHeight="1" x14ac:dyDescent="0.25"/>
    <row r="4" spans="1:123" s="61" customFormat="1" ht="22.5" customHeight="1" x14ac:dyDescent="0.4">
      <c r="A4" s="550" t="s">
        <v>310</v>
      </c>
      <c r="B4" s="550"/>
      <c r="C4" s="550"/>
      <c r="D4" s="550"/>
      <c r="E4" s="550"/>
    </row>
    <row r="5" spans="1:123" s="61" customFormat="1" ht="22.5" customHeight="1" x14ac:dyDescent="0.4">
      <c r="A5" s="342"/>
      <c r="B5" s="342"/>
      <c r="C5" s="342"/>
      <c r="D5" s="342"/>
      <c r="E5" s="342"/>
    </row>
    <row r="6" spans="1:123" s="61" customFormat="1" ht="15" customHeight="1" x14ac:dyDescent="0.4">
      <c r="A6" s="129" t="s">
        <v>311</v>
      </c>
      <c r="B6" s="342"/>
      <c r="C6" s="342"/>
      <c r="D6" s="185" t="str">
        <f>+'GLOBAL CONVENIO'!G10</f>
        <v>FECHA DE PRESENTACIÓN</v>
      </c>
      <c r="E6" s="184">
        <f>+'GLOBAL CONVENIO'!I10</f>
        <v>43728</v>
      </c>
    </row>
    <row r="7" spans="1:123" s="61" customFormat="1" ht="15" customHeight="1" x14ac:dyDescent="0.4">
      <c r="A7" s="73" t="str">
        <f>+'GASTOS ADTIVOS'!B6</f>
        <v>Versión 4: 14/08/19</v>
      </c>
      <c r="B7" s="342"/>
      <c r="C7" s="342"/>
      <c r="D7" s="185" t="str">
        <f>+'GLOBAL CONVENIO'!G11</f>
        <v>PERIODO DE REPORTE</v>
      </c>
      <c r="E7" s="185" t="str">
        <f>+'GLOBAL CONVENIO'!I11</f>
        <v>AGOSTO</v>
      </c>
    </row>
    <row r="8" spans="1:123" s="61" customFormat="1" ht="22.5" customHeight="1" x14ac:dyDescent="0.4">
      <c r="A8" s="128"/>
      <c r="B8" s="342"/>
      <c r="C8" s="342"/>
      <c r="D8" s="342"/>
      <c r="E8" s="342"/>
    </row>
    <row r="9" spans="1:123" s="52" customFormat="1" x14ac:dyDescent="0.25">
      <c r="A9" s="50" t="s">
        <v>312</v>
      </c>
      <c r="B9" s="51" t="s">
        <v>313</v>
      </c>
      <c r="C9" s="51" t="s">
        <v>314</v>
      </c>
      <c r="D9" s="51" t="s">
        <v>315</v>
      </c>
      <c r="E9" s="51" t="s">
        <v>316</v>
      </c>
      <c r="G9" s="85"/>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row>
    <row r="10" spans="1:123" s="67" customFormat="1" x14ac:dyDescent="0.25">
      <c r="A10" s="84">
        <v>43616</v>
      </c>
      <c r="B10" s="88">
        <v>259274.4</v>
      </c>
      <c r="C10" s="81"/>
      <c r="D10" s="89">
        <f>+B10-C10</f>
        <v>259274.4</v>
      </c>
      <c r="E10" s="59"/>
      <c r="F10" s="61"/>
      <c r="G10" s="85"/>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row>
    <row r="11" spans="1:123" s="67" customFormat="1" x14ac:dyDescent="0.25">
      <c r="A11" s="84">
        <v>43644</v>
      </c>
      <c r="B11" s="288">
        <v>771485.17</v>
      </c>
      <c r="C11" s="81"/>
      <c r="D11" s="89">
        <f>+B11-C11</f>
        <v>771485.17</v>
      </c>
      <c r="E11" s="59"/>
      <c r="F11" s="61"/>
      <c r="G11" s="85"/>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row>
    <row r="12" spans="1:123" s="67" customFormat="1" x14ac:dyDescent="0.25">
      <c r="A12" s="289">
        <v>43677</v>
      </c>
      <c r="B12" s="88">
        <v>769068.02</v>
      </c>
      <c r="C12" s="86"/>
      <c r="D12" s="89">
        <f>+B12-C12</f>
        <v>769068.02</v>
      </c>
      <c r="E12" s="59"/>
      <c r="F12" s="61"/>
      <c r="G12" s="85"/>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row>
    <row r="13" spans="1:123" s="67" customFormat="1" x14ac:dyDescent="0.25">
      <c r="A13" s="345"/>
      <c r="B13" s="346"/>
      <c r="C13" s="347"/>
      <c r="D13" s="348"/>
      <c r="E13" s="59"/>
      <c r="F13" s="61"/>
      <c r="G13" s="85"/>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row>
    <row r="14" spans="1:123" s="93" customFormat="1" ht="15.75" thickBot="1" x14ac:dyDescent="0.3">
      <c r="A14" s="90" t="s">
        <v>317</v>
      </c>
      <c r="B14" s="91">
        <f>SUM(B10:B13)</f>
        <v>1799827.59</v>
      </c>
      <c r="C14" s="91">
        <f>SUM(C10:C13)</f>
        <v>0</v>
      </c>
      <c r="D14" s="91">
        <f>SUM(D10:D13)</f>
        <v>1799827.59</v>
      </c>
      <c r="E14" s="91">
        <f>SUM(E10:E13)</f>
        <v>0</v>
      </c>
      <c r="F14" s="4"/>
      <c r="G14" s="92"/>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row>
    <row r="15" spans="1:123" s="61" customFormat="1" ht="15.75" thickTop="1" x14ac:dyDescent="0.25"/>
    <row r="16" spans="1:123" s="61" customFormat="1" x14ac:dyDescent="0.25">
      <c r="A16" s="4" t="s">
        <v>318</v>
      </c>
    </row>
    <row r="17" spans="1:1" s="61" customFormat="1" x14ac:dyDescent="0.25">
      <c r="A17" s="61" t="s">
        <v>319</v>
      </c>
    </row>
    <row r="18" spans="1:1" s="61" customFormat="1" x14ac:dyDescent="0.25"/>
    <row r="19" spans="1:1" s="61" customFormat="1" x14ac:dyDescent="0.25"/>
    <row r="20" spans="1:1" s="61" customFormat="1" x14ac:dyDescent="0.25"/>
    <row r="21" spans="1:1" s="61" customFormat="1" x14ac:dyDescent="0.25"/>
    <row r="22" spans="1:1" s="61" customFormat="1" x14ac:dyDescent="0.25"/>
    <row r="23" spans="1:1" s="61" customFormat="1" x14ac:dyDescent="0.25"/>
    <row r="24" spans="1:1" s="61" customFormat="1" x14ac:dyDescent="0.25"/>
    <row r="25" spans="1:1" s="61" customFormat="1" x14ac:dyDescent="0.25"/>
    <row r="26" spans="1:1" s="61" customFormat="1" x14ac:dyDescent="0.25"/>
    <row r="27" spans="1:1" s="61" customFormat="1" x14ac:dyDescent="0.25"/>
    <row r="28" spans="1:1" s="61" customFormat="1" x14ac:dyDescent="0.25"/>
    <row r="29" spans="1:1" s="61" customFormat="1" x14ac:dyDescent="0.25"/>
    <row r="30" spans="1:1" s="61" customFormat="1" x14ac:dyDescent="0.25"/>
    <row r="31" spans="1:1" s="61" customFormat="1" x14ac:dyDescent="0.25"/>
    <row r="32" spans="1:1" s="61" customFormat="1" x14ac:dyDescent="0.25"/>
    <row r="33" s="61" customFormat="1" x14ac:dyDescent="0.25"/>
    <row r="34" s="61" customFormat="1" x14ac:dyDescent="0.25"/>
    <row r="35" s="61" customFormat="1" x14ac:dyDescent="0.25"/>
    <row r="36" s="61" customFormat="1" x14ac:dyDescent="0.25"/>
    <row r="37" s="61" customFormat="1" x14ac:dyDescent="0.25"/>
    <row r="38" s="61" customFormat="1" x14ac:dyDescent="0.25"/>
    <row r="39" s="61" customFormat="1" x14ac:dyDescent="0.25"/>
    <row r="40" s="61" customFormat="1" x14ac:dyDescent="0.25"/>
    <row r="41" s="61" customFormat="1" x14ac:dyDescent="0.25"/>
    <row r="42" s="61" customFormat="1" x14ac:dyDescent="0.25"/>
    <row r="43" s="61" customFormat="1" x14ac:dyDescent="0.25"/>
    <row r="44" s="61" customFormat="1" x14ac:dyDescent="0.25"/>
    <row r="45" s="61" customFormat="1" x14ac:dyDescent="0.25"/>
    <row r="46" s="61" customFormat="1" x14ac:dyDescent="0.25"/>
    <row r="47" s="61" customFormat="1" x14ac:dyDescent="0.25"/>
    <row r="48" s="61" customFormat="1" x14ac:dyDescent="0.25"/>
    <row r="49" s="61" customFormat="1" x14ac:dyDescent="0.25"/>
    <row r="50" s="61" customFormat="1" x14ac:dyDescent="0.25"/>
    <row r="51" s="61" customFormat="1" x14ac:dyDescent="0.25"/>
  </sheetData>
  <mergeCells count="1">
    <mergeCell ref="A4:E4"/>
  </mergeCells>
  <pageMargins left="0.7" right="0.7" top="0.75" bottom="0.75" header="0.3" footer="0.3"/>
  <pageSetup orientation="portrait" r:id="rId1"/>
  <rowBreaks count="1" manualBreakCount="1">
    <brk id="19" max="16383" man="1"/>
  </rowBreaks>
  <colBreaks count="1" manualBreakCount="1">
    <brk id="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5"/>
  <sheetViews>
    <sheetView zoomScaleNormal="100" workbookViewId="0"/>
  </sheetViews>
  <sheetFormatPr baseColWidth="10" defaultColWidth="11.42578125" defaultRowHeight="15" x14ac:dyDescent="0.25"/>
  <cols>
    <col min="1" max="1" width="16.140625" style="61" customWidth="1"/>
    <col min="2" max="2" width="13.140625" style="61" customWidth="1"/>
    <col min="3" max="3" width="51.140625" style="61" customWidth="1"/>
    <col min="4" max="4" width="27.5703125" style="62" customWidth="1"/>
    <col min="5" max="5" width="11.42578125" style="61"/>
    <col min="6" max="6" width="15.28515625" style="61" bestFit="1" customWidth="1"/>
    <col min="7" max="16384" width="11.42578125" style="61"/>
  </cols>
  <sheetData>
    <row r="1" spans="1:6" x14ac:dyDescent="0.25">
      <c r="E1" s="39"/>
    </row>
    <row r="4" spans="1:6" s="64" customFormat="1" x14ac:dyDescent="0.25">
      <c r="A4" s="60"/>
      <c r="B4" s="60"/>
      <c r="C4" s="60"/>
      <c r="D4" s="63"/>
    </row>
    <row r="5" spans="1:6" s="64" customFormat="1" ht="26.25" x14ac:dyDescent="0.4">
      <c r="A5" s="552" t="s">
        <v>320</v>
      </c>
      <c r="B5" s="552"/>
      <c r="C5" s="552"/>
      <c r="D5" s="552"/>
      <c r="E5" s="552"/>
    </row>
    <row r="6" spans="1:6" s="64" customFormat="1" ht="26.25" x14ac:dyDescent="0.4">
      <c r="A6" s="343"/>
      <c r="B6" s="343"/>
      <c r="C6" s="343"/>
      <c r="D6" s="343"/>
      <c r="E6" s="343"/>
    </row>
    <row r="7" spans="1:6" s="64" customFormat="1" ht="14.25" customHeight="1" x14ac:dyDescent="0.3">
      <c r="A7" s="197" t="s">
        <v>321</v>
      </c>
      <c r="B7" s="60"/>
      <c r="C7" s="60"/>
      <c r="D7" s="199" t="str">
        <f>+'GLOBAL CONVENIO'!G10</f>
        <v>FECHA DE PRESENTACIÓN</v>
      </c>
      <c r="E7" s="200">
        <f>+'GLOBAL CONVENIO'!I10</f>
        <v>43728</v>
      </c>
    </row>
    <row r="8" spans="1:6" s="64" customFormat="1" x14ac:dyDescent="0.25">
      <c r="A8" s="198" t="str">
        <f>+'RENDIMIENTOS FROS'!A7</f>
        <v>Versión 4: 14/08/19</v>
      </c>
      <c r="B8" s="60"/>
      <c r="C8" s="60"/>
      <c r="D8" s="201" t="str">
        <f>+'GLOBAL CONVENIO'!G11</f>
        <v>PERIODO DE REPORTE</v>
      </c>
      <c r="E8" s="202" t="str">
        <f>+'GLOBAL CONVENIO'!I11</f>
        <v>AGOSTO</v>
      </c>
    </row>
    <row r="9" spans="1:6" s="64" customFormat="1" x14ac:dyDescent="0.25">
      <c r="A9" s="60"/>
      <c r="B9" s="60"/>
      <c r="C9" s="60"/>
      <c r="D9" s="63"/>
    </row>
    <row r="10" spans="1:6" x14ac:dyDescent="0.25">
      <c r="C10" s="58" t="s">
        <v>322</v>
      </c>
      <c r="D10" s="87">
        <v>533715105</v>
      </c>
    </row>
    <row r="11" spans="1:6" x14ac:dyDescent="0.25">
      <c r="C11" s="58" t="s">
        <v>323</v>
      </c>
      <c r="D11" s="87">
        <v>533050975.08999997</v>
      </c>
    </row>
    <row r="12" spans="1:6" x14ac:dyDescent="0.25">
      <c r="C12" s="58" t="s">
        <v>324</v>
      </c>
      <c r="D12" s="349">
        <f>+D11-D10</f>
        <v>-664129.91000002623</v>
      </c>
    </row>
    <row r="13" spans="1:6" x14ac:dyDescent="0.25">
      <c r="C13" s="65"/>
      <c r="D13" s="65"/>
    </row>
    <row r="14" spans="1:6" x14ac:dyDescent="0.25">
      <c r="D14" s="61"/>
    </row>
    <row r="15" spans="1:6" ht="28.5" customHeight="1" x14ac:dyDescent="0.25">
      <c r="A15" s="551" t="s">
        <v>325</v>
      </c>
      <c r="B15" s="551"/>
      <c r="C15" s="551"/>
      <c r="D15" s="551"/>
      <c r="F15" s="94"/>
    </row>
    <row r="16" spans="1:6" x14ac:dyDescent="0.25">
      <c r="A16" s="99"/>
      <c r="B16" s="99"/>
      <c r="C16" s="99"/>
      <c r="D16" s="99"/>
    </row>
    <row r="17" spans="1:6" x14ac:dyDescent="0.25">
      <c r="A17" s="61" t="s">
        <v>326</v>
      </c>
    </row>
    <row r="19" spans="1:6" x14ac:dyDescent="0.25">
      <c r="A19" s="95" t="s">
        <v>327</v>
      </c>
      <c r="B19" s="4"/>
      <c r="C19" s="4"/>
    </row>
    <row r="25" spans="1:6" x14ac:dyDescent="0.25">
      <c r="D25" s="5"/>
      <c r="E25" s="62"/>
      <c r="F25" s="62"/>
    </row>
  </sheetData>
  <mergeCells count="2">
    <mergeCell ref="A15:D15"/>
    <mergeCell ref="A5:E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FAAE-348B-4720-BF74-9881ECFCD9DB}">
  <dimension ref="A2:M29"/>
  <sheetViews>
    <sheetView workbookViewId="0">
      <selection activeCell="D10" sqref="D10:E13"/>
    </sheetView>
  </sheetViews>
  <sheetFormatPr baseColWidth="10" defaultColWidth="11.42578125" defaultRowHeight="15" x14ac:dyDescent="0.25"/>
  <cols>
    <col min="2" max="2" width="11.42578125" style="110"/>
    <col min="3" max="3" width="13.7109375" customWidth="1"/>
    <col min="4" max="4" width="14.85546875" customWidth="1"/>
    <col min="5" max="5" width="13.7109375" customWidth="1"/>
    <col min="6" max="6" width="12.5703125" customWidth="1"/>
    <col min="7" max="7" width="12.85546875" customWidth="1"/>
    <col min="8" max="8" width="12.28515625" customWidth="1"/>
    <col min="9" max="9" width="13" customWidth="1"/>
    <col min="10" max="10" width="14.28515625" customWidth="1"/>
    <col min="11" max="11" width="14" bestFit="1" customWidth="1"/>
    <col min="12" max="12" width="22.5703125" customWidth="1"/>
    <col min="13" max="13" width="13.5703125" customWidth="1"/>
  </cols>
  <sheetData>
    <row r="2" spans="1:13" ht="26.25" x14ac:dyDescent="0.4">
      <c r="B2" s="557" t="s">
        <v>328</v>
      </c>
      <c r="C2" s="557"/>
      <c r="D2" s="557"/>
      <c r="E2" s="557"/>
      <c r="F2" s="557"/>
      <c r="G2" s="557"/>
      <c r="H2" s="557"/>
      <c r="I2" s="557"/>
      <c r="J2" s="557"/>
      <c r="K2" s="557"/>
      <c r="L2" s="557"/>
      <c r="M2" s="557"/>
    </row>
    <row r="4" spans="1:13" x14ac:dyDescent="0.25">
      <c r="C4" s="125" t="s">
        <v>329</v>
      </c>
      <c r="D4" s="553" t="s">
        <v>330</v>
      </c>
      <c r="E4" s="553"/>
      <c r="F4" s="553"/>
      <c r="G4" s="553"/>
      <c r="H4" s="553"/>
      <c r="I4" s="553"/>
      <c r="J4" s="553"/>
    </row>
    <row r="5" spans="1:13" ht="45" customHeight="1" x14ac:dyDescent="0.25">
      <c r="B5" s="554" t="s">
        <v>182</v>
      </c>
      <c r="C5" s="118" t="s">
        <v>331</v>
      </c>
      <c r="D5" s="112">
        <v>1</v>
      </c>
      <c r="E5" s="112">
        <v>2</v>
      </c>
      <c r="F5" s="112">
        <v>3</v>
      </c>
      <c r="G5" s="112">
        <v>4</v>
      </c>
      <c r="H5" s="112">
        <v>5</v>
      </c>
      <c r="I5" s="112">
        <v>6</v>
      </c>
      <c r="J5" s="112">
        <v>7</v>
      </c>
      <c r="K5" s="112" t="s">
        <v>332</v>
      </c>
    </row>
    <row r="6" spans="1:13" ht="23.25" x14ac:dyDescent="0.25">
      <c r="B6" s="555"/>
      <c r="C6" s="119" t="s">
        <v>333</v>
      </c>
      <c r="D6" s="115" t="str">
        <f>+GESTORES!D12</f>
        <v>XXXXX</v>
      </c>
      <c r="E6" s="115" t="str">
        <f>+GESTORES!D13</f>
        <v>XXXXX</v>
      </c>
      <c r="F6" s="115" t="str">
        <f>+GESTORES!D14</f>
        <v>XXXXX</v>
      </c>
      <c r="G6" s="116" t="str">
        <f>+GESTORES!D15</f>
        <v>XXXXX</v>
      </c>
      <c r="H6" s="116" t="str">
        <f>+GESTORES!C16</f>
        <v>XXX</v>
      </c>
      <c r="I6" s="116" t="str">
        <f>+GESTORES!C17</f>
        <v>XXX</v>
      </c>
      <c r="J6" s="116">
        <f>+GESTORES!C18</f>
        <v>0</v>
      </c>
      <c r="K6" s="117"/>
    </row>
    <row r="7" spans="1:13" x14ac:dyDescent="0.25">
      <c r="B7" s="555"/>
      <c r="C7" s="120" t="s">
        <v>334</v>
      </c>
      <c r="D7" s="122">
        <f>VLOOKUP(D5,GESTORES!$B$12:$I$18,7,FALSE)</f>
        <v>43601</v>
      </c>
      <c r="E7" s="122">
        <f>VLOOKUP(E5,GESTORES!$B$12:$I$18,7,FALSE)</f>
        <v>43601</v>
      </c>
      <c r="F7" s="122">
        <f>VLOOKUP(F5,GESTORES!$B$12:$I$18,7,FALSE)</f>
        <v>43601</v>
      </c>
      <c r="G7" s="122">
        <f>VLOOKUP(G5,GESTORES!$B$12:$I$18,7,FALSE)</f>
        <v>43613</v>
      </c>
      <c r="H7" s="122">
        <f>VLOOKUP(H5,GESTORES!$B$12:$I$18,7,FALSE)</f>
        <v>43648</v>
      </c>
      <c r="I7" s="122">
        <f>VLOOKUP(I5,GESTORES!$B$12:$I$18,7,FALSE)</f>
        <v>43662</v>
      </c>
      <c r="J7" s="122" t="e">
        <f>VLOOKUP(J5,GESTORES!$B$12:$I$18,7,FALSE)</f>
        <v>#N/A</v>
      </c>
      <c r="K7" s="117"/>
    </row>
    <row r="8" spans="1:13" x14ac:dyDescent="0.25">
      <c r="B8" s="556"/>
      <c r="C8" s="120" t="s">
        <v>335</v>
      </c>
      <c r="D8" s="122">
        <f>VLOOKUP(D5,GESTORES!$B$12:$I$18,8,FALSE)</f>
        <v>43819</v>
      </c>
      <c r="E8" s="122">
        <f>VLOOKUP(E5,GESTORES!$B$12:$I$18,8,FALSE)</f>
        <v>43819</v>
      </c>
      <c r="F8" s="122">
        <f>VLOOKUP(F5,GESTORES!$B$12:$I$18,8,FALSE)</f>
        <v>43819</v>
      </c>
      <c r="G8" s="122">
        <f>VLOOKUP(G5,GESTORES!$B$12:$I$18,8,FALSE)</f>
        <v>43819</v>
      </c>
      <c r="H8" s="122">
        <f>VLOOKUP(H5,GESTORES!$B$12:$I$18,8,FALSE)</f>
        <v>43819</v>
      </c>
      <c r="I8" s="122">
        <f>VLOOKUP(I5,GESTORES!$B$12:$I$18,8,FALSE)</f>
        <v>43819</v>
      </c>
      <c r="J8" s="122" t="e">
        <f>VLOOKUP(J5,GESTORES!$B$12:$I$18,8,FALSE)</f>
        <v>#N/A</v>
      </c>
      <c r="K8" s="112" t="s">
        <v>336</v>
      </c>
      <c r="L8" s="112" t="s">
        <v>337</v>
      </c>
      <c r="M8" s="112" t="s">
        <v>338</v>
      </c>
    </row>
    <row r="9" spans="1:13" ht="22.5" x14ac:dyDescent="0.25">
      <c r="B9" s="344"/>
      <c r="C9" s="120" t="s">
        <v>339</v>
      </c>
      <c r="D9" s="121">
        <v>6051500</v>
      </c>
      <c r="E9" s="161">
        <v>6051500</v>
      </c>
      <c r="F9" s="121">
        <v>6051500</v>
      </c>
      <c r="G9" s="121">
        <v>6051500</v>
      </c>
      <c r="H9" s="121">
        <v>6051500</v>
      </c>
      <c r="I9" s="121">
        <v>6051500</v>
      </c>
      <c r="J9" s="121">
        <v>6051500</v>
      </c>
      <c r="K9" s="112"/>
    </row>
    <row r="10" spans="1:13" x14ac:dyDescent="0.25">
      <c r="A10" s="124">
        <v>43615</v>
      </c>
      <c r="B10" s="113">
        <v>5</v>
      </c>
      <c r="C10" s="134">
        <f>($D$9/30)*(15*3)</f>
        <v>9077250</v>
      </c>
      <c r="D10" s="160"/>
      <c r="E10" s="160"/>
      <c r="F10" s="160"/>
      <c r="G10" s="81"/>
      <c r="H10" s="81"/>
      <c r="I10" s="81"/>
      <c r="J10" s="81"/>
      <c r="K10" s="81"/>
      <c r="L10" s="59"/>
      <c r="M10" s="123"/>
    </row>
    <row r="11" spans="1:13" x14ac:dyDescent="0.25">
      <c r="A11" s="124">
        <v>43616</v>
      </c>
      <c r="B11" s="113">
        <v>6</v>
      </c>
      <c r="C11" s="135">
        <f>+E9*4</f>
        <v>24206000</v>
      </c>
      <c r="D11" s="160"/>
      <c r="E11" s="160"/>
      <c r="F11" s="160"/>
      <c r="G11" s="81"/>
      <c r="H11" s="81"/>
      <c r="I11" s="81"/>
      <c r="J11" s="81"/>
      <c r="K11" s="81"/>
      <c r="L11" s="59"/>
      <c r="M11" s="123"/>
    </row>
    <row r="12" spans="1:13" x14ac:dyDescent="0.25">
      <c r="A12" s="124">
        <v>43617</v>
      </c>
      <c r="B12" s="113">
        <v>7</v>
      </c>
      <c r="C12" s="126"/>
      <c r="D12" s="160"/>
      <c r="E12" s="160"/>
      <c r="F12" s="81"/>
      <c r="G12" s="81"/>
      <c r="H12" s="81"/>
      <c r="I12" s="81"/>
      <c r="J12" s="81"/>
      <c r="K12" s="81"/>
      <c r="L12" s="59"/>
      <c r="M12" s="123"/>
    </row>
    <row r="13" spans="1:13" x14ac:dyDescent="0.25">
      <c r="A13" s="124">
        <v>43618</v>
      </c>
      <c r="B13" s="113">
        <v>8</v>
      </c>
      <c r="C13" s="126"/>
      <c r="D13" s="160"/>
      <c r="E13" s="160"/>
      <c r="F13" s="81"/>
      <c r="G13" s="81"/>
      <c r="H13" s="81"/>
      <c r="I13" s="81"/>
      <c r="J13" s="81"/>
      <c r="K13" s="81"/>
      <c r="L13" s="59"/>
      <c r="M13" s="123"/>
    </row>
    <row r="14" spans="1:13" x14ac:dyDescent="0.25">
      <c r="A14" s="124">
        <v>43619</v>
      </c>
      <c r="B14" s="113">
        <v>9</v>
      </c>
      <c r="C14" s="126"/>
      <c r="D14" s="81"/>
      <c r="E14" s="81"/>
      <c r="F14" s="81"/>
      <c r="G14" s="81"/>
      <c r="H14" s="81"/>
      <c r="I14" s="81"/>
      <c r="J14" s="81"/>
      <c r="K14" s="81"/>
      <c r="L14" s="59"/>
      <c r="M14" s="123"/>
    </row>
    <row r="15" spans="1:13" x14ac:dyDescent="0.25">
      <c r="A15" s="124">
        <v>43620</v>
      </c>
      <c r="B15" s="113">
        <v>10</v>
      </c>
      <c r="C15" s="126"/>
      <c r="D15" s="81"/>
      <c r="E15" s="81"/>
      <c r="F15" s="81"/>
      <c r="G15" s="81"/>
      <c r="H15" s="81"/>
      <c r="I15" s="81"/>
      <c r="J15" s="81"/>
      <c r="K15" s="81"/>
      <c r="L15" s="59"/>
      <c r="M15" s="123"/>
    </row>
    <row r="16" spans="1:13" x14ac:dyDescent="0.25">
      <c r="A16" s="124">
        <v>43621</v>
      </c>
      <c r="B16" s="113">
        <v>11</v>
      </c>
      <c r="C16" s="126"/>
      <c r="D16" s="81"/>
      <c r="E16" s="81"/>
      <c r="F16" s="81"/>
      <c r="G16" s="81"/>
      <c r="H16" s="81"/>
      <c r="I16" s="81"/>
      <c r="J16" s="81"/>
      <c r="K16" s="81"/>
      <c r="L16" s="59"/>
      <c r="M16" s="123"/>
    </row>
    <row r="17" spans="1:13" x14ac:dyDescent="0.25">
      <c r="A17" s="124">
        <v>43622</v>
      </c>
      <c r="B17" s="113">
        <v>12</v>
      </c>
      <c r="C17" s="126"/>
      <c r="D17" s="81"/>
      <c r="E17" s="81"/>
      <c r="F17" s="81"/>
      <c r="G17" s="81"/>
      <c r="H17" s="81"/>
      <c r="I17" s="81"/>
      <c r="J17" s="81"/>
      <c r="K17" s="81"/>
      <c r="L17" s="59"/>
      <c r="M17" s="123"/>
    </row>
    <row r="18" spans="1:13" x14ac:dyDescent="0.25">
      <c r="A18" s="124">
        <v>43623</v>
      </c>
      <c r="B18" s="113">
        <v>1</v>
      </c>
      <c r="C18" s="126"/>
      <c r="D18" s="81"/>
      <c r="E18" s="81"/>
      <c r="F18" s="81"/>
      <c r="G18" s="81"/>
      <c r="H18" s="81"/>
      <c r="I18" s="81"/>
      <c r="J18" s="81"/>
      <c r="K18" s="81"/>
      <c r="L18" s="59"/>
      <c r="M18" s="123"/>
    </row>
    <row r="19" spans="1:13" x14ac:dyDescent="0.25">
      <c r="A19" s="124">
        <v>43624</v>
      </c>
      <c r="B19" s="113">
        <v>2</v>
      </c>
      <c r="C19" s="126"/>
      <c r="D19" s="81"/>
      <c r="E19" s="81"/>
      <c r="F19" s="81"/>
      <c r="G19" s="81"/>
      <c r="H19" s="81"/>
      <c r="I19" s="81"/>
      <c r="J19" s="81"/>
      <c r="K19" s="81"/>
      <c r="L19" s="59"/>
      <c r="M19" s="123"/>
    </row>
    <row r="20" spans="1:13" x14ac:dyDescent="0.25">
      <c r="A20" s="124">
        <v>43625</v>
      </c>
      <c r="B20" s="113">
        <v>3</v>
      </c>
      <c r="C20" s="126"/>
      <c r="D20" s="81"/>
      <c r="E20" s="81"/>
      <c r="F20" s="81"/>
      <c r="G20" s="81"/>
      <c r="H20" s="81"/>
      <c r="I20" s="81"/>
      <c r="J20" s="81"/>
      <c r="K20" s="81"/>
      <c r="L20" s="59"/>
      <c r="M20" s="123"/>
    </row>
    <row r="21" spans="1:13" x14ac:dyDescent="0.25">
      <c r="A21" s="124">
        <v>43626</v>
      </c>
      <c r="B21" s="113">
        <v>4</v>
      </c>
      <c r="C21" s="126"/>
      <c r="D21" s="81"/>
      <c r="E21" s="81"/>
      <c r="F21" s="81"/>
      <c r="G21" s="81"/>
      <c r="H21" s="81"/>
      <c r="I21" s="81"/>
      <c r="J21" s="81"/>
      <c r="K21" s="81"/>
      <c r="L21" s="59"/>
      <c r="M21" s="123"/>
    </row>
    <row r="22" spans="1:13" x14ac:dyDescent="0.25">
      <c r="B22" s="98"/>
      <c r="C22" s="4"/>
      <c r="D22" s="114"/>
      <c r="E22" s="114"/>
      <c r="F22" s="114"/>
      <c r="G22" s="114"/>
      <c r="H22" s="114"/>
      <c r="I22" s="114"/>
      <c r="J22" s="114"/>
      <c r="K22" s="111"/>
      <c r="L22" s="59"/>
      <c r="M22" s="123"/>
    </row>
    <row r="23" spans="1:13" x14ac:dyDescent="0.25">
      <c r="B23" s="98"/>
      <c r="C23" s="4"/>
    </row>
    <row r="24" spans="1:13" x14ac:dyDescent="0.25">
      <c r="B24" s="98"/>
      <c r="C24" s="4"/>
      <c r="J24" s="105" t="s">
        <v>340</v>
      </c>
      <c r="K24" s="106">
        <f>+'GLOBAL CONVENIO'!D18</f>
        <v>326781000</v>
      </c>
    </row>
    <row r="25" spans="1:13" x14ac:dyDescent="0.25">
      <c r="B25" s="98"/>
      <c r="C25" s="4"/>
      <c r="J25" s="105" t="s">
        <v>341</v>
      </c>
      <c r="K25" s="104">
        <f>+K24-K22</f>
        <v>326781000</v>
      </c>
    </row>
    <row r="26" spans="1:13" x14ac:dyDescent="0.25">
      <c r="B26" s="98"/>
      <c r="C26" s="4"/>
    </row>
    <row r="27" spans="1:13" x14ac:dyDescent="0.25">
      <c r="B27" s="98"/>
      <c r="C27" s="4"/>
    </row>
    <row r="28" spans="1:13" x14ac:dyDescent="0.25">
      <c r="B28" s="98"/>
      <c r="C28" s="4"/>
    </row>
    <row r="29" spans="1:13" x14ac:dyDescent="0.25">
      <c r="B29" s="98"/>
      <c r="C29" s="4"/>
    </row>
  </sheetData>
  <mergeCells count="3">
    <mergeCell ref="D4:J4"/>
    <mergeCell ref="B5:B8"/>
    <mergeCell ref="B2:M2"/>
  </mergeCells>
  <conditionalFormatting sqref="M10">
    <cfRule type="cellIs" dxfId="1" priority="2" operator="lessThan">
      <formula>0</formula>
    </cfRule>
  </conditionalFormatting>
  <conditionalFormatting sqref="M11:M22">
    <cfRule type="cellIs" dxfId="0" priority="1" operator="lessThan">
      <formula>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2" ma:contentTypeDescription="Crear nuevo documento." ma:contentTypeScope="" ma:versionID="dbad80012b18575488cdb75a6b6caf14">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b4f4e3a87be8bb59d7b6c57be9655c80"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F2B761-C1B3-472A-837B-FA8E58CB7C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DD0F88-F053-4FE9-8699-4A64452A79EE}">
  <ds:schemaRefs>
    <ds:schemaRef ds:uri="http://schemas.microsoft.com/sharepoint/v3/contenttype/forms"/>
  </ds:schemaRefs>
</ds:datastoreItem>
</file>

<file path=customXml/itemProps3.xml><?xml version="1.0" encoding="utf-8"?>
<ds:datastoreItem xmlns:ds="http://schemas.openxmlformats.org/officeDocument/2006/customXml" ds:itemID="{92F76EE3-9534-4700-A133-CE2B8AEF1C5C}">
  <ds:schemaRefs>
    <ds:schemaRef ds:uri="http://purl.org/dc/dcmitype/"/>
    <ds:schemaRef ds:uri="02caa5f6-c79e-4e2b-a9df-f7c4c6ff327b"/>
    <ds:schemaRef ds:uri="5f291ae9-1d3a-4c26-947c-935a2aab2b2d"/>
    <ds:schemaRef ds:uri="http://purl.org/dc/term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GLOBAL CONVENIO</vt:lpstr>
      <vt:lpstr>GESTORES</vt:lpstr>
      <vt:lpstr>EXTENSIONISTAS</vt:lpstr>
      <vt:lpstr>GASTOS ADTIVOS</vt:lpstr>
      <vt:lpstr>RENDIMIENTOS FROS</vt:lpstr>
      <vt:lpstr>CONCILIACIÓN BANCARIA</vt:lpstr>
      <vt:lpstr>esta iria oculta</vt:lpstr>
      <vt:lpstr>'GASTOS ADTIVOS'!Área_de_impresión</vt:lpstr>
      <vt:lpstr>'RENDIMIENTOS FROS'!Área_de_impresión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Jina Marcela Lozano Bedoya</dc:creator>
  <cp:keywords/>
  <dc:description/>
  <cp:lastModifiedBy>Sandra Gu</cp:lastModifiedBy>
  <cp:revision/>
  <dcterms:created xsi:type="dcterms:W3CDTF">2016-08-30T21:15:43Z</dcterms:created>
  <dcterms:modified xsi:type="dcterms:W3CDTF">2020-09-26T03:02:32Z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