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Administrador.LAPTOP-71V21TSO\Documents\ART\CALIFICACIÓN\DEFINITIVO FIERA\"/>
    </mc:Choice>
  </mc:AlternateContent>
  <workbookProtection workbookPassword="CCE3" lockStructure="1"/>
  <bookViews>
    <workbookView xWindow="0" yWindow="0" windowWidth="20490" windowHeight="7530" firstSheet="2" activeTab="2"/>
  </bookViews>
  <sheets>
    <sheet name="PPTO OFICIAL" sheetId="1" state="hidden" r:id="rId1"/>
    <sheet name="DATOS BASE DEL GRUPO" sheetId="14" state="hidden" r:id="rId2"/>
    <sheet name="CONSOLIDADO" sheetId="8" r:id="rId3"/>
    <sheet name="HABILITANTES JURIDICOS" sheetId="3" state="hidden" r:id="rId4"/>
    <sheet name="HABILI FINANCIEROS CON_DES CESA" sheetId="4" r:id="rId5"/>
    <sheet name="HABILI FINANCIEROS CON_OBRA EN " sheetId="10" r:id="rId6"/>
    <sheet name="HABILI FINANCIEROS CON_PIC SIER" sheetId="11" r:id="rId7"/>
    <sheet name="HABILI FINANCIEROS CON_LV PERIJ" sheetId="12" r:id="rId8"/>
    <sheet name="HABILI FINANCIEROS UT PERIJA 20" sheetId="13" r:id="rId9"/>
    <sheet name="HABILI FINANCIEROS UT OBRAS REN" sheetId="16" r:id="rId10"/>
    <sheet name="HABILI FINANCIEROS CON_INFRAEST" sheetId="17" r:id="rId11"/>
    <sheet name="HABILI FINANCIEROS UT FORT COMU" sheetId="18" r:id="rId12"/>
    <sheet name="HABILI FINANCIEROS UT RENACER" sheetId="19" r:id="rId13"/>
    <sheet name="HABILI FINANCIEROS WILLIAM DAZA" sheetId="20" r:id="rId14"/>
    <sheet name="HABILI FINANCIEROS FED NAL CAFE" sheetId="21" r:id="rId15"/>
    <sheet name="HABILI FINANCIEROS UT PROSPERID" sheetId="22" r:id="rId16"/>
    <sheet name="HABILI FINANCIEROS OFERENTE 13" sheetId="23" state="hidden" r:id="rId17"/>
    <sheet name="HABILI FINANCIEROS OFERENTE 14" sheetId="24" state="hidden" r:id="rId18"/>
    <sheet name="HABILI FINANCIEROS OFERENTE 15" sheetId="25" state="hidden" r:id="rId19"/>
    <sheet name="HABILI FINANCIEROS OFERENTE 16" sheetId="26" state="hidden" r:id="rId20"/>
    <sheet name="RESUMEN HABILITANTES FINANCIERO" sheetId="15" r:id="rId21"/>
    <sheet name="HABILITANTES TECNICOS DEL GRUPO" sheetId="5" state="hidden" r:id="rId22"/>
    <sheet name="CALIFICACION PRECIO" sheetId="2" state="hidden" r:id="rId23"/>
    <sheet name="CALIF GRUPO EXP E IND NAL " sheetId="7" state="hidden" r:id="rId24"/>
    <sheet name="RESUMEN CALIFICACIÓN GRUPO" sheetId="6" state="hidden" r:id="rId25"/>
  </sheets>
  <definedNames>
    <definedName name="_xlnm.Print_Area" localSheetId="4">'HABILI FINANCIEROS CON_DES CESA'!$A$1:$AA$63</definedName>
    <definedName name="_xlnm.Print_Area" localSheetId="0">'PPTO OFICIAL'!$A$2:$K$14</definedName>
    <definedName name="_xlnm.Print_Titles" localSheetId="3">'HABILITANTES JURIDICOS'!$8:$8</definedName>
  </definedNames>
  <calcPr calcId="162913"/>
  <fileRecoveryPr autoRecover="0"/>
</workbook>
</file>

<file path=xl/calcChain.xml><?xml version="1.0" encoding="utf-8"?>
<calcChain xmlns="http://schemas.openxmlformats.org/spreadsheetml/2006/main">
  <c r="R51" i="8" l="1"/>
  <c r="Q51" i="8"/>
  <c r="I39" i="18"/>
  <c r="C35" i="8"/>
  <c r="C31" i="8"/>
  <c r="S26" i="8"/>
  <c r="S8" i="8"/>
  <c r="B6" i="14"/>
  <c r="B5" i="14"/>
  <c r="A3" i="14"/>
  <c r="AF5" i="8"/>
  <c r="H25" i="14"/>
  <c r="H24" i="14"/>
  <c r="H23" i="14"/>
  <c r="H22" i="14"/>
  <c r="H21" i="14"/>
  <c r="H20" i="14"/>
  <c r="H19" i="14"/>
  <c r="H18" i="14"/>
  <c r="H17" i="14"/>
  <c r="H16" i="14"/>
  <c r="H15" i="14"/>
  <c r="F51" i="8"/>
  <c r="F47" i="8"/>
  <c r="F43" i="8"/>
  <c r="F39" i="8"/>
  <c r="F35" i="8"/>
  <c r="F31" i="8"/>
  <c r="F27" i="8"/>
  <c r="F23" i="8"/>
  <c r="F19" i="8"/>
  <c r="F15" i="8"/>
  <c r="F11" i="8"/>
  <c r="F7" i="8"/>
  <c r="C20" i="2"/>
  <c r="D20" i="2" s="1"/>
  <c r="C19" i="2"/>
  <c r="D19" i="2" s="1"/>
  <c r="C18" i="2"/>
  <c r="D18" i="2" s="1"/>
  <c r="C17" i="2"/>
  <c r="D17" i="2" s="1"/>
  <c r="C16" i="2"/>
  <c r="C15" i="2"/>
  <c r="D15" i="2" s="1"/>
  <c r="C21" i="2" s="1"/>
  <c r="C14" i="2"/>
  <c r="C13" i="2"/>
  <c r="D13" i="2" s="1"/>
  <c r="C12" i="2"/>
  <c r="D12" i="2" s="1"/>
  <c r="C11" i="2"/>
  <c r="C10" i="2"/>
  <c r="D10" i="2"/>
  <c r="C9" i="2"/>
  <c r="D9" i="2" s="1"/>
  <c r="C8" i="2"/>
  <c r="C7" i="2"/>
  <c r="C6" i="2"/>
  <c r="C5" i="2"/>
  <c r="AF75" i="8"/>
  <c r="AF76" i="8" s="1"/>
  <c r="AF73" i="8"/>
  <c r="AF74" i="8"/>
  <c r="D16" i="2"/>
  <c r="D14" i="2"/>
  <c r="D11" i="2"/>
  <c r="B20" i="2"/>
  <c r="B31" i="7" s="1"/>
  <c r="B44" i="7" s="1"/>
  <c r="B54" i="7" s="1"/>
  <c r="B64" i="7" s="1"/>
  <c r="B19" i="2"/>
  <c r="B18" i="2"/>
  <c r="B17" i="2"/>
  <c r="B16" i="2"/>
  <c r="B15" i="2"/>
  <c r="B14" i="2"/>
  <c r="B13" i="2"/>
  <c r="B12" i="2"/>
  <c r="B11" i="2"/>
  <c r="B10" i="2"/>
  <c r="B9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1" i="2"/>
  <c r="B411" i="5"/>
  <c r="B410" i="5"/>
  <c r="B409" i="5"/>
  <c r="B407" i="5"/>
  <c r="A452" i="5" s="1"/>
  <c r="B384" i="5"/>
  <c r="B383" i="5"/>
  <c r="B382" i="5"/>
  <c r="B380" i="5"/>
  <c r="A451" i="5" s="1"/>
  <c r="B357" i="5"/>
  <c r="B356" i="5"/>
  <c r="B355" i="5"/>
  <c r="B353" i="5"/>
  <c r="A450" i="5"/>
  <c r="B330" i="5"/>
  <c r="B329" i="5"/>
  <c r="B328" i="5"/>
  <c r="B326" i="5"/>
  <c r="A449" i="5" s="1"/>
  <c r="B303" i="5"/>
  <c r="B302" i="5"/>
  <c r="B301" i="5"/>
  <c r="B299" i="5"/>
  <c r="A448" i="5" s="1"/>
  <c r="B276" i="5"/>
  <c r="B275" i="5"/>
  <c r="B274" i="5"/>
  <c r="B272" i="5"/>
  <c r="A447" i="5" s="1"/>
  <c r="B249" i="5"/>
  <c r="B248" i="5"/>
  <c r="B247" i="5"/>
  <c r="B245" i="5"/>
  <c r="A446" i="5" s="1"/>
  <c r="B222" i="5"/>
  <c r="B221" i="5"/>
  <c r="B220" i="5"/>
  <c r="B218" i="5"/>
  <c r="A445" i="5"/>
  <c r="B195" i="5"/>
  <c r="B194" i="5"/>
  <c r="B193" i="5"/>
  <c r="B191" i="5"/>
  <c r="A444" i="5" s="1"/>
  <c r="B168" i="5"/>
  <c r="B167" i="5"/>
  <c r="B166" i="5"/>
  <c r="B164" i="5"/>
  <c r="A443" i="5" s="1"/>
  <c r="B141" i="5"/>
  <c r="B140" i="5"/>
  <c r="B139" i="5"/>
  <c r="B137" i="5"/>
  <c r="A442" i="5" s="1"/>
  <c r="I432" i="5"/>
  <c r="H428" i="5"/>
  <c r="H427" i="5"/>
  <c r="H426" i="5"/>
  <c r="H425" i="5"/>
  <c r="H424" i="5"/>
  <c r="H423" i="5"/>
  <c r="H422" i="5"/>
  <c r="E422" i="5"/>
  <c r="E423" i="5" s="1"/>
  <c r="H421" i="5"/>
  <c r="I405" i="5"/>
  <c r="H401" i="5"/>
  <c r="H400" i="5"/>
  <c r="H399" i="5"/>
  <c r="H398" i="5"/>
  <c r="H397" i="5"/>
  <c r="H396" i="5"/>
  <c r="H395" i="5"/>
  <c r="E395" i="5"/>
  <c r="E396" i="5" s="1"/>
  <c r="H394" i="5"/>
  <c r="I394" i="5" s="1"/>
  <c r="I378" i="5"/>
  <c r="H374" i="5"/>
  <c r="H373" i="5"/>
  <c r="H372" i="5"/>
  <c r="H371" i="5"/>
  <c r="H370" i="5"/>
  <c r="H369" i="5"/>
  <c r="H368" i="5"/>
  <c r="E368" i="5"/>
  <c r="E369" i="5"/>
  <c r="H367" i="5"/>
  <c r="I351" i="5"/>
  <c r="H347" i="5"/>
  <c r="H346" i="5"/>
  <c r="H345" i="5"/>
  <c r="H344" i="5"/>
  <c r="H343" i="5"/>
  <c r="H342" i="5"/>
  <c r="H341" i="5"/>
  <c r="E341" i="5"/>
  <c r="E342" i="5" s="1"/>
  <c r="H340" i="5"/>
  <c r="I324" i="5"/>
  <c r="H320" i="5"/>
  <c r="H319" i="5"/>
  <c r="H318" i="5"/>
  <c r="H317" i="5"/>
  <c r="H316" i="5"/>
  <c r="H315" i="5"/>
  <c r="M321" i="5" s="1"/>
  <c r="H314" i="5"/>
  <c r="E314" i="5"/>
  <c r="E315" i="5" s="1"/>
  <c r="E316" i="5" s="1"/>
  <c r="H313" i="5"/>
  <c r="I297" i="5"/>
  <c r="H293" i="5"/>
  <c r="H292" i="5"/>
  <c r="H291" i="5"/>
  <c r="H290" i="5"/>
  <c r="H289" i="5"/>
  <c r="H288" i="5"/>
  <c r="H287" i="5"/>
  <c r="E287" i="5"/>
  <c r="E288" i="5" s="1"/>
  <c r="H286" i="5"/>
  <c r="I286" i="5" s="1"/>
  <c r="I270" i="5"/>
  <c r="H266" i="5"/>
  <c r="H265" i="5"/>
  <c r="H264" i="5"/>
  <c r="H263" i="5"/>
  <c r="H262" i="5"/>
  <c r="H261" i="5"/>
  <c r="H260" i="5"/>
  <c r="E260" i="5"/>
  <c r="E261" i="5"/>
  <c r="M267" i="5" s="1"/>
  <c r="H259" i="5"/>
  <c r="I243" i="5"/>
  <c r="H239" i="5"/>
  <c r="H238" i="5"/>
  <c r="H237" i="5"/>
  <c r="H236" i="5"/>
  <c r="H235" i="5"/>
  <c r="H234" i="5"/>
  <c r="H233" i="5"/>
  <c r="E233" i="5"/>
  <c r="E234" i="5" s="1"/>
  <c r="H232" i="5"/>
  <c r="I216" i="5"/>
  <c r="H212" i="5"/>
  <c r="H211" i="5"/>
  <c r="H210" i="5"/>
  <c r="H209" i="5"/>
  <c r="H208" i="5"/>
  <c r="H207" i="5"/>
  <c r="H206" i="5"/>
  <c r="E206" i="5"/>
  <c r="E207" i="5" s="1"/>
  <c r="H205" i="5"/>
  <c r="I189" i="5"/>
  <c r="H185" i="5"/>
  <c r="H184" i="5"/>
  <c r="H183" i="5"/>
  <c r="H182" i="5"/>
  <c r="H181" i="5"/>
  <c r="H180" i="5"/>
  <c r="H179" i="5"/>
  <c r="E179" i="5"/>
  <c r="E180" i="5" s="1"/>
  <c r="H178" i="5"/>
  <c r="I162" i="5"/>
  <c r="H158" i="5"/>
  <c r="H157" i="5"/>
  <c r="H156" i="5"/>
  <c r="H155" i="5"/>
  <c r="H154" i="5"/>
  <c r="H153" i="5"/>
  <c r="M159" i="5" s="1"/>
  <c r="H152" i="5"/>
  <c r="E152" i="5"/>
  <c r="E153" i="5"/>
  <c r="H151" i="5"/>
  <c r="I232" i="5"/>
  <c r="E370" i="5"/>
  <c r="E262" i="5"/>
  <c r="E263" i="5" s="1"/>
  <c r="E154" i="5"/>
  <c r="F159" i="5"/>
  <c r="E155" i="5"/>
  <c r="E156" i="5"/>
  <c r="E157" i="5" s="1"/>
  <c r="E158" i="5" s="1"/>
  <c r="F160" i="5"/>
  <c r="H160" i="5" s="1"/>
  <c r="M160" i="5"/>
  <c r="F161" i="5"/>
  <c r="G407" i="3"/>
  <c r="G406" i="3"/>
  <c r="G405" i="3"/>
  <c r="B407" i="3"/>
  <c r="B406" i="3"/>
  <c r="B405" i="3"/>
  <c r="B403" i="3"/>
  <c r="A446" i="3" s="1"/>
  <c r="G380" i="3"/>
  <c r="G379" i="3"/>
  <c r="G378" i="3"/>
  <c r="B380" i="3"/>
  <c r="B379" i="3"/>
  <c r="B378" i="3"/>
  <c r="B376" i="3"/>
  <c r="A445" i="3"/>
  <c r="G353" i="3"/>
  <c r="G352" i="3"/>
  <c r="G351" i="3"/>
  <c r="B353" i="3"/>
  <c r="B352" i="3"/>
  <c r="B351" i="3"/>
  <c r="B349" i="3"/>
  <c r="A444" i="3"/>
  <c r="G326" i="3"/>
  <c r="G325" i="3"/>
  <c r="G324" i="3"/>
  <c r="B326" i="3"/>
  <c r="B325" i="3"/>
  <c r="B324" i="3"/>
  <c r="B322" i="3"/>
  <c r="A443" i="3"/>
  <c r="G299" i="3"/>
  <c r="G298" i="3"/>
  <c r="H298" i="3" s="1"/>
  <c r="G297" i="3"/>
  <c r="B299" i="3"/>
  <c r="B298" i="3"/>
  <c r="B297" i="3"/>
  <c r="B295" i="3"/>
  <c r="A442" i="3" s="1"/>
  <c r="G272" i="3"/>
  <c r="G271" i="3"/>
  <c r="G270" i="3"/>
  <c r="B272" i="3"/>
  <c r="B271" i="3"/>
  <c r="B270" i="3"/>
  <c r="B268" i="3"/>
  <c r="A441" i="3" s="1"/>
  <c r="G245" i="3"/>
  <c r="G244" i="3"/>
  <c r="G243" i="3"/>
  <c r="H244" i="3" s="1"/>
  <c r="B245" i="3"/>
  <c r="B244" i="3"/>
  <c r="B243" i="3"/>
  <c r="B241" i="3"/>
  <c r="A440" i="3" s="1"/>
  <c r="G218" i="3"/>
  <c r="G217" i="3"/>
  <c r="H217" i="3" s="1"/>
  <c r="G216" i="3"/>
  <c r="B218" i="3"/>
  <c r="B217" i="3"/>
  <c r="B216" i="3"/>
  <c r="B214" i="3"/>
  <c r="A439" i="3" s="1"/>
  <c r="G191" i="3"/>
  <c r="H190" i="3" s="1"/>
  <c r="G190" i="3"/>
  <c r="G189" i="3"/>
  <c r="B191" i="3"/>
  <c r="B190" i="3"/>
  <c r="B189" i="3"/>
  <c r="J134" i="3"/>
  <c r="B187" i="3"/>
  <c r="A438" i="3" s="1"/>
  <c r="G164" i="3"/>
  <c r="G163" i="3"/>
  <c r="G162" i="3"/>
  <c r="B164" i="3"/>
  <c r="B163" i="3"/>
  <c r="B162" i="3"/>
  <c r="B160" i="3"/>
  <c r="A437" i="3" s="1"/>
  <c r="G137" i="3"/>
  <c r="G136" i="3"/>
  <c r="G135" i="3"/>
  <c r="B137" i="3"/>
  <c r="B136" i="3"/>
  <c r="B135" i="3"/>
  <c r="B133" i="3"/>
  <c r="A436" i="3" s="1"/>
  <c r="G110" i="3"/>
  <c r="G109" i="3"/>
  <c r="G108" i="3"/>
  <c r="B110" i="3"/>
  <c r="B109" i="3"/>
  <c r="B108" i="3"/>
  <c r="B106" i="3"/>
  <c r="A435" i="3" s="1"/>
  <c r="Q75" i="8"/>
  <c r="J406" i="3"/>
  <c r="J405" i="3"/>
  <c r="J403" i="3" s="1"/>
  <c r="B446" i="3" s="1"/>
  <c r="J404" i="3"/>
  <c r="J379" i="3"/>
  <c r="J378" i="3"/>
  <c r="J376" i="3" s="1"/>
  <c r="B445" i="3" s="1"/>
  <c r="J377" i="3"/>
  <c r="J352" i="3"/>
  <c r="J351" i="3"/>
  <c r="J349" i="3" s="1"/>
  <c r="B444" i="3" s="1"/>
  <c r="J350" i="3"/>
  <c r="J325" i="3"/>
  <c r="J324" i="3"/>
  <c r="J322" i="3"/>
  <c r="B443" i="3" s="1"/>
  <c r="J323" i="3"/>
  <c r="J298" i="3"/>
  <c r="J297" i="3"/>
  <c r="J295" i="3" s="1"/>
  <c r="B442" i="3" s="1"/>
  <c r="J296" i="3"/>
  <c r="J271" i="3"/>
  <c r="J270" i="3"/>
  <c r="J268" i="3" s="1"/>
  <c r="B441" i="3" s="1"/>
  <c r="J269" i="3"/>
  <c r="J244" i="3"/>
  <c r="J243" i="3"/>
  <c r="J241" i="3" s="1"/>
  <c r="B440" i="3" s="1"/>
  <c r="J242" i="3"/>
  <c r="J217" i="3"/>
  <c r="J216" i="3"/>
  <c r="J214" i="3" s="1"/>
  <c r="B439" i="3" s="1"/>
  <c r="J215" i="3"/>
  <c r="J190" i="3"/>
  <c r="J189" i="3"/>
  <c r="J187" i="3"/>
  <c r="B438" i="3" s="1"/>
  <c r="J188" i="3"/>
  <c r="J163" i="3"/>
  <c r="J162" i="3"/>
  <c r="J160" i="3" s="1"/>
  <c r="B437" i="3" s="1"/>
  <c r="J161" i="3"/>
  <c r="J136" i="3"/>
  <c r="J135" i="3"/>
  <c r="J133" i="3" s="1"/>
  <c r="B436" i="3" s="1"/>
  <c r="B50" i="26"/>
  <c r="B49" i="26"/>
  <c r="B48" i="26"/>
  <c r="B47" i="26"/>
  <c r="B42" i="26"/>
  <c r="B41" i="26"/>
  <c r="B40" i="26"/>
  <c r="B39" i="26"/>
  <c r="H41" i="26" s="1"/>
  <c r="B34" i="26"/>
  <c r="H32" i="26" s="1"/>
  <c r="B33" i="26"/>
  <c r="B32" i="26"/>
  <c r="B31" i="26"/>
  <c r="B50" i="25"/>
  <c r="B49" i="25"/>
  <c r="B48" i="25"/>
  <c r="B47" i="25"/>
  <c r="H49" i="25" s="1"/>
  <c r="B42" i="25"/>
  <c r="B41" i="25"/>
  <c r="B40" i="25"/>
  <c r="B39" i="25"/>
  <c r="H39" i="25" s="1"/>
  <c r="B34" i="25"/>
  <c r="B33" i="25"/>
  <c r="B32" i="25"/>
  <c r="B31" i="25"/>
  <c r="H33" i="25" s="1"/>
  <c r="B50" i="24"/>
  <c r="B49" i="24"/>
  <c r="B48" i="24"/>
  <c r="B47" i="24"/>
  <c r="B42" i="24"/>
  <c r="B41" i="24"/>
  <c r="B40" i="24"/>
  <c r="B39" i="24"/>
  <c r="B34" i="24"/>
  <c r="B33" i="24"/>
  <c r="B32" i="24"/>
  <c r="B31" i="24"/>
  <c r="B50" i="23"/>
  <c r="B49" i="23"/>
  <c r="B48" i="23"/>
  <c r="B47" i="23"/>
  <c r="B42" i="23"/>
  <c r="B41" i="23"/>
  <c r="B40" i="23"/>
  <c r="B39" i="23"/>
  <c r="B34" i="23"/>
  <c r="B33" i="23"/>
  <c r="B32" i="23"/>
  <c r="B31" i="23"/>
  <c r="B50" i="22"/>
  <c r="B49" i="22"/>
  <c r="B48" i="22"/>
  <c r="B47" i="22"/>
  <c r="B42" i="22"/>
  <c r="B41" i="22"/>
  <c r="B40" i="22"/>
  <c r="B39" i="22"/>
  <c r="B34" i="22"/>
  <c r="H32" i="22" s="1"/>
  <c r="B33" i="22"/>
  <c r="B32" i="22"/>
  <c r="B31" i="22"/>
  <c r="B50" i="21"/>
  <c r="B49" i="21"/>
  <c r="H48" i="21"/>
  <c r="I48" i="21" s="1"/>
  <c r="B48" i="21"/>
  <c r="B47" i="21"/>
  <c r="H49" i="21"/>
  <c r="M25" i="21" s="1"/>
  <c r="B42" i="21"/>
  <c r="B41" i="21"/>
  <c r="B40" i="21"/>
  <c r="B39" i="21"/>
  <c r="B34" i="21"/>
  <c r="B33" i="21"/>
  <c r="B32" i="21"/>
  <c r="B31" i="21"/>
  <c r="B50" i="20"/>
  <c r="B49" i="20"/>
  <c r="H48" i="20"/>
  <c r="I48" i="20" s="1"/>
  <c r="B48" i="20"/>
  <c r="H49" i="20"/>
  <c r="B47" i="20"/>
  <c r="B42" i="20"/>
  <c r="H40" i="20" s="1"/>
  <c r="I40" i="20" s="1"/>
  <c r="B41" i="20"/>
  <c r="B40" i="20"/>
  <c r="B39" i="20"/>
  <c r="B34" i="20"/>
  <c r="B33" i="20"/>
  <c r="B32" i="20"/>
  <c r="H33" i="20" s="1"/>
  <c r="B31" i="20"/>
  <c r="B50" i="19"/>
  <c r="B49" i="19"/>
  <c r="B48" i="19"/>
  <c r="B47" i="19"/>
  <c r="B42" i="19"/>
  <c r="B41" i="19"/>
  <c r="B40" i="19"/>
  <c r="H39" i="19" s="1"/>
  <c r="B39" i="19"/>
  <c r="B34" i="19"/>
  <c r="B33" i="19"/>
  <c r="B32" i="19"/>
  <c r="B31" i="19"/>
  <c r="B50" i="18"/>
  <c r="B49" i="18"/>
  <c r="B48" i="18"/>
  <c r="H49" i="18" s="1"/>
  <c r="B47" i="18"/>
  <c r="B42" i="18"/>
  <c r="B41" i="18"/>
  <c r="B40" i="18"/>
  <c r="B39" i="18"/>
  <c r="B34" i="18"/>
  <c r="B33" i="18"/>
  <c r="B32" i="18"/>
  <c r="B31" i="18"/>
  <c r="H31" i="18" s="1"/>
  <c r="I31" i="18" s="1"/>
  <c r="B50" i="17"/>
  <c r="B49" i="17"/>
  <c r="B48" i="17"/>
  <c r="B47" i="17"/>
  <c r="B42" i="17"/>
  <c r="B41" i="17"/>
  <c r="B40" i="17"/>
  <c r="B39" i="17"/>
  <c r="B34" i="17"/>
  <c r="I32" i="17"/>
  <c r="B33" i="17"/>
  <c r="H32" i="17" s="1"/>
  <c r="B32" i="17"/>
  <c r="B31" i="17"/>
  <c r="H33" i="17"/>
  <c r="B50" i="16"/>
  <c r="B49" i="16"/>
  <c r="B48" i="16"/>
  <c r="B47" i="16"/>
  <c r="B42" i="16"/>
  <c r="B41" i="16"/>
  <c r="H40" i="16" s="1"/>
  <c r="I40" i="16" s="1"/>
  <c r="B40" i="16"/>
  <c r="B39" i="16"/>
  <c r="B34" i="16"/>
  <c r="B33" i="16"/>
  <c r="B32" i="16"/>
  <c r="H33" i="16" s="1"/>
  <c r="K25" i="16" s="1"/>
  <c r="B31" i="16"/>
  <c r="G6" i="16"/>
  <c r="G5" i="16"/>
  <c r="G4" i="16"/>
  <c r="G6" i="17"/>
  <c r="G5" i="17"/>
  <c r="G4" i="17"/>
  <c r="G6" i="18"/>
  <c r="H5" i="18" s="1"/>
  <c r="G5" i="18"/>
  <c r="G4" i="18"/>
  <c r="D30" i="18" s="1"/>
  <c r="G6" i="19"/>
  <c r="D46" i="19" s="1"/>
  <c r="G5" i="19"/>
  <c r="G4" i="19"/>
  <c r="G6" i="20"/>
  <c r="G5" i="20"/>
  <c r="G4" i="20"/>
  <c r="G6" i="21"/>
  <c r="G5" i="21"/>
  <c r="D38" i="21" s="1"/>
  <c r="G4" i="21"/>
  <c r="G6" i="22"/>
  <c r="G5" i="22"/>
  <c r="G4" i="22"/>
  <c r="G6" i="23"/>
  <c r="D46" i="23"/>
  <c r="G5" i="23"/>
  <c r="D38" i="23" s="1"/>
  <c r="G4" i="23"/>
  <c r="G6" i="24"/>
  <c r="D46" i="24"/>
  <c r="G5" i="24"/>
  <c r="D38" i="24" s="1"/>
  <c r="G4" i="24"/>
  <c r="G6" i="25"/>
  <c r="G5" i="25"/>
  <c r="G4" i="25"/>
  <c r="D30" i="25" s="1"/>
  <c r="G6" i="26"/>
  <c r="G5" i="26"/>
  <c r="G4" i="26"/>
  <c r="D30" i="26" s="1"/>
  <c r="B6" i="26"/>
  <c r="M22" i="26"/>
  <c r="B5" i="26"/>
  <c r="B38" i="26" s="1"/>
  <c r="B4" i="26"/>
  <c r="B30" i="26" s="1"/>
  <c r="B6" i="25"/>
  <c r="B5" i="25"/>
  <c r="B38" i="25" s="1"/>
  <c r="B4" i="25"/>
  <c r="B30" i="25" s="1"/>
  <c r="K22" i="25"/>
  <c r="B6" i="24"/>
  <c r="B5" i="24"/>
  <c r="B38" i="24"/>
  <c r="B4" i="24"/>
  <c r="B6" i="23"/>
  <c r="B5" i="23"/>
  <c r="B4" i="23"/>
  <c r="B30" i="23" s="1"/>
  <c r="B6" i="22"/>
  <c r="M22" i="22" s="1"/>
  <c r="B5" i="22"/>
  <c r="B38" i="22" s="1"/>
  <c r="B4" i="22"/>
  <c r="B6" i="21"/>
  <c r="B5" i="21"/>
  <c r="B38" i="21" s="1"/>
  <c r="B4" i="21"/>
  <c r="K22" i="21" s="1"/>
  <c r="B6" i="20"/>
  <c r="M22" i="20" s="1"/>
  <c r="B5" i="20"/>
  <c r="B4" i="20"/>
  <c r="B30" i="20" s="1"/>
  <c r="B6" i="19"/>
  <c r="M22" i="19" s="1"/>
  <c r="B5" i="19"/>
  <c r="B38" i="19" s="1"/>
  <c r="B4" i="19"/>
  <c r="B6" i="18"/>
  <c r="M22" i="18" s="1"/>
  <c r="B5" i="18"/>
  <c r="L22" i="18" s="1"/>
  <c r="B4" i="18"/>
  <c r="B30" i="18" s="1"/>
  <c r="B6" i="17"/>
  <c r="B5" i="17"/>
  <c r="B4" i="17"/>
  <c r="B6" i="16"/>
  <c r="B46" i="16"/>
  <c r="B5" i="16"/>
  <c r="B4" i="16"/>
  <c r="B30" i="16" s="1"/>
  <c r="B2" i="26"/>
  <c r="B26" i="15" s="1"/>
  <c r="B2" i="25"/>
  <c r="B25" i="15" s="1"/>
  <c r="B2" i="24"/>
  <c r="B2" i="23"/>
  <c r="B22" i="23" s="1"/>
  <c r="B2" i="22"/>
  <c r="B22" i="15" s="1"/>
  <c r="B2" i="21"/>
  <c r="B2" i="20"/>
  <c r="B22" i="20" s="1"/>
  <c r="B2" i="19"/>
  <c r="B19" i="15" s="1"/>
  <c r="B2" i="18"/>
  <c r="B22" i="18"/>
  <c r="B2" i="17"/>
  <c r="B22" i="17" s="1"/>
  <c r="B2" i="16"/>
  <c r="B22" i="16"/>
  <c r="H163" i="3"/>
  <c r="B46" i="26"/>
  <c r="A46" i="26"/>
  <c r="A38" i="26"/>
  <c r="A30" i="26"/>
  <c r="J23" i="26"/>
  <c r="A22" i="26"/>
  <c r="A46" i="25"/>
  <c r="A38" i="25"/>
  <c r="A30" i="25"/>
  <c r="J23" i="25"/>
  <c r="A22" i="25"/>
  <c r="D46" i="25"/>
  <c r="A46" i="24"/>
  <c r="A38" i="24"/>
  <c r="H32" i="24"/>
  <c r="A30" i="24"/>
  <c r="J23" i="24"/>
  <c r="A22" i="24"/>
  <c r="A46" i="23"/>
  <c r="A38" i="23"/>
  <c r="A30" i="23"/>
  <c r="J23" i="23"/>
  <c r="A22" i="23"/>
  <c r="A46" i="22"/>
  <c r="A38" i="22"/>
  <c r="A30" i="22"/>
  <c r="J23" i="22"/>
  <c r="A22" i="22"/>
  <c r="D46" i="22"/>
  <c r="D30" i="22"/>
  <c r="H47" i="21"/>
  <c r="M23" i="21" s="1"/>
  <c r="M27" i="21" s="1"/>
  <c r="A46" i="21"/>
  <c r="H40" i="21"/>
  <c r="I40" i="21" s="1"/>
  <c r="A38" i="21"/>
  <c r="A30" i="21"/>
  <c r="J23" i="21"/>
  <c r="A22" i="21"/>
  <c r="D46" i="21"/>
  <c r="D30" i="21"/>
  <c r="H47" i="20"/>
  <c r="M23" i="20" s="1"/>
  <c r="M27" i="20" s="1"/>
  <c r="A46" i="20"/>
  <c r="A38" i="20"/>
  <c r="A30" i="20"/>
  <c r="J23" i="20"/>
  <c r="A22" i="20"/>
  <c r="D46" i="20"/>
  <c r="L22" i="20"/>
  <c r="D30" i="20"/>
  <c r="A46" i="19"/>
  <c r="H40" i="19"/>
  <c r="I40" i="19" s="1"/>
  <c r="A38" i="19"/>
  <c r="A30" i="19"/>
  <c r="J23" i="19"/>
  <c r="A22" i="19"/>
  <c r="D30" i="19"/>
  <c r="B22" i="19"/>
  <c r="H48" i="18"/>
  <c r="I48" i="18" s="1"/>
  <c r="A46" i="18"/>
  <c r="A38" i="18"/>
  <c r="H32" i="18"/>
  <c r="A30" i="18"/>
  <c r="J23" i="18"/>
  <c r="A22" i="18"/>
  <c r="D46" i="18"/>
  <c r="D38" i="18"/>
  <c r="A46" i="17"/>
  <c r="A38" i="17"/>
  <c r="A30" i="17"/>
  <c r="J23" i="17"/>
  <c r="L22" i="17"/>
  <c r="A22" i="17"/>
  <c r="D46" i="17"/>
  <c r="D38" i="17"/>
  <c r="B38" i="17"/>
  <c r="D30" i="17"/>
  <c r="H48" i="16"/>
  <c r="I48" i="16" s="1"/>
  <c r="A46" i="16"/>
  <c r="A38" i="16"/>
  <c r="A30" i="16"/>
  <c r="J23" i="16"/>
  <c r="A22" i="16"/>
  <c r="M22" i="16"/>
  <c r="D38" i="16"/>
  <c r="D30" i="16"/>
  <c r="AD73" i="8"/>
  <c r="AD74" i="8" s="1"/>
  <c r="AC73" i="8"/>
  <c r="AC74" i="8"/>
  <c r="AB73" i="8"/>
  <c r="AB74" i="8" s="1"/>
  <c r="AA73" i="8"/>
  <c r="AA74" i="8"/>
  <c r="Z73" i="8"/>
  <c r="Z74" i="8" s="1"/>
  <c r="Y73" i="8"/>
  <c r="Y74" i="8"/>
  <c r="X73" i="8"/>
  <c r="X74" i="8" s="1"/>
  <c r="W73" i="8"/>
  <c r="W74" i="8"/>
  <c r="V73" i="8"/>
  <c r="V74" i="8" s="1"/>
  <c r="U73" i="8"/>
  <c r="U74" i="8"/>
  <c r="T73" i="8"/>
  <c r="T74" i="8" s="1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E55" i="8"/>
  <c r="S51" i="8"/>
  <c r="O51" i="8"/>
  <c r="N51" i="8"/>
  <c r="M51" i="8"/>
  <c r="L51" i="8"/>
  <c r="K51" i="8"/>
  <c r="J51" i="8"/>
  <c r="I51" i="8"/>
  <c r="H51" i="8"/>
  <c r="G51" i="8"/>
  <c r="E51" i="8"/>
  <c r="O47" i="8"/>
  <c r="N47" i="8"/>
  <c r="M47" i="8"/>
  <c r="L47" i="8"/>
  <c r="K47" i="8"/>
  <c r="J47" i="8"/>
  <c r="I47" i="8"/>
  <c r="H47" i="8"/>
  <c r="G47" i="8"/>
  <c r="E47" i="8"/>
  <c r="R43" i="8"/>
  <c r="Q43" i="8"/>
  <c r="O43" i="8"/>
  <c r="N43" i="8"/>
  <c r="M43" i="8"/>
  <c r="L43" i="8"/>
  <c r="K43" i="8"/>
  <c r="J43" i="8"/>
  <c r="I43" i="8"/>
  <c r="H43" i="8"/>
  <c r="G43" i="8"/>
  <c r="E43" i="8"/>
  <c r="O39" i="8"/>
  <c r="N39" i="8"/>
  <c r="M39" i="8"/>
  <c r="L39" i="8"/>
  <c r="K39" i="8"/>
  <c r="J39" i="8"/>
  <c r="I39" i="8"/>
  <c r="H39" i="8"/>
  <c r="G39" i="8"/>
  <c r="E39" i="8"/>
  <c r="S77" i="8"/>
  <c r="R35" i="8"/>
  <c r="Q35" i="8"/>
  <c r="O35" i="8"/>
  <c r="N35" i="8"/>
  <c r="M35" i="8"/>
  <c r="L35" i="8"/>
  <c r="K35" i="8"/>
  <c r="J35" i="8"/>
  <c r="I35" i="8"/>
  <c r="H35" i="8"/>
  <c r="G35" i="8"/>
  <c r="E35" i="8"/>
  <c r="O31" i="8"/>
  <c r="N31" i="8"/>
  <c r="M31" i="8"/>
  <c r="L31" i="8"/>
  <c r="K31" i="8"/>
  <c r="J31" i="8"/>
  <c r="I31" i="8"/>
  <c r="H31" i="8"/>
  <c r="G31" i="8"/>
  <c r="E31" i="8"/>
  <c r="R27" i="8"/>
  <c r="Q27" i="8"/>
  <c r="O27" i="8"/>
  <c r="N27" i="8"/>
  <c r="M27" i="8"/>
  <c r="L27" i="8"/>
  <c r="K27" i="8"/>
  <c r="J27" i="8"/>
  <c r="I27" i="8"/>
  <c r="H27" i="8"/>
  <c r="G27" i="8"/>
  <c r="E27" i="8"/>
  <c r="A4" i="7"/>
  <c r="C3" i="6"/>
  <c r="C4" i="6"/>
  <c r="C8" i="6"/>
  <c r="C11" i="6"/>
  <c r="C26" i="6" s="1"/>
  <c r="C41" i="6" s="1"/>
  <c r="C56" i="6" s="1"/>
  <c r="C71" i="6" s="1"/>
  <c r="D11" i="6"/>
  <c r="D26" i="6"/>
  <c r="D41" i="6" s="1"/>
  <c r="D56" i="6" s="1"/>
  <c r="D71" i="6" s="1"/>
  <c r="C80" i="6" s="1"/>
  <c r="E11" i="6"/>
  <c r="E26" i="6" s="1"/>
  <c r="E41" i="6" s="1"/>
  <c r="E56" i="6" s="1"/>
  <c r="E71" i="6" s="1"/>
  <c r="C15" i="6"/>
  <c r="D15" i="6" s="1"/>
  <c r="E15" i="6" s="1"/>
  <c r="B16" i="6"/>
  <c r="C18" i="6"/>
  <c r="A86" i="6" s="1"/>
  <c r="C19" i="6"/>
  <c r="C23" i="6"/>
  <c r="C30" i="6"/>
  <c r="D30" i="6" s="1"/>
  <c r="E30" i="6" s="1"/>
  <c r="B31" i="6"/>
  <c r="C33" i="6"/>
  <c r="A87" i="6" s="1"/>
  <c r="C34" i="6"/>
  <c r="C38" i="6"/>
  <c r="C45" i="6"/>
  <c r="D45" i="6" s="1"/>
  <c r="E45" i="6" s="1"/>
  <c r="B46" i="6"/>
  <c r="C48" i="6"/>
  <c r="A88" i="6" s="1"/>
  <c r="C49" i="6"/>
  <c r="C53" i="6"/>
  <c r="C60" i="6"/>
  <c r="D60" i="6" s="1"/>
  <c r="E60" i="6" s="1"/>
  <c r="B61" i="6"/>
  <c r="C63" i="6"/>
  <c r="A89" i="6" s="1"/>
  <c r="C64" i="6"/>
  <c r="C68" i="6"/>
  <c r="C75" i="6"/>
  <c r="D75" i="6" s="1"/>
  <c r="E75" i="6" s="1"/>
  <c r="B76" i="6"/>
  <c r="A80" i="6"/>
  <c r="A85" i="6"/>
  <c r="B7" i="7"/>
  <c r="B14" i="7"/>
  <c r="B21" i="7"/>
  <c r="B28" i="7"/>
  <c r="B35" i="7"/>
  <c r="A41" i="7"/>
  <c r="A42" i="7"/>
  <c r="A43" i="7" s="1"/>
  <c r="A50" i="7"/>
  <c r="A60" i="7" s="1"/>
  <c r="A51" i="7"/>
  <c r="A61" i="7"/>
  <c r="B5" i="2"/>
  <c r="B3" i="7" s="1"/>
  <c r="B40" i="7" s="1"/>
  <c r="B50" i="7" s="1"/>
  <c r="B60" i="7" s="1"/>
  <c r="D5" i="2"/>
  <c r="B6" i="2"/>
  <c r="B10" i="7" s="1"/>
  <c r="B41" i="7" s="1"/>
  <c r="B51" i="7" s="1"/>
  <c r="B61" i="7" s="1"/>
  <c r="D6" i="2"/>
  <c r="B7" i="2"/>
  <c r="B17" i="7" s="1"/>
  <c r="B42" i="7" s="1"/>
  <c r="B52" i="7" s="1"/>
  <c r="B62" i="7" s="1"/>
  <c r="D7" i="2"/>
  <c r="B8" i="2"/>
  <c r="B24" i="7"/>
  <c r="B43" i="7" s="1"/>
  <c r="B53" i="7" s="1"/>
  <c r="B63" i="7" s="1"/>
  <c r="D8" i="2"/>
  <c r="D25" i="2"/>
  <c r="D26" i="2"/>
  <c r="B2" i="5"/>
  <c r="A437" i="5" s="1"/>
  <c r="B4" i="5"/>
  <c r="B5" i="5"/>
  <c r="B6" i="5"/>
  <c r="H16" i="5"/>
  <c r="J16" i="5"/>
  <c r="J43" i="5" s="1"/>
  <c r="J70" i="5" s="1"/>
  <c r="E17" i="5"/>
  <c r="E18" i="5" s="1"/>
  <c r="E19" i="5" s="1"/>
  <c r="H17" i="5"/>
  <c r="H18" i="5"/>
  <c r="H19" i="5"/>
  <c r="H20" i="5"/>
  <c r="I16" i="5" s="1"/>
  <c r="K16" i="5" s="1"/>
  <c r="H9" i="5" s="1"/>
  <c r="H21" i="5"/>
  <c r="H22" i="5"/>
  <c r="H23" i="5"/>
  <c r="J24" i="5"/>
  <c r="J51" i="5" s="1"/>
  <c r="J78" i="5" s="1"/>
  <c r="J105" i="5" s="1"/>
  <c r="J132" i="5" s="1"/>
  <c r="J159" i="5" s="1"/>
  <c r="I27" i="5"/>
  <c r="B29" i="5"/>
  <c r="A438" i="5" s="1"/>
  <c r="B31" i="5"/>
  <c r="B32" i="5"/>
  <c r="B33" i="5"/>
  <c r="H43" i="5"/>
  <c r="E44" i="5"/>
  <c r="E45" i="5"/>
  <c r="E46" i="5" s="1"/>
  <c r="H44" i="5"/>
  <c r="H45" i="5"/>
  <c r="H46" i="5"/>
  <c r="H47" i="5"/>
  <c r="H48" i="5"/>
  <c r="H49" i="5"/>
  <c r="H50" i="5"/>
  <c r="I54" i="5"/>
  <c r="C51" i="7" s="1"/>
  <c r="E51" i="7" s="1"/>
  <c r="J54" i="5"/>
  <c r="B56" i="5"/>
  <c r="A439" i="5" s="1"/>
  <c r="B58" i="5"/>
  <c r="B59" i="5"/>
  <c r="B60" i="5"/>
  <c r="H70" i="5"/>
  <c r="E71" i="5"/>
  <c r="E72" i="5" s="1"/>
  <c r="E73" i="5" s="1"/>
  <c r="H71" i="5"/>
  <c r="H72" i="5"/>
  <c r="H73" i="5"/>
  <c r="H74" i="5"/>
  <c r="H75" i="5"/>
  <c r="H76" i="5"/>
  <c r="H77" i="5"/>
  <c r="I81" i="5"/>
  <c r="C52" i="7" s="1"/>
  <c r="G52" i="7" s="1"/>
  <c r="B83" i="5"/>
  <c r="A440" i="5" s="1"/>
  <c r="B85" i="5"/>
  <c r="B86" i="5"/>
  <c r="B87" i="5"/>
  <c r="H97" i="5"/>
  <c r="E98" i="5"/>
  <c r="E99" i="5" s="1"/>
  <c r="E100" i="5"/>
  <c r="H98" i="5"/>
  <c r="H99" i="5"/>
  <c r="H100" i="5"/>
  <c r="H101" i="5"/>
  <c r="H102" i="5"/>
  <c r="H103" i="5"/>
  <c r="H104" i="5"/>
  <c r="I108" i="5"/>
  <c r="C53" i="7" s="1"/>
  <c r="B110" i="5"/>
  <c r="A441" i="5" s="1"/>
  <c r="B112" i="5"/>
  <c r="B113" i="5"/>
  <c r="B114" i="5"/>
  <c r="H124" i="5"/>
  <c r="E125" i="5"/>
  <c r="E126" i="5" s="1"/>
  <c r="E127" i="5" s="1"/>
  <c r="H125" i="5"/>
  <c r="H126" i="5"/>
  <c r="H127" i="5"/>
  <c r="H128" i="5"/>
  <c r="H129" i="5"/>
  <c r="H130" i="5"/>
  <c r="H131" i="5"/>
  <c r="I135" i="5"/>
  <c r="C10" i="15"/>
  <c r="B2" i="13"/>
  <c r="B4" i="13"/>
  <c r="G4" i="13"/>
  <c r="B5" i="13"/>
  <c r="G5" i="13"/>
  <c r="D38" i="13"/>
  <c r="B6" i="13"/>
  <c r="G6" i="13"/>
  <c r="D46" i="13"/>
  <c r="A22" i="13"/>
  <c r="J23" i="13"/>
  <c r="A30" i="13"/>
  <c r="B31" i="13"/>
  <c r="P31" i="8" s="1"/>
  <c r="B32" i="13"/>
  <c r="Q31" i="8" s="1"/>
  <c r="B33" i="13"/>
  <c r="B34" i="13"/>
  <c r="S31" i="8" s="1"/>
  <c r="A38" i="13"/>
  <c r="B39" i="13"/>
  <c r="P39" i="8" s="1"/>
  <c r="B40" i="13"/>
  <c r="B41" i="13"/>
  <c r="B42" i="13"/>
  <c r="A46" i="13"/>
  <c r="B47" i="13"/>
  <c r="B48" i="13"/>
  <c r="B49" i="13"/>
  <c r="R47" i="8" s="1"/>
  <c r="B50" i="13"/>
  <c r="S47" i="8" s="1"/>
  <c r="B2" i="12"/>
  <c r="B22" i="12" s="1"/>
  <c r="B14" i="15"/>
  <c r="B4" i="12"/>
  <c r="K22" i="12" s="1"/>
  <c r="G4" i="12"/>
  <c r="D30" i="12"/>
  <c r="B5" i="12"/>
  <c r="L22" i="12" s="1"/>
  <c r="G5" i="12"/>
  <c r="D38" i="12"/>
  <c r="B6" i="12"/>
  <c r="M22" i="12" s="1"/>
  <c r="G6" i="12"/>
  <c r="D46" i="12"/>
  <c r="A22" i="12"/>
  <c r="J23" i="12"/>
  <c r="A30" i="12"/>
  <c r="B31" i="12"/>
  <c r="H31" i="12" s="1"/>
  <c r="K23" i="12" s="1"/>
  <c r="K27" i="12" s="1"/>
  <c r="B32" i="12"/>
  <c r="B33" i="12"/>
  <c r="B34" i="12"/>
  <c r="A38" i="12"/>
  <c r="B39" i="12"/>
  <c r="H39" i="12" s="1"/>
  <c r="B40" i="12"/>
  <c r="B41" i="12"/>
  <c r="B25" i="12" s="1"/>
  <c r="R19" i="8" s="1"/>
  <c r="B42" i="12"/>
  <c r="A46" i="12"/>
  <c r="B47" i="12"/>
  <c r="B48" i="12"/>
  <c r="B49" i="12"/>
  <c r="H48" i="12" s="1"/>
  <c r="I48" i="12" s="1"/>
  <c r="B50" i="12"/>
  <c r="B2" i="11"/>
  <c r="B13" i="15" s="1"/>
  <c r="B4" i="11"/>
  <c r="G4" i="11"/>
  <c r="D30" i="11" s="1"/>
  <c r="B5" i="11"/>
  <c r="L22" i="11" s="1"/>
  <c r="G5" i="11"/>
  <c r="D38" i="11" s="1"/>
  <c r="B6" i="11"/>
  <c r="G6" i="11"/>
  <c r="D46" i="11" s="1"/>
  <c r="A22" i="11"/>
  <c r="J23" i="11"/>
  <c r="A30" i="11"/>
  <c r="B31" i="11"/>
  <c r="B32" i="11"/>
  <c r="B33" i="11"/>
  <c r="H32" i="11" s="1"/>
  <c r="I32" i="11" s="1"/>
  <c r="B34" i="11"/>
  <c r="A38" i="11"/>
  <c r="B39" i="11"/>
  <c r="B40" i="11"/>
  <c r="H41" i="11" s="1"/>
  <c r="L25" i="11" s="1"/>
  <c r="B41" i="11"/>
  <c r="H40" i="11" s="1"/>
  <c r="I40" i="11" s="1"/>
  <c r="B42" i="11"/>
  <c r="A46" i="11"/>
  <c r="B47" i="11"/>
  <c r="B48" i="11"/>
  <c r="B49" i="11"/>
  <c r="H48" i="11" s="1"/>
  <c r="B50" i="11"/>
  <c r="B2" i="10"/>
  <c r="B4" i="10"/>
  <c r="B30" i="10" s="1"/>
  <c r="G4" i="10"/>
  <c r="D30" i="10"/>
  <c r="B5" i="10"/>
  <c r="B38" i="10" s="1"/>
  <c r="G5" i="10"/>
  <c r="B6" i="10"/>
  <c r="M22" i="10" s="1"/>
  <c r="G6" i="10"/>
  <c r="D46" i="10" s="1"/>
  <c r="A22" i="10"/>
  <c r="J23" i="10"/>
  <c r="A30" i="10"/>
  <c r="B31" i="10"/>
  <c r="H33" i="10" s="1"/>
  <c r="B32" i="10"/>
  <c r="B33" i="10"/>
  <c r="B34" i="10"/>
  <c r="A38" i="10"/>
  <c r="B39" i="10"/>
  <c r="B40" i="10"/>
  <c r="B41" i="10"/>
  <c r="B42" i="10"/>
  <c r="A46" i="10"/>
  <c r="B47" i="10"/>
  <c r="B48" i="10"/>
  <c r="B49" i="10"/>
  <c r="B50" i="10"/>
  <c r="B4" i="4"/>
  <c r="G4" i="4"/>
  <c r="B5" i="4"/>
  <c r="L22" i="4" s="1"/>
  <c r="G5" i="4"/>
  <c r="D38" i="4" s="1"/>
  <c r="B6" i="4"/>
  <c r="G6" i="4"/>
  <c r="D46" i="4" s="1"/>
  <c r="A22" i="4"/>
  <c r="J23" i="4"/>
  <c r="A30" i="4"/>
  <c r="B31" i="4"/>
  <c r="H31" i="4"/>
  <c r="B32" i="4"/>
  <c r="B33" i="4"/>
  <c r="B34" i="4"/>
  <c r="A38" i="4"/>
  <c r="B39" i="4"/>
  <c r="H41" i="4" s="1"/>
  <c r="B40" i="4"/>
  <c r="B41" i="4"/>
  <c r="H40" i="4" s="1"/>
  <c r="I40" i="4" s="1"/>
  <c r="B42" i="4"/>
  <c r="A46" i="4"/>
  <c r="B47" i="4"/>
  <c r="B48" i="4"/>
  <c r="B49" i="4"/>
  <c r="B50" i="4"/>
  <c r="B2" i="3"/>
  <c r="J3" i="3"/>
  <c r="B4" i="3"/>
  <c r="G4" i="3"/>
  <c r="H5" i="3" s="1"/>
  <c r="J4" i="3"/>
  <c r="J2" i="3" s="1"/>
  <c r="B5" i="3"/>
  <c r="G5" i="3"/>
  <c r="J5" i="3"/>
  <c r="B6" i="3"/>
  <c r="G6" i="3"/>
  <c r="N13" i="3"/>
  <c r="N414" i="3" s="1"/>
  <c r="P13" i="3"/>
  <c r="B28" i="3"/>
  <c r="A432" i="3" s="1"/>
  <c r="J29" i="3"/>
  <c r="B30" i="3"/>
  <c r="G30" i="3"/>
  <c r="H31" i="3" s="1"/>
  <c r="J30" i="3"/>
  <c r="J28" i="3" s="1"/>
  <c r="B31" i="3"/>
  <c r="G31" i="3"/>
  <c r="J31" i="3"/>
  <c r="B32" i="3"/>
  <c r="G32" i="3"/>
  <c r="B54" i="3"/>
  <c r="A433" i="3"/>
  <c r="J55" i="3"/>
  <c r="B56" i="3"/>
  <c r="G56" i="3"/>
  <c r="J56" i="3"/>
  <c r="J54" i="3" s="1"/>
  <c r="B57" i="3"/>
  <c r="G57" i="3"/>
  <c r="J57" i="3"/>
  <c r="B58" i="3"/>
  <c r="G58" i="3"/>
  <c r="B80" i="3"/>
  <c r="A434" i="3" s="1"/>
  <c r="J81" i="3"/>
  <c r="B82" i="3"/>
  <c r="G82" i="3"/>
  <c r="J82" i="3"/>
  <c r="J80" i="3" s="1"/>
  <c r="B83" i="3"/>
  <c r="G83" i="3"/>
  <c r="J83" i="3"/>
  <c r="B84" i="3"/>
  <c r="G84" i="3"/>
  <c r="H83" i="3" s="1"/>
  <c r="J107" i="3"/>
  <c r="J108" i="3"/>
  <c r="J106" i="3" s="1"/>
  <c r="C65" i="6" s="1"/>
  <c r="J109" i="3"/>
  <c r="T1" i="8"/>
  <c r="B3" i="14" s="1"/>
  <c r="U1" i="8"/>
  <c r="V1" i="8"/>
  <c r="W1" i="8"/>
  <c r="X1" i="8"/>
  <c r="Y1" i="8"/>
  <c r="Z1" i="8"/>
  <c r="AA1" i="8"/>
  <c r="AB1" i="8"/>
  <c r="AC1" i="8"/>
  <c r="AD1" i="8"/>
  <c r="T2" i="8"/>
  <c r="B4" i="14" s="1"/>
  <c r="AF2" i="8" s="1"/>
  <c r="U2" i="8"/>
  <c r="B2" i="2"/>
  <c r="M13" i="3"/>
  <c r="V2" i="8"/>
  <c r="W2" i="8"/>
  <c r="X2" i="8"/>
  <c r="Y2" i="8"/>
  <c r="Z2" i="8"/>
  <c r="AA2" i="8"/>
  <c r="AB2" i="8"/>
  <c r="AC2" i="8"/>
  <c r="AD2" i="8"/>
  <c r="G5" i="8"/>
  <c r="H5" i="8" s="1"/>
  <c r="I5" i="8" s="1"/>
  <c r="J5" i="8" s="1"/>
  <c r="K5" i="8" s="1"/>
  <c r="L5" i="8" s="1"/>
  <c r="M5" i="8" s="1"/>
  <c r="N5" i="8" s="1"/>
  <c r="O5" i="8" s="1"/>
  <c r="E7" i="8"/>
  <c r="G7" i="8"/>
  <c r="H7" i="8"/>
  <c r="I7" i="8"/>
  <c r="J7" i="8"/>
  <c r="K7" i="8"/>
  <c r="L7" i="8"/>
  <c r="M7" i="8"/>
  <c r="N7" i="8"/>
  <c r="O7" i="8"/>
  <c r="E11" i="8"/>
  <c r="G11" i="8"/>
  <c r="H11" i="8"/>
  <c r="I11" i="8"/>
  <c r="J11" i="8"/>
  <c r="K11" i="8"/>
  <c r="L11" i="8"/>
  <c r="M11" i="8"/>
  <c r="N11" i="8"/>
  <c r="O11" i="8"/>
  <c r="E15" i="8"/>
  <c r="G15" i="8"/>
  <c r="H15" i="8"/>
  <c r="I15" i="8"/>
  <c r="J15" i="8"/>
  <c r="K15" i="8"/>
  <c r="L15" i="8"/>
  <c r="M15" i="8"/>
  <c r="N15" i="8"/>
  <c r="O15" i="8"/>
  <c r="E19" i="8"/>
  <c r="G19" i="8"/>
  <c r="H19" i="8"/>
  <c r="I19" i="8"/>
  <c r="J19" i="8"/>
  <c r="K19" i="8"/>
  <c r="L19" i="8"/>
  <c r="M19" i="8"/>
  <c r="N19" i="8"/>
  <c r="O19" i="8"/>
  <c r="E23" i="8"/>
  <c r="G23" i="8"/>
  <c r="H23" i="8"/>
  <c r="I23" i="8"/>
  <c r="J23" i="8"/>
  <c r="K23" i="8"/>
  <c r="L23" i="8"/>
  <c r="M23" i="8"/>
  <c r="N23" i="8"/>
  <c r="O23" i="8"/>
  <c r="I9" i="14"/>
  <c r="H10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H11" i="14"/>
  <c r="H12" i="14"/>
  <c r="H13" i="14"/>
  <c r="H14" i="14"/>
  <c r="G3" i="1"/>
  <c r="H3" i="1"/>
  <c r="N3" i="1"/>
  <c r="O3" i="1"/>
  <c r="G4" i="1"/>
  <c r="H4" i="1"/>
  <c r="N4" i="1"/>
  <c r="O4" i="1"/>
  <c r="G5" i="1"/>
  <c r="I5" i="1" s="1"/>
  <c r="H5" i="1"/>
  <c r="N5" i="1"/>
  <c r="O5" i="1"/>
  <c r="G6" i="1"/>
  <c r="I6" i="1" s="1"/>
  <c r="H6" i="1"/>
  <c r="N6" i="1"/>
  <c r="O6" i="1"/>
  <c r="G7" i="1"/>
  <c r="I7" i="1" s="1"/>
  <c r="H7" i="1"/>
  <c r="J7" i="1"/>
  <c r="N7" i="1"/>
  <c r="O7" i="1"/>
  <c r="G8" i="1"/>
  <c r="I8" i="1"/>
  <c r="L8" i="1" s="1"/>
  <c r="M8" i="1" s="1"/>
  <c r="H8" i="1"/>
  <c r="N8" i="1"/>
  <c r="O8" i="1"/>
  <c r="G9" i="1"/>
  <c r="H9" i="1"/>
  <c r="N9" i="1"/>
  <c r="O9" i="1"/>
  <c r="G10" i="1"/>
  <c r="H10" i="1"/>
  <c r="N10" i="1"/>
  <c r="O10" i="1"/>
  <c r="G11" i="1"/>
  <c r="H11" i="1"/>
  <c r="N11" i="1"/>
  <c r="O11" i="1"/>
  <c r="G12" i="1"/>
  <c r="J12" i="1" s="1"/>
  <c r="H12" i="1"/>
  <c r="N12" i="1"/>
  <c r="O12" i="1"/>
  <c r="G13" i="1"/>
  <c r="H13" i="1"/>
  <c r="N13" i="1"/>
  <c r="O13" i="1"/>
  <c r="C14" i="1"/>
  <c r="D14" i="1"/>
  <c r="E14" i="1"/>
  <c r="F14" i="1"/>
  <c r="K14" i="1"/>
  <c r="N360" i="3"/>
  <c r="N387" i="3"/>
  <c r="P360" i="3"/>
  <c r="N306" i="3"/>
  <c r="N333" i="3"/>
  <c r="N252" i="3"/>
  <c r="N279" i="3"/>
  <c r="P225" i="3"/>
  <c r="O225" i="3" s="1"/>
  <c r="N198" i="3"/>
  <c r="N225" i="3"/>
  <c r="P144" i="3"/>
  <c r="O144" i="3" s="1"/>
  <c r="N144" i="3"/>
  <c r="N171" i="3"/>
  <c r="C20" i="6"/>
  <c r="B432" i="3"/>
  <c r="N117" i="3"/>
  <c r="N91" i="3"/>
  <c r="N39" i="3"/>
  <c r="N65" i="3"/>
  <c r="P39" i="3"/>
  <c r="O39" i="3" s="1"/>
  <c r="K22" i="10"/>
  <c r="H49" i="26"/>
  <c r="K22" i="26"/>
  <c r="L22" i="25"/>
  <c r="I32" i="24"/>
  <c r="H49" i="23"/>
  <c r="M25" i="23" s="1"/>
  <c r="K22" i="23"/>
  <c r="L22" i="22"/>
  <c r="L22" i="21"/>
  <c r="B38" i="20"/>
  <c r="K22" i="20"/>
  <c r="B46" i="20"/>
  <c r="D38" i="19"/>
  <c r="H41" i="17"/>
  <c r="H31" i="17"/>
  <c r="H49" i="17"/>
  <c r="M25" i="17" s="1"/>
  <c r="H5" i="17"/>
  <c r="H31" i="16"/>
  <c r="K23" i="16" s="1"/>
  <c r="H32" i="13"/>
  <c r="I32" i="13"/>
  <c r="A3" i="4"/>
  <c r="B38" i="12"/>
  <c r="S39" i="8"/>
  <c r="A3" i="5"/>
  <c r="A30" i="5" s="1"/>
  <c r="A57" i="5" s="1"/>
  <c r="A84" i="5" s="1"/>
  <c r="A111" i="5" s="1"/>
  <c r="A138" i="5" s="1"/>
  <c r="A165" i="5" s="1"/>
  <c r="A192" i="5" s="1"/>
  <c r="A219" i="5" s="1"/>
  <c r="A246" i="5" s="1"/>
  <c r="A273" i="5" s="1"/>
  <c r="A300" i="5" s="1"/>
  <c r="A327" i="5" s="1"/>
  <c r="A354" i="5" s="1"/>
  <c r="A381" i="5" s="1"/>
  <c r="A408" i="5" s="1"/>
  <c r="B38" i="4"/>
  <c r="I48" i="11"/>
  <c r="R31" i="8"/>
  <c r="A2" i="6"/>
  <c r="B84" i="6" s="1"/>
  <c r="B46" i="12"/>
  <c r="B38" i="11"/>
  <c r="H5" i="11"/>
  <c r="B27" i="12"/>
  <c r="B35" i="12" s="1"/>
  <c r="B27" i="11"/>
  <c r="B35" i="11" s="1"/>
  <c r="B27" i="10"/>
  <c r="G25" i="10" s="1"/>
  <c r="J25" i="10" s="1"/>
  <c r="B27" i="4"/>
  <c r="G25" i="4" s="1"/>
  <c r="J25" i="4" s="1"/>
  <c r="M39" i="3"/>
  <c r="M65" i="3"/>
  <c r="B27" i="13"/>
  <c r="P27" i="8" s="1"/>
  <c r="D30" i="4"/>
  <c r="H5" i="4"/>
  <c r="H5" i="13"/>
  <c r="D30" i="13"/>
  <c r="L25" i="17"/>
  <c r="I31" i="16"/>
  <c r="G25" i="12"/>
  <c r="J25" i="12" s="1"/>
  <c r="B35" i="10"/>
  <c r="H271" i="3"/>
  <c r="L22" i="19"/>
  <c r="B23" i="15"/>
  <c r="B17" i="15"/>
  <c r="B16" i="15"/>
  <c r="B46" i="18"/>
  <c r="K22" i="18"/>
  <c r="B435" i="3"/>
  <c r="B434" i="3"/>
  <c r="C50" i="6"/>
  <c r="H48" i="4"/>
  <c r="E38" i="7"/>
  <c r="E58" i="7"/>
  <c r="J5" i="1"/>
  <c r="I3" i="1"/>
  <c r="M414" i="3"/>
  <c r="B27" i="24"/>
  <c r="B27" i="17"/>
  <c r="M333" i="3"/>
  <c r="M225" i="3"/>
  <c r="B27" i="21"/>
  <c r="M360" i="3"/>
  <c r="M252" i="3"/>
  <c r="M144" i="3"/>
  <c r="B27" i="25"/>
  <c r="G25" i="25" s="1"/>
  <c r="J25" i="25" s="1"/>
  <c r="B27" i="22"/>
  <c r="G25" i="22" s="1"/>
  <c r="J25" i="22" s="1"/>
  <c r="B27" i="20"/>
  <c r="G25" i="20"/>
  <c r="J25" i="20" s="1"/>
  <c r="M387" i="3"/>
  <c r="M279" i="3"/>
  <c r="M171" i="3"/>
  <c r="B27" i="19"/>
  <c r="B35" i="19" s="1"/>
  <c r="B27" i="18"/>
  <c r="G25" i="18"/>
  <c r="B35" i="18"/>
  <c r="M306" i="3"/>
  <c r="M198" i="3"/>
  <c r="B27" i="26"/>
  <c r="G25" i="26" s="1"/>
  <c r="J25" i="26" s="1"/>
  <c r="M91" i="3"/>
  <c r="E7" i="7"/>
  <c r="E14" i="7" s="1"/>
  <c r="E21" i="7" s="1"/>
  <c r="E28" i="7" s="1"/>
  <c r="E35" i="7" s="1"/>
  <c r="M117" i="3"/>
  <c r="A52" i="7"/>
  <c r="A62" i="7" s="1"/>
  <c r="J8" i="1"/>
  <c r="B27" i="23"/>
  <c r="G25" i="23" s="1"/>
  <c r="J25" i="23" s="1"/>
  <c r="B2" i="6"/>
  <c r="A3" i="21"/>
  <c r="J6" i="1"/>
  <c r="L6" i="1" s="1"/>
  <c r="M6" i="1" s="1"/>
  <c r="B22" i="13"/>
  <c r="B15" i="15"/>
  <c r="B20" i="15"/>
  <c r="M22" i="21"/>
  <c r="B46" i="21"/>
  <c r="J81" i="5"/>
  <c r="J108" i="5" s="1"/>
  <c r="B35" i="20"/>
  <c r="I48" i="4"/>
  <c r="F72" i="8"/>
  <c r="U75" i="8" s="1"/>
  <c r="G25" i="11"/>
  <c r="J25" i="11" s="1"/>
  <c r="B46" i="4"/>
  <c r="M22" i="4"/>
  <c r="Q39" i="8"/>
  <c r="H41" i="13"/>
  <c r="H39" i="13"/>
  <c r="L23" i="13" s="1"/>
  <c r="L27" i="13" s="1"/>
  <c r="B35" i="24"/>
  <c r="B43" i="24" s="1"/>
  <c r="G25" i="24"/>
  <c r="E72" i="8"/>
  <c r="T75" i="8" s="1"/>
  <c r="T76" i="8" s="1"/>
  <c r="H5" i="10"/>
  <c r="D38" i="10"/>
  <c r="K22" i="13"/>
  <c r="B30" i="13"/>
  <c r="B3" i="3"/>
  <c r="B29" i="3" s="1"/>
  <c r="B55" i="3" s="1"/>
  <c r="B81" i="3"/>
  <c r="B404" i="3" s="1"/>
  <c r="A11" i="7"/>
  <c r="A18" i="7" s="1"/>
  <c r="A25" i="7" s="1"/>
  <c r="A32" i="7"/>
  <c r="E48" i="7"/>
  <c r="A55" i="3"/>
  <c r="A215" i="3"/>
  <c r="A323" i="3"/>
  <c r="A81" i="3"/>
  <c r="A107" i="3"/>
  <c r="A242" i="3"/>
  <c r="A350" i="3"/>
  <c r="A134" i="3"/>
  <c r="A161" i="3"/>
  <c r="A269" i="3"/>
  <c r="A377" i="3"/>
  <c r="B27" i="16"/>
  <c r="A3" i="3"/>
  <c r="A188" i="3"/>
  <c r="A296" i="3"/>
  <c r="A404" i="3"/>
  <c r="A29" i="3"/>
  <c r="I70" i="5"/>
  <c r="E52" i="7"/>
  <c r="D52" i="7" s="1"/>
  <c r="C44" i="6" s="1"/>
  <c r="D44" i="6" s="1"/>
  <c r="E44" i="6" s="1"/>
  <c r="J135" i="5"/>
  <c r="J162" i="5" s="1"/>
  <c r="M105" i="5"/>
  <c r="E101" i="5"/>
  <c r="E102" i="5" s="1"/>
  <c r="E103" i="5" s="1"/>
  <c r="E104" i="5" s="1"/>
  <c r="F26" i="5"/>
  <c r="H26" i="5" s="1"/>
  <c r="M26" i="5"/>
  <c r="E74" i="5"/>
  <c r="F78" i="5"/>
  <c r="H78" i="5" s="1"/>
  <c r="M78" i="5"/>
  <c r="M52" i="5"/>
  <c r="M53" i="5"/>
  <c r="E47" i="5"/>
  <c r="E48" i="5" s="1"/>
  <c r="E49" i="5" s="1"/>
  <c r="E50" i="5" s="1"/>
  <c r="F52" i="5"/>
  <c r="H52" i="5"/>
  <c r="F52" i="7"/>
  <c r="M132" i="5"/>
  <c r="C54" i="7"/>
  <c r="M51" i="5"/>
  <c r="J186" i="5"/>
  <c r="K81" i="5"/>
  <c r="H65" i="5" s="1"/>
  <c r="K54" i="5"/>
  <c r="H38" i="5"/>
  <c r="B436" i="5"/>
  <c r="G53" i="7"/>
  <c r="K70" i="5"/>
  <c r="H63" i="5" s="1"/>
  <c r="J97" i="5"/>
  <c r="I43" i="5"/>
  <c r="K43" i="5" s="1"/>
  <c r="H36" i="5" s="1"/>
  <c r="J25" i="24"/>
  <c r="L170" i="3"/>
  <c r="L359" i="3"/>
  <c r="L38" i="3"/>
  <c r="L386" i="3"/>
  <c r="L332" i="3"/>
  <c r="L251" i="3"/>
  <c r="L12" i="3"/>
  <c r="L278" i="3"/>
  <c r="L143" i="3"/>
  <c r="L116" i="3"/>
  <c r="L90" i="3"/>
  <c r="L64" i="3"/>
  <c r="G33" i="24"/>
  <c r="I39" i="13"/>
  <c r="B35" i="16"/>
  <c r="B43" i="16" s="1"/>
  <c r="G33" i="16"/>
  <c r="I33" i="16" s="1"/>
  <c r="G25" i="16"/>
  <c r="J25" i="16"/>
  <c r="L25" i="13"/>
  <c r="G33" i="11"/>
  <c r="B43" i="11"/>
  <c r="B296" i="3"/>
  <c r="B188" i="3"/>
  <c r="B269" i="3"/>
  <c r="B323" i="3"/>
  <c r="B215" i="3"/>
  <c r="G54" i="7"/>
  <c r="E54" i="7"/>
  <c r="F54" i="7"/>
  <c r="D54" i="7" s="1"/>
  <c r="C74" i="6" s="1"/>
  <c r="D74" i="6" s="1"/>
  <c r="E74" i="6" s="1"/>
  <c r="J213" i="5"/>
  <c r="M106" i="5"/>
  <c r="K162" i="5"/>
  <c r="H146" i="5"/>
  <c r="J189" i="5"/>
  <c r="J124" i="5"/>
  <c r="J151" i="5" s="1"/>
  <c r="F51" i="7"/>
  <c r="G51" i="7"/>
  <c r="J216" i="5"/>
  <c r="J243" i="5" s="1"/>
  <c r="K189" i="5"/>
  <c r="H173" i="5" s="1"/>
  <c r="J240" i="5"/>
  <c r="J267" i="5" s="1"/>
  <c r="J294" i="5" s="1"/>
  <c r="J321" i="5" s="1"/>
  <c r="J348" i="5" s="1"/>
  <c r="J375" i="5" s="1"/>
  <c r="J402" i="5" s="1"/>
  <c r="J429" i="5" s="1"/>
  <c r="H40" i="18"/>
  <c r="I40" i="18" s="1"/>
  <c r="B38" i="18"/>
  <c r="B25" i="18"/>
  <c r="B18" i="15"/>
  <c r="H48" i="17"/>
  <c r="I48" i="17"/>
  <c r="B26" i="17"/>
  <c r="H40" i="17"/>
  <c r="B24" i="17"/>
  <c r="K22" i="16"/>
  <c r="H31" i="13"/>
  <c r="H40" i="13"/>
  <c r="H48" i="13"/>
  <c r="I48" i="13"/>
  <c r="B26" i="13"/>
  <c r="S23" i="8" s="1"/>
  <c r="D22" i="13"/>
  <c r="H40" i="12"/>
  <c r="I40" i="12" s="1"/>
  <c r="H41" i="12"/>
  <c r="L25" i="12" s="1"/>
  <c r="L29" i="12" s="1"/>
  <c r="H33" i="12"/>
  <c r="H5" i="12"/>
  <c r="D22" i="12"/>
  <c r="B30" i="12"/>
  <c r="M25" i="18"/>
  <c r="K23" i="18"/>
  <c r="K27" i="18" s="1"/>
  <c r="I32" i="18"/>
  <c r="H33" i="18"/>
  <c r="B24" i="18"/>
  <c r="H47" i="18"/>
  <c r="M23" i="18" s="1"/>
  <c r="M27" i="18" s="1"/>
  <c r="K25" i="17"/>
  <c r="B23" i="17"/>
  <c r="H49" i="16"/>
  <c r="H32" i="16"/>
  <c r="B23" i="13"/>
  <c r="P23" i="8" s="1"/>
  <c r="H33" i="13"/>
  <c r="K25" i="13" s="1"/>
  <c r="P47" i="8"/>
  <c r="L23" i="12"/>
  <c r="L27" i="12"/>
  <c r="I39" i="12"/>
  <c r="I31" i="12"/>
  <c r="B23" i="12"/>
  <c r="P19" i="8" s="1"/>
  <c r="H57" i="3"/>
  <c r="B23" i="11"/>
  <c r="P15" i="8" s="1"/>
  <c r="D22" i="11"/>
  <c r="B26" i="11"/>
  <c r="S15" i="8" s="1"/>
  <c r="B24" i="11"/>
  <c r="Q15" i="8" s="1"/>
  <c r="H24" i="11"/>
  <c r="I24" i="11" s="1"/>
  <c r="B25" i="11"/>
  <c r="R15" i="8"/>
  <c r="B22" i="11"/>
  <c r="H48" i="10"/>
  <c r="I48" i="10"/>
  <c r="H40" i="10"/>
  <c r="I40" i="10" s="1"/>
  <c r="H31" i="10"/>
  <c r="K23" i="10" s="1"/>
  <c r="K27" i="10" s="1"/>
  <c r="L22" i="10"/>
  <c r="K25" i="10"/>
  <c r="K29" i="10"/>
  <c r="B26" i="10"/>
  <c r="S11" i="8" s="1"/>
  <c r="D22" i="10"/>
  <c r="B46" i="10"/>
  <c r="D22" i="4"/>
  <c r="L23" i="18"/>
  <c r="L27" i="18"/>
  <c r="I31" i="13"/>
  <c r="K23" i="13"/>
  <c r="K27" i="13" s="1"/>
  <c r="K25" i="12"/>
  <c r="K29" i="12" s="1"/>
  <c r="K30" i="12" s="1"/>
  <c r="K31" i="12" s="1"/>
  <c r="I32" i="16"/>
  <c r="M25" i="16"/>
  <c r="M29" i="16" s="1"/>
  <c r="I31" i="10"/>
  <c r="K23" i="4"/>
  <c r="K27" i="4"/>
  <c r="I31" i="4"/>
  <c r="H47" i="22"/>
  <c r="I47" i="22"/>
  <c r="H40" i="22"/>
  <c r="I40" i="22" s="1"/>
  <c r="H41" i="22"/>
  <c r="L25" i="22" s="1"/>
  <c r="L29" i="22" s="1"/>
  <c r="I32" i="22"/>
  <c r="M23" i="22"/>
  <c r="M27" i="22"/>
  <c r="H49" i="22"/>
  <c r="M25" i="22" s="1"/>
  <c r="M29" i="22" s="1"/>
  <c r="B22" i="22"/>
  <c r="H32" i="21"/>
  <c r="H24" i="21" s="1"/>
  <c r="I24" i="21" s="1"/>
  <c r="H33" i="21"/>
  <c r="H25" i="21" s="1"/>
  <c r="H5" i="21"/>
  <c r="B25" i="21"/>
  <c r="B30" i="21"/>
  <c r="H31" i="21"/>
  <c r="H23" i="21" s="1"/>
  <c r="H39" i="21"/>
  <c r="I47" i="21"/>
  <c r="H32" i="20"/>
  <c r="M25" i="20"/>
  <c r="H41" i="20"/>
  <c r="I47" i="20"/>
  <c r="L23" i="19"/>
  <c r="L27" i="19" s="1"/>
  <c r="I39" i="19"/>
  <c r="H41" i="19"/>
  <c r="D22" i="18"/>
  <c r="B23" i="18"/>
  <c r="H32" i="19"/>
  <c r="H24" i="19" s="1"/>
  <c r="B46" i="19"/>
  <c r="I24" i="19"/>
  <c r="K23" i="21"/>
  <c r="K27" i="21" s="1"/>
  <c r="I31" i="21"/>
  <c r="I23" i="21"/>
  <c r="H39" i="26"/>
  <c r="L23" i="26" s="1"/>
  <c r="L27" i="26" s="1"/>
  <c r="H379" i="3"/>
  <c r="H31" i="23"/>
  <c r="H41" i="23"/>
  <c r="L25" i="23"/>
  <c r="L29" i="23" s="1"/>
  <c r="D30" i="23"/>
  <c r="H5" i="23"/>
  <c r="D46" i="26"/>
  <c r="B23" i="2"/>
  <c r="B24" i="2" s="1"/>
  <c r="C24" i="2" s="1"/>
  <c r="B30" i="24"/>
  <c r="K22" i="24"/>
  <c r="B38" i="23"/>
  <c r="L22" i="23"/>
  <c r="L22" i="24"/>
  <c r="B22" i="26"/>
  <c r="I31" i="23"/>
  <c r="K23" i="23"/>
  <c r="K27" i="23" s="1"/>
  <c r="I47" i="18"/>
  <c r="I36" i="16"/>
  <c r="I35" i="16"/>
  <c r="K29" i="16"/>
  <c r="B43" i="12"/>
  <c r="B51" i="12" s="1"/>
  <c r="G49" i="12" s="1"/>
  <c r="G33" i="12"/>
  <c r="I33" i="12" s="1"/>
  <c r="B24" i="4"/>
  <c r="Q7" i="8" s="1"/>
  <c r="L413" i="3"/>
  <c r="B430" i="3"/>
  <c r="L197" i="3"/>
  <c r="L224" i="3"/>
  <c r="L305" i="3"/>
  <c r="B26" i="4"/>
  <c r="S7" i="8" s="1"/>
  <c r="J25" i="18"/>
  <c r="L25" i="4"/>
  <c r="L29" i="4" s="1"/>
  <c r="B35" i="22"/>
  <c r="B35" i="13"/>
  <c r="M29" i="23"/>
  <c r="H32" i="4"/>
  <c r="H24" i="4" s="1"/>
  <c r="I24" i="4" s="1"/>
  <c r="B35" i="26"/>
  <c r="A3" i="11"/>
  <c r="A3" i="24"/>
  <c r="A3" i="16"/>
  <c r="A3" i="26"/>
  <c r="G25" i="13"/>
  <c r="G72" i="8"/>
  <c r="V75" i="8" s="1"/>
  <c r="V77" i="8" s="1"/>
  <c r="J72" i="8"/>
  <c r="Y75" i="8" s="1"/>
  <c r="M72" i="8"/>
  <c r="AB75" i="8" s="1"/>
  <c r="I72" i="8"/>
  <c r="X75" i="8" s="1"/>
  <c r="X77" i="8" s="1"/>
  <c r="X76" i="8"/>
  <c r="L72" i="8"/>
  <c r="AA75" i="8" s="1"/>
  <c r="AA76" i="8" s="1"/>
  <c r="O72" i="8"/>
  <c r="AD75" i="8" s="1"/>
  <c r="AD76" i="8" s="1"/>
  <c r="H33" i="4"/>
  <c r="H39" i="4"/>
  <c r="H72" i="8"/>
  <c r="W75" i="8"/>
  <c r="K72" i="8"/>
  <c r="Z75" i="8" s="1"/>
  <c r="Z77" i="8" s="1"/>
  <c r="H40" i="23"/>
  <c r="I40" i="23" s="1"/>
  <c r="H32" i="25"/>
  <c r="I32" i="25"/>
  <c r="H40" i="25"/>
  <c r="I40" i="25" s="1"/>
  <c r="H40" i="26"/>
  <c r="I40" i="26" s="1"/>
  <c r="I32" i="26"/>
  <c r="B24" i="23"/>
  <c r="B25" i="23"/>
  <c r="D22" i="23"/>
  <c r="B26" i="23"/>
  <c r="B23" i="23"/>
  <c r="AD77" i="8"/>
  <c r="N72" i="8"/>
  <c r="AC75" i="8" s="1"/>
  <c r="AC77" i="8" s="1"/>
  <c r="B46" i="22"/>
  <c r="B22" i="25"/>
  <c r="H31" i="25"/>
  <c r="I31" i="25" s="1"/>
  <c r="L22" i="26"/>
  <c r="H32" i="23"/>
  <c r="H48" i="24"/>
  <c r="I48" i="24" s="1"/>
  <c r="H48" i="26"/>
  <c r="I48" i="26" s="1"/>
  <c r="H352" i="3"/>
  <c r="H406" i="3"/>
  <c r="H33" i="23"/>
  <c r="H48" i="23"/>
  <c r="H40" i="24"/>
  <c r="I40" i="24" s="1"/>
  <c r="H47" i="26"/>
  <c r="U77" i="8"/>
  <c r="H41" i="21"/>
  <c r="B23" i="21"/>
  <c r="B26" i="21"/>
  <c r="V76" i="8"/>
  <c r="M25" i="26"/>
  <c r="M29" i="26" s="1"/>
  <c r="D30" i="24"/>
  <c r="H24" i="24" s="1"/>
  <c r="H5" i="24"/>
  <c r="H31" i="24"/>
  <c r="I31" i="24" s="1"/>
  <c r="H33" i="24"/>
  <c r="H325" i="3"/>
  <c r="M22" i="23"/>
  <c r="B46" i="23"/>
  <c r="H41" i="25"/>
  <c r="H48" i="25"/>
  <c r="I48" i="25" s="1"/>
  <c r="AF77" i="8"/>
  <c r="S78" i="8"/>
  <c r="M22" i="25"/>
  <c r="B46" i="25"/>
  <c r="M23" i="26"/>
  <c r="M27" i="26" s="1"/>
  <c r="M30" i="26" s="1"/>
  <c r="M31" i="26" s="1"/>
  <c r="J25" i="13"/>
  <c r="I32" i="4"/>
  <c r="M29" i="18"/>
  <c r="AC76" i="8"/>
  <c r="I39" i="4"/>
  <c r="P35" i="8"/>
  <c r="B43" i="13"/>
  <c r="G33" i="13"/>
  <c r="I33" i="13"/>
  <c r="I35" i="13" s="1"/>
  <c r="G33" i="22"/>
  <c r="B43" i="22"/>
  <c r="I47" i="26"/>
  <c r="I32" i="23"/>
  <c r="L25" i="21"/>
  <c r="L25" i="25"/>
  <c r="L29" i="25" s="1"/>
  <c r="F6" i="2"/>
  <c r="E13" i="2"/>
  <c r="E5" i="2"/>
  <c r="I24" i="24"/>
  <c r="B26" i="24"/>
  <c r="B25" i="24"/>
  <c r="B24" i="24"/>
  <c r="D22" i="24"/>
  <c r="AC78" i="8"/>
  <c r="P43" i="8"/>
  <c r="G41" i="13"/>
  <c r="I41" i="13" s="1"/>
  <c r="B51" i="13"/>
  <c r="P51" i="8" s="1"/>
  <c r="L29" i="13"/>
  <c r="L30" i="13" s="1"/>
  <c r="L31" i="13"/>
  <c r="K29" i="13"/>
  <c r="K30" i="13" s="1"/>
  <c r="K31" i="13" s="1"/>
  <c r="G41" i="22"/>
  <c r="I41" i="22" s="1"/>
  <c r="B51" i="22"/>
  <c r="G49" i="22" s="1"/>
  <c r="I49" i="22" s="1"/>
  <c r="G49" i="13"/>
  <c r="T78" i="8" l="1"/>
  <c r="X78" i="8"/>
  <c r="Z78" i="8"/>
  <c r="W78" i="8"/>
  <c r="AF78" i="8"/>
  <c r="AB78" i="8"/>
  <c r="L25" i="20"/>
  <c r="L29" i="20" s="1"/>
  <c r="G33" i="20"/>
  <c r="I33" i="20" s="1"/>
  <c r="B43" i="20"/>
  <c r="E17" i="2"/>
  <c r="L17" i="2" s="1"/>
  <c r="E22" i="14" s="1"/>
  <c r="E15" i="2"/>
  <c r="F11" i="2"/>
  <c r="F17" i="2"/>
  <c r="F16" i="2"/>
  <c r="E16" i="2"/>
  <c r="E20" i="2"/>
  <c r="L20" i="2" s="1"/>
  <c r="E25" i="14" s="1"/>
  <c r="E9" i="2"/>
  <c r="E18" i="2"/>
  <c r="L18" i="2" s="1"/>
  <c r="E23" i="14" s="1"/>
  <c r="F9" i="2"/>
  <c r="L9" i="2" s="1"/>
  <c r="E14" i="14" s="1"/>
  <c r="C72" i="6" s="1"/>
  <c r="C69" i="6" s="1"/>
  <c r="E8" i="2"/>
  <c r="F12" i="2"/>
  <c r="Y78" i="8"/>
  <c r="K25" i="23"/>
  <c r="K29" i="23" s="1"/>
  <c r="W76" i="8"/>
  <c r="W77" i="8"/>
  <c r="B43" i="26"/>
  <c r="G33" i="26"/>
  <c r="A431" i="3"/>
  <c r="B2" i="4"/>
  <c r="H49" i="4"/>
  <c r="B23" i="4"/>
  <c r="P7" i="8" s="1"/>
  <c r="K22" i="4"/>
  <c r="B30" i="4"/>
  <c r="H47" i="10"/>
  <c r="H49" i="10"/>
  <c r="M25" i="10" s="1"/>
  <c r="M29" i="10" s="1"/>
  <c r="H39" i="10"/>
  <c r="H41" i="10"/>
  <c r="H32" i="10"/>
  <c r="I32" i="10" s="1"/>
  <c r="B25" i="10"/>
  <c r="R11" i="8" s="1"/>
  <c r="M22" i="11"/>
  <c r="B46" i="11"/>
  <c r="B30" i="11"/>
  <c r="K22" i="11"/>
  <c r="B24" i="12"/>
  <c r="Q19" i="8" s="1"/>
  <c r="H49" i="12"/>
  <c r="B26" i="12"/>
  <c r="S19" i="8" s="1"/>
  <c r="H32" i="12"/>
  <c r="Q47" i="8"/>
  <c r="H47" i="13"/>
  <c r="B24" i="13"/>
  <c r="Q23" i="8" s="1"/>
  <c r="R39" i="8"/>
  <c r="B25" i="13"/>
  <c r="R23" i="8" s="1"/>
  <c r="L22" i="13"/>
  <c r="B38" i="13"/>
  <c r="S35" i="8" s="1"/>
  <c r="I124" i="5"/>
  <c r="K124" i="5" s="1"/>
  <c r="H117" i="5" s="1"/>
  <c r="D38" i="26"/>
  <c r="H5" i="26"/>
  <c r="D38" i="20"/>
  <c r="H5" i="20"/>
  <c r="B25" i="19"/>
  <c r="B24" i="19"/>
  <c r="B23" i="19"/>
  <c r="H39" i="20"/>
  <c r="B23" i="20"/>
  <c r="H41" i="24"/>
  <c r="L25" i="24" s="1"/>
  <c r="L29" i="24" s="1"/>
  <c r="H39" i="24"/>
  <c r="H49" i="24"/>
  <c r="M25" i="24" s="1"/>
  <c r="M29" i="24" s="1"/>
  <c r="H47" i="24"/>
  <c r="K25" i="25"/>
  <c r="K29" i="25" s="1"/>
  <c r="I39" i="25"/>
  <c r="L23" i="25"/>
  <c r="L27" i="25" s="1"/>
  <c r="L30" i="25" s="1"/>
  <c r="L31" i="25" s="1"/>
  <c r="H33" i="26"/>
  <c r="H31" i="26"/>
  <c r="B23" i="26"/>
  <c r="L25" i="26"/>
  <c r="L29" i="26" s="1"/>
  <c r="I39" i="21"/>
  <c r="L23" i="21"/>
  <c r="L27" i="21" s="1"/>
  <c r="U78" i="8"/>
  <c r="K25" i="24"/>
  <c r="K29" i="24" s="1"/>
  <c r="F19" i="2"/>
  <c r="E6" i="2"/>
  <c r="L6" i="2" s="1"/>
  <c r="E11" i="14" s="1"/>
  <c r="C27" i="6" s="1"/>
  <c r="C24" i="6" s="1"/>
  <c r="E12" i="2"/>
  <c r="L12" i="2" s="1"/>
  <c r="E17" i="14" s="1"/>
  <c r="G41" i="12"/>
  <c r="I41" i="12" s="1"/>
  <c r="K23" i="25"/>
  <c r="K27" i="25" s="1"/>
  <c r="H24" i="20"/>
  <c r="I24" i="20" s="1"/>
  <c r="I32" i="20"/>
  <c r="M30" i="18"/>
  <c r="M31" i="18" s="1"/>
  <c r="I40" i="13"/>
  <c r="I44" i="13" s="1"/>
  <c r="H24" i="13"/>
  <c r="I24" i="13" s="1"/>
  <c r="I40" i="17"/>
  <c r="H24" i="17"/>
  <c r="I24" i="17" s="1"/>
  <c r="E75" i="5"/>
  <c r="E76" i="5" s="1"/>
  <c r="E77" i="5" s="1"/>
  <c r="F79" i="5"/>
  <c r="B43" i="19"/>
  <c r="G33" i="19"/>
  <c r="K29" i="20"/>
  <c r="H25" i="4"/>
  <c r="I25" i="4" s="1"/>
  <c r="K25" i="18"/>
  <c r="K29" i="18" s="1"/>
  <c r="K30" i="18" s="1"/>
  <c r="G41" i="11"/>
  <c r="I41" i="11" s="1"/>
  <c r="B51" i="11"/>
  <c r="G49" i="11" s="1"/>
  <c r="K23" i="24"/>
  <c r="K27" i="24" s="1"/>
  <c r="K30" i="24" s="1"/>
  <c r="K31" i="24" s="1"/>
  <c r="AD78" i="8"/>
  <c r="V78" i="8"/>
  <c r="I33" i="24"/>
  <c r="I35" i="24" s="1"/>
  <c r="F15" i="2"/>
  <c r="F14" i="2"/>
  <c r="F18" i="2"/>
  <c r="I36" i="13"/>
  <c r="I43" i="13"/>
  <c r="H23" i="24"/>
  <c r="I23" i="24" s="1"/>
  <c r="AA78" i="8"/>
  <c r="S79" i="8"/>
  <c r="C22" i="2"/>
  <c r="F20" i="2"/>
  <c r="E19" i="2"/>
  <c r="L19" i="2" s="1"/>
  <c r="E24" i="14" s="1"/>
  <c r="F10" i="2"/>
  <c r="H25" i="23"/>
  <c r="I25" i="23" s="1"/>
  <c r="T77" i="8"/>
  <c r="H47" i="12"/>
  <c r="K23" i="17"/>
  <c r="K27" i="17" s="1"/>
  <c r="I31" i="17"/>
  <c r="B23" i="22"/>
  <c r="H23" i="26"/>
  <c r="I23" i="26" s="1"/>
  <c r="I32" i="19"/>
  <c r="M29" i="20"/>
  <c r="M30" i="20" s="1"/>
  <c r="K25" i="21"/>
  <c r="K27" i="16"/>
  <c r="K30" i="16" s="1"/>
  <c r="B433" i="3"/>
  <c r="C35" i="6"/>
  <c r="P333" i="3"/>
  <c r="P279" i="3"/>
  <c r="O279" i="3" s="1"/>
  <c r="P198" i="3"/>
  <c r="O198" i="3" s="1"/>
  <c r="P65" i="3"/>
  <c r="O65" i="3" s="1"/>
  <c r="P414" i="3"/>
  <c r="O414" i="3" s="1"/>
  <c r="P387" i="3"/>
  <c r="O387" i="3" s="1"/>
  <c r="P171" i="3"/>
  <c r="P306" i="3"/>
  <c r="P252" i="3"/>
  <c r="O252" i="3" s="1"/>
  <c r="P117" i="3"/>
  <c r="O117" i="3" s="1"/>
  <c r="P91" i="3"/>
  <c r="O91" i="3" s="1"/>
  <c r="O13" i="3"/>
  <c r="B12" i="15"/>
  <c r="B22" i="10"/>
  <c r="B46" i="13"/>
  <c r="S43" i="8" s="1"/>
  <c r="M22" i="13"/>
  <c r="D51" i="7"/>
  <c r="C29" i="6" s="1"/>
  <c r="D29" i="6" s="1"/>
  <c r="E29" i="6" s="1"/>
  <c r="F24" i="5"/>
  <c r="H24" i="5" s="1"/>
  <c r="E20" i="5"/>
  <c r="M24" i="5"/>
  <c r="B30" i="22"/>
  <c r="K22" i="22"/>
  <c r="H33" i="19"/>
  <c r="K25" i="19" s="1"/>
  <c r="H31" i="19"/>
  <c r="H47" i="19"/>
  <c r="H49" i="19"/>
  <c r="M25" i="19" s="1"/>
  <c r="H25" i="20"/>
  <c r="I25" i="20" s="1"/>
  <c r="K25" i="20"/>
  <c r="H33" i="22"/>
  <c r="I33" i="22" s="1"/>
  <c r="H31" i="22"/>
  <c r="L30" i="12"/>
  <c r="A3" i="10"/>
  <c r="A3" i="22"/>
  <c r="A3" i="23"/>
  <c r="A3" i="13"/>
  <c r="A3" i="19"/>
  <c r="AF1" i="8"/>
  <c r="B4" i="7"/>
  <c r="B11" i="7" s="1"/>
  <c r="B18" i="7" s="1"/>
  <c r="B25" i="7" s="1"/>
  <c r="B32" i="7" s="1"/>
  <c r="B3" i="5"/>
  <c r="B30" i="5" s="1"/>
  <c r="B57" i="5" s="1"/>
  <c r="B84" i="5" s="1"/>
  <c r="B111" i="5" s="1"/>
  <c r="B138" i="5" s="1"/>
  <c r="B165" i="5" s="1"/>
  <c r="B192" i="5" s="1"/>
  <c r="B219" i="5" s="1"/>
  <c r="B246" i="5" s="1"/>
  <c r="B273" i="5" s="1"/>
  <c r="B300" i="5" s="1"/>
  <c r="B327" i="5" s="1"/>
  <c r="B354" i="5" s="1"/>
  <c r="B381" i="5" s="1"/>
  <c r="B408" i="5" s="1"/>
  <c r="M79" i="5"/>
  <c r="B30" i="17"/>
  <c r="K22" i="17"/>
  <c r="M22" i="24"/>
  <c r="B46" i="24"/>
  <c r="D38" i="22"/>
  <c r="B26" i="22" s="1"/>
  <c r="H5" i="22"/>
  <c r="C28" i="2"/>
  <c r="M30" i="22"/>
  <c r="K30" i="10"/>
  <c r="B161" i="3"/>
  <c r="B3" i="4"/>
  <c r="F53" i="7"/>
  <c r="E53" i="7"/>
  <c r="M107" i="5"/>
  <c r="B22" i="24"/>
  <c r="B24" i="15"/>
  <c r="L22" i="16"/>
  <c r="B38" i="16"/>
  <c r="D38" i="25"/>
  <c r="H5" i="25"/>
  <c r="H41" i="16"/>
  <c r="L25" i="16" s="1"/>
  <c r="L29" i="16" s="1"/>
  <c r="H39" i="16"/>
  <c r="E264" i="5"/>
  <c r="M268" i="5"/>
  <c r="F268" i="5"/>
  <c r="U76" i="8"/>
  <c r="B35" i="23"/>
  <c r="G25" i="19"/>
  <c r="J25" i="19" s="1"/>
  <c r="L7" i="1"/>
  <c r="M7" i="1" s="1"/>
  <c r="L5" i="1"/>
  <c r="M5" i="1" s="1"/>
  <c r="B25" i="4"/>
  <c r="R7" i="8" s="1"/>
  <c r="O333" i="3"/>
  <c r="H39" i="17"/>
  <c r="H47" i="17"/>
  <c r="H41" i="18"/>
  <c r="L25" i="18" s="1"/>
  <c r="L29" i="18" s="1"/>
  <c r="L30" i="18" s="1"/>
  <c r="L31" i="18" s="1"/>
  <c r="H31" i="20"/>
  <c r="H39" i="22"/>
  <c r="H39" i="23"/>
  <c r="H47" i="23"/>
  <c r="H136" i="3"/>
  <c r="M269" i="5"/>
  <c r="F267" i="5"/>
  <c r="H267" i="5" s="1"/>
  <c r="I151" i="5"/>
  <c r="K151" i="5" s="1"/>
  <c r="H144" i="5" s="1"/>
  <c r="I178" i="5"/>
  <c r="I367" i="5"/>
  <c r="I313" i="5"/>
  <c r="K108" i="5"/>
  <c r="H92" i="5" s="1"/>
  <c r="O171" i="3"/>
  <c r="H39" i="11"/>
  <c r="H49" i="13"/>
  <c r="M25" i="13" s="1"/>
  <c r="M29" i="13" s="1"/>
  <c r="I97" i="5"/>
  <c r="K97" i="5" s="1"/>
  <c r="H90" i="5" s="1"/>
  <c r="D22" i="21"/>
  <c r="H48" i="19"/>
  <c r="I48" i="19" s="1"/>
  <c r="H48" i="22"/>
  <c r="I48" i="22" s="1"/>
  <c r="I52" i="22" s="1"/>
  <c r="M161" i="5"/>
  <c r="H161" i="5" s="1"/>
  <c r="I259" i="5"/>
  <c r="K20" i="18"/>
  <c r="K31" i="18"/>
  <c r="L15" i="2"/>
  <c r="E20" i="14" s="1"/>
  <c r="H20" i="18"/>
  <c r="G11" i="2"/>
  <c r="G6" i="2"/>
  <c r="G13" i="2"/>
  <c r="H10" i="2"/>
  <c r="B23" i="24"/>
  <c r="K25" i="4"/>
  <c r="K29" i="4" s="1"/>
  <c r="K30" i="4" s="1"/>
  <c r="AA77" i="8"/>
  <c r="J9" i="2"/>
  <c r="H24" i="23"/>
  <c r="I24" i="23" s="1"/>
  <c r="I48" i="23"/>
  <c r="L30" i="26"/>
  <c r="G16" i="2"/>
  <c r="H16" i="2"/>
  <c r="H13" i="2"/>
  <c r="G17" i="2"/>
  <c r="M17" i="2" s="1"/>
  <c r="F22" i="14" s="1"/>
  <c r="H7" i="2"/>
  <c r="G18" i="2"/>
  <c r="M18" i="2" s="1"/>
  <c r="F23" i="14" s="1"/>
  <c r="H15" i="2"/>
  <c r="G12" i="2"/>
  <c r="H5" i="2"/>
  <c r="K30" i="25"/>
  <c r="Z76" i="8"/>
  <c r="L23" i="4"/>
  <c r="L27" i="4" s="1"/>
  <c r="L30" i="4" s="1"/>
  <c r="L31" i="4" s="1"/>
  <c r="H23" i="4"/>
  <c r="I23" i="4" s="1"/>
  <c r="AB76" i="8"/>
  <c r="AB77" i="8"/>
  <c r="K30" i="23"/>
  <c r="Y77" i="8"/>
  <c r="Y76" i="8"/>
  <c r="J19" i="2"/>
  <c r="J7" i="2"/>
  <c r="I7" i="2"/>
  <c r="N7" i="2" s="1"/>
  <c r="G12" i="14" s="1"/>
  <c r="E42" i="6" s="1"/>
  <c r="E46" i="6" s="1"/>
  <c r="J13" i="2"/>
  <c r="I8" i="2"/>
  <c r="N8" i="2" s="1"/>
  <c r="G13" i="14" s="1"/>
  <c r="E57" i="6" s="1"/>
  <c r="E61" i="6" s="1"/>
  <c r="J20" i="2"/>
  <c r="J11" i="2"/>
  <c r="I19" i="2"/>
  <c r="N19" i="2" s="1"/>
  <c r="G24" i="14" s="1"/>
  <c r="J10" i="2"/>
  <c r="J17" i="2"/>
  <c r="I13" i="2"/>
  <c r="N13" i="2" s="1"/>
  <c r="G18" i="14" s="1"/>
  <c r="J5" i="2"/>
  <c r="J8" i="2"/>
  <c r="I16" i="2"/>
  <c r="N16" i="2" s="1"/>
  <c r="G21" i="14" s="1"/>
  <c r="J12" i="2"/>
  <c r="I14" i="2"/>
  <c r="N14" i="2" s="1"/>
  <c r="G19" i="14" s="1"/>
  <c r="J6" i="2"/>
  <c r="I15" i="2"/>
  <c r="N15" i="2" s="1"/>
  <c r="G20" i="14" s="1"/>
  <c r="J15" i="2"/>
  <c r="I20" i="2"/>
  <c r="N20" i="2" s="1"/>
  <c r="G25" i="14" s="1"/>
  <c r="J18" i="2"/>
  <c r="J14" i="2"/>
  <c r="I17" i="2"/>
  <c r="N17" i="2" s="1"/>
  <c r="G22" i="14" s="1"/>
  <c r="M31" i="22"/>
  <c r="K31" i="10"/>
  <c r="H24" i="26"/>
  <c r="I24" i="26" s="1"/>
  <c r="J270" i="5"/>
  <c r="K243" i="5"/>
  <c r="H227" i="5" s="1"/>
  <c r="G41" i="24"/>
  <c r="I41" i="24" s="1"/>
  <c r="B51" i="24"/>
  <c r="G49" i="24" s="1"/>
  <c r="I49" i="24" s="1"/>
  <c r="H24" i="22"/>
  <c r="I24" i="22" s="1"/>
  <c r="E11" i="2"/>
  <c r="L11" i="2" s="1"/>
  <c r="E16" i="14" s="1"/>
  <c r="F8" i="2"/>
  <c r="L8" i="2" s="1"/>
  <c r="E13" i="14" s="1"/>
  <c r="C57" i="6" s="1"/>
  <c r="F13" i="2"/>
  <c r="L13" i="2" s="1"/>
  <c r="E18" i="14" s="1"/>
  <c r="E7" i="2"/>
  <c r="L7" i="2" s="1"/>
  <c r="E12" i="14" s="1"/>
  <c r="C42" i="6" s="1"/>
  <c r="E10" i="2"/>
  <c r="L10" i="2" s="1"/>
  <c r="E15" i="14" s="1"/>
  <c r="E14" i="2"/>
  <c r="L14" i="2" s="1"/>
  <c r="E19" i="14" s="1"/>
  <c r="F7" i="2"/>
  <c r="F5" i="2"/>
  <c r="L5" i="2" s="1"/>
  <c r="E10" i="14" s="1"/>
  <c r="C12" i="6" s="1"/>
  <c r="I39" i="26"/>
  <c r="L25" i="19"/>
  <c r="L29" i="19" s="1"/>
  <c r="L30" i="19" s="1"/>
  <c r="M25" i="25"/>
  <c r="M29" i="25" s="1"/>
  <c r="D22" i="19"/>
  <c r="B26" i="19"/>
  <c r="I32" i="21"/>
  <c r="H23" i="10"/>
  <c r="I23" i="10" s="1"/>
  <c r="H25" i="12"/>
  <c r="I25" i="12" s="1"/>
  <c r="G41" i="16"/>
  <c r="I41" i="16" s="1"/>
  <c r="B51" i="16"/>
  <c r="G49" i="16" s="1"/>
  <c r="I49" i="16" s="1"/>
  <c r="K216" i="5"/>
  <c r="H200" i="5" s="1"/>
  <c r="J178" i="5"/>
  <c r="B107" i="3"/>
  <c r="B350" i="3"/>
  <c r="B134" i="3"/>
  <c r="M80" i="5"/>
  <c r="M25" i="5"/>
  <c r="A44" i="7"/>
  <c r="A54" i="7" s="1"/>
  <c r="A64" i="7" s="1"/>
  <c r="A53" i="7"/>
  <c r="A63" i="7" s="1"/>
  <c r="I4" i="1"/>
  <c r="J4" i="1"/>
  <c r="H14" i="1"/>
  <c r="J3" i="1"/>
  <c r="H31" i="11"/>
  <c r="H33" i="11"/>
  <c r="D22" i="17"/>
  <c r="B25" i="17"/>
  <c r="G33" i="10"/>
  <c r="I33" i="10" s="1"/>
  <c r="B43" i="10"/>
  <c r="L29" i="11"/>
  <c r="B431" i="3"/>
  <c r="C5" i="6"/>
  <c r="G33" i="18"/>
  <c r="I33" i="18" s="1"/>
  <c r="B43" i="18"/>
  <c r="B35" i="17"/>
  <c r="G25" i="17"/>
  <c r="J25" i="17" s="1"/>
  <c r="J13" i="1"/>
  <c r="I13" i="1"/>
  <c r="I12" i="1"/>
  <c r="L12" i="1" s="1"/>
  <c r="M12" i="1" s="1"/>
  <c r="K135" i="5"/>
  <c r="H119" i="5" s="1"/>
  <c r="B242" i="3"/>
  <c r="B377" i="3"/>
  <c r="F80" i="5"/>
  <c r="H80" i="5" s="1"/>
  <c r="B35" i="21"/>
  <c r="G25" i="21"/>
  <c r="M25" i="4"/>
  <c r="M29" i="4" s="1"/>
  <c r="I11" i="1"/>
  <c r="J11" i="1"/>
  <c r="I10" i="1"/>
  <c r="J10" i="1"/>
  <c r="G14" i="1"/>
  <c r="I9" i="1"/>
  <c r="J9" i="1"/>
  <c r="E128" i="5"/>
  <c r="F132" i="5"/>
  <c r="H132" i="5" s="1"/>
  <c r="F106" i="5"/>
  <c r="H106" i="5" s="1"/>
  <c r="F105" i="5"/>
  <c r="H105" i="5" s="1"/>
  <c r="F107" i="5"/>
  <c r="H107" i="5" s="1"/>
  <c r="F51" i="5"/>
  <c r="H51" i="5" s="1"/>
  <c r="F53" i="5"/>
  <c r="H53" i="5" s="1"/>
  <c r="B46" i="17"/>
  <c r="M22" i="17"/>
  <c r="B30" i="19"/>
  <c r="K22" i="19"/>
  <c r="D46" i="16"/>
  <c r="D22" i="16" s="1"/>
  <c r="H5" i="16"/>
  <c r="B35" i="25"/>
  <c r="A3" i="20"/>
  <c r="A3" i="18"/>
  <c r="B3" i="21"/>
  <c r="B3" i="16"/>
  <c r="B35" i="4"/>
  <c r="A3" i="12"/>
  <c r="H23" i="17"/>
  <c r="I23" i="17" s="1"/>
  <c r="O360" i="3"/>
  <c r="K27" i="5"/>
  <c r="H11" i="5" s="1"/>
  <c r="C50" i="7"/>
  <c r="H24" i="18"/>
  <c r="I24" i="18" s="1"/>
  <c r="H23" i="18"/>
  <c r="I23" i="18" s="1"/>
  <c r="H23" i="20"/>
  <c r="I23" i="20" s="1"/>
  <c r="A3" i="17"/>
  <c r="A3" i="25"/>
  <c r="B3" i="20"/>
  <c r="B3" i="18"/>
  <c r="B3" i="13"/>
  <c r="K23" i="19"/>
  <c r="K27" i="19" s="1"/>
  <c r="O306" i="3"/>
  <c r="H49" i="11"/>
  <c r="H47" i="11"/>
  <c r="H25" i="17"/>
  <c r="I25" i="17" s="1"/>
  <c r="B24" i="21"/>
  <c r="H159" i="5"/>
  <c r="H24" i="10"/>
  <c r="I24" i="10" s="1"/>
  <c r="B21" i="15"/>
  <c r="B22" i="21"/>
  <c r="B26" i="18"/>
  <c r="E208" i="5"/>
  <c r="M213" i="5" s="1"/>
  <c r="E343" i="5"/>
  <c r="E424" i="5"/>
  <c r="M429" i="5" s="1"/>
  <c r="H47" i="4"/>
  <c r="B23" i="10"/>
  <c r="P11" i="8" s="1"/>
  <c r="M375" i="5"/>
  <c r="E181" i="5"/>
  <c r="M186" i="5" s="1"/>
  <c r="I205" i="5"/>
  <c r="E397" i="5"/>
  <c r="M402" i="5" s="1"/>
  <c r="I421" i="5"/>
  <c r="H25" i="19"/>
  <c r="I25" i="19" s="1"/>
  <c r="H5" i="19"/>
  <c r="F269" i="5"/>
  <c r="H269" i="5" s="1"/>
  <c r="E265" i="5"/>
  <c r="E266" i="5" s="1"/>
  <c r="F375" i="5"/>
  <c r="H375" i="5" s="1"/>
  <c r="E235" i="5"/>
  <c r="E317" i="5"/>
  <c r="M322" i="5" s="1"/>
  <c r="F321" i="5"/>
  <c r="H321" i="5" s="1"/>
  <c r="B24" i="10"/>
  <c r="Q11" i="8" s="1"/>
  <c r="H47" i="25"/>
  <c r="H109" i="3"/>
  <c r="E371" i="5"/>
  <c r="M376" i="5" s="1"/>
  <c r="E289" i="5"/>
  <c r="M294" i="5" s="1"/>
  <c r="I340" i="5"/>
  <c r="M23" i="16" l="1"/>
  <c r="M27" i="16" s="1"/>
  <c r="M30" i="16" s="1"/>
  <c r="M31" i="16" s="1"/>
  <c r="I47" i="16"/>
  <c r="K31" i="16"/>
  <c r="I105" i="5"/>
  <c r="L13" i="1"/>
  <c r="M13" i="1" s="1"/>
  <c r="I47" i="23"/>
  <c r="M23" i="23"/>
  <c r="M27" i="23" s="1"/>
  <c r="M30" i="23" s="1"/>
  <c r="M31" i="23" s="1"/>
  <c r="H268" i="5"/>
  <c r="D53" i="7"/>
  <c r="C59" i="6" s="1"/>
  <c r="D59" i="6" s="1"/>
  <c r="E59" i="6" s="1"/>
  <c r="I51" i="22"/>
  <c r="K29" i="19"/>
  <c r="E21" i="5"/>
  <c r="E22" i="5" s="1"/>
  <c r="E23" i="5" s="1"/>
  <c r="F25" i="5"/>
  <c r="D22" i="22"/>
  <c r="I49" i="13"/>
  <c r="H79" i="5"/>
  <c r="K25" i="26"/>
  <c r="K29" i="26" s="1"/>
  <c r="H25" i="26"/>
  <c r="I25" i="26" s="1"/>
  <c r="H23" i="13"/>
  <c r="I23" i="13" s="1"/>
  <c r="M23" i="13"/>
  <c r="M27" i="13" s="1"/>
  <c r="M30" i="13" s="1"/>
  <c r="I47" i="13"/>
  <c r="M25" i="12"/>
  <c r="M29" i="12" s="1"/>
  <c r="I49" i="12"/>
  <c r="H25" i="10"/>
  <c r="I25" i="10" s="1"/>
  <c r="L25" i="10"/>
  <c r="L29" i="10" s="1"/>
  <c r="B22" i="4"/>
  <c r="B11" i="15"/>
  <c r="B51" i="26"/>
  <c r="G49" i="26" s="1"/>
  <c r="I49" i="26" s="1"/>
  <c r="G41" i="26"/>
  <c r="I41" i="26" s="1"/>
  <c r="L23" i="23"/>
  <c r="L27" i="23" s="1"/>
  <c r="L30" i="23" s="1"/>
  <c r="L31" i="23" s="1"/>
  <c r="H23" i="23"/>
  <c r="I23" i="23" s="1"/>
  <c r="I39" i="23"/>
  <c r="I47" i="17"/>
  <c r="M23" i="17"/>
  <c r="M27" i="17" s="1"/>
  <c r="K23" i="22"/>
  <c r="K27" i="22" s="1"/>
  <c r="I31" i="22"/>
  <c r="I35" i="22" s="1"/>
  <c r="H23" i="22"/>
  <c r="I23" i="22" s="1"/>
  <c r="M29" i="19"/>
  <c r="I47" i="12"/>
  <c r="M23" i="12"/>
  <c r="M27" i="12" s="1"/>
  <c r="H23" i="12"/>
  <c r="I23" i="12" s="1"/>
  <c r="G20" i="2"/>
  <c r="M20" i="2" s="1"/>
  <c r="F25" i="14" s="1"/>
  <c r="H20" i="2"/>
  <c r="H6" i="2"/>
  <c r="M6" i="2" s="1"/>
  <c r="F11" i="14" s="1"/>
  <c r="D27" i="6" s="1"/>
  <c r="G8" i="2"/>
  <c r="G14" i="2"/>
  <c r="M14" i="2" s="1"/>
  <c r="F19" i="14" s="1"/>
  <c r="G9" i="2"/>
  <c r="M9" i="2" s="1"/>
  <c r="F14" i="14" s="1"/>
  <c r="D72" i="6" s="1"/>
  <c r="G19" i="2"/>
  <c r="M19" i="2" s="1"/>
  <c r="F24" i="14" s="1"/>
  <c r="H9" i="2"/>
  <c r="G10" i="2"/>
  <c r="M10" i="2" s="1"/>
  <c r="F15" i="14" s="1"/>
  <c r="H17" i="2"/>
  <c r="H18" i="2"/>
  <c r="H14" i="2"/>
  <c r="H11" i="2"/>
  <c r="H12" i="2"/>
  <c r="G5" i="2"/>
  <c r="H8" i="2"/>
  <c r="M8" i="2" s="1"/>
  <c r="F13" i="14" s="1"/>
  <c r="D57" i="6" s="1"/>
  <c r="H19" i="2"/>
  <c r="M23" i="24"/>
  <c r="M27" i="24" s="1"/>
  <c r="M30" i="24" s="1"/>
  <c r="M31" i="24" s="1"/>
  <c r="I47" i="24"/>
  <c r="B24" i="26"/>
  <c r="B25" i="26"/>
  <c r="D22" i="26"/>
  <c r="B26" i="26"/>
  <c r="L23" i="10"/>
  <c r="L27" i="10" s="1"/>
  <c r="L30" i="10" s="1"/>
  <c r="I39" i="10"/>
  <c r="I36" i="24"/>
  <c r="L16" i="2"/>
  <c r="E21" i="14" s="1"/>
  <c r="I51" i="5"/>
  <c r="L11" i="1"/>
  <c r="M11" i="1" s="1"/>
  <c r="I78" i="5"/>
  <c r="H25" i="5"/>
  <c r="I24" i="5" s="1"/>
  <c r="M5" i="2"/>
  <c r="F10" i="14" s="1"/>
  <c r="D12" i="6" s="1"/>
  <c r="M16" i="2"/>
  <c r="F21" i="14" s="1"/>
  <c r="M11" i="2"/>
  <c r="F16" i="14" s="1"/>
  <c r="L23" i="11"/>
  <c r="L27" i="11" s="1"/>
  <c r="L30" i="11" s="1"/>
  <c r="L31" i="11" s="1"/>
  <c r="I39" i="11"/>
  <c r="L23" i="22"/>
  <c r="L27" i="22" s="1"/>
  <c r="L30" i="22" s="1"/>
  <c r="I39" i="22"/>
  <c r="I39" i="17"/>
  <c r="L23" i="17"/>
  <c r="L27" i="17" s="1"/>
  <c r="G33" i="23"/>
  <c r="I33" i="23" s="1"/>
  <c r="B43" i="23"/>
  <c r="D22" i="25"/>
  <c r="B24" i="25"/>
  <c r="B26" i="25"/>
  <c r="B25" i="25"/>
  <c r="H24" i="25"/>
  <c r="I24" i="25" s="1"/>
  <c r="B23" i="25"/>
  <c r="B3" i="17"/>
  <c r="B3" i="26"/>
  <c r="B3" i="23"/>
  <c r="B3" i="10"/>
  <c r="B3" i="24"/>
  <c r="B3" i="25"/>
  <c r="B3" i="12"/>
  <c r="B3" i="22"/>
  <c r="B3" i="19"/>
  <c r="B3" i="11"/>
  <c r="J16" i="2"/>
  <c r="I10" i="2"/>
  <c r="N10" i="2" s="1"/>
  <c r="G15" i="14" s="1"/>
  <c r="I6" i="2"/>
  <c r="N6" i="2" s="1"/>
  <c r="G11" i="14" s="1"/>
  <c r="E27" i="6" s="1"/>
  <c r="E31" i="6" s="1"/>
  <c r="I11" i="2"/>
  <c r="N11" i="2" s="1"/>
  <c r="G16" i="14" s="1"/>
  <c r="I12" i="2"/>
  <c r="N12" i="2" s="1"/>
  <c r="G17" i="14" s="1"/>
  <c r="I5" i="2"/>
  <c r="N5" i="2" s="1"/>
  <c r="G10" i="14" s="1"/>
  <c r="E12" i="6" s="1"/>
  <c r="E16" i="6" s="1"/>
  <c r="I18" i="2"/>
  <c r="N18" i="2" s="1"/>
  <c r="G23" i="14" s="1"/>
  <c r="I9" i="2"/>
  <c r="N9" i="2" s="1"/>
  <c r="G14" i="14" s="1"/>
  <c r="E72" i="6" s="1"/>
  <c r="E76" i="6" s="1"/>
  <c r="E78" i="6" s="1"/>
  <c r="L31" i="12"/>
  <c r="K20" i="12"/>
  <c r="K25" i="22"/>
  <c r="K29" i="22" s="1"/>
  <c r="K30" i="22" s="1"/>
  <c r="H25" i="22"/>
  <c r="I25" i="22" s="1"/>
  <c r="M23" i="19"/>
  <c r="M27" i="19" s="1"/>
  <c r="M30" i="19" s="1"/>
  <c r="M31" i="19" s="1"/>
  <c r="I47" i="19"/>
  <c r="B25" i="22"/>
  <c r="H25" i="13"/>
  <c r="I25" i="13" s="1"/>
  <c r="AC79" i="8"/>
  <c r="Z79" i="8"/>
  <c r="S80" i="8"/>
  <c r="V79" i="8"/>
  <c r="AF79" i="8"/>
  <c r="T79" i="8"/>
  <c r="AA79" i="8"/>
  <c r="AB79" i="8"/>
  <c r="Y79" i="8"/>
  <c r="AD79" i="8"/>
  <c r="W79" i="8"/>
  <c r="X79" i="8"/>
  <c r="U79" i="8"/>
  <c r="H25" i="18"/>
  <c r="I25" i="18" s="1"/>
  <c r="I33" i="19"/>
  <c r="I39" i="20"/>
  <c r="L23" i="20"/>
  <c r="L27" i="20" s="1"/>
  <c r="L30" i="20" s="1"/>
  <c r="L31" i="20" s="1"/>
  <c r="I32" i="12"/>
  <c r="H24" i="12"/>
  <c r="I24" i="12" s="1"/>
  <c r="I159" i="5"/>
  <c r="K159" i="5" s="1"/>
  <c r="H145" i="5" s="1"/>
  <c r="J139" i="5" s="1"/>
  <c r="J137" i="5" s="1"/>
  <c r="B442" i="5" s="1"/>
  <c r="I267" i="5"/>
  <c r="K267" i="5" s="1"/>
  <c r="H253" i="5" s="1"/>
  <c r="K30" i="19"/>
  <c r="L10" i="1"/>
  <c r="M10" i="1" s="1"/>
  <c r="L4" i="1"/>
  <c r="M4" i="1" s="1"/>
  <c r="I28" i="12"/>
  <c r="I51" i="24"/>
  <c r="I28" i="26"/>
  <c r="M12" i="2"/>
  <c r="F17" i="14" s="1"/>
  <c r="G7" i="2"/>
  <c r="G15" i="2"/>
  <c r="I31" i="20"/>
  <c r="I36" i="20" s="1"/>
  <c r="K23" i="20"/>
  <c r="K27" i="20" s="1"/>
  <c r="K30" i="20" s="1"/>
  <c r="L23" i="16"/>
  <c r="L27" i="16" s="1"/>
  <c r="L30" i="16" s="1"/>
  <c r="I39" i="16"/>
  <c r="H23" i="19"/>
  <c r="I23" i="19" s="1"/>
  <c r="I27" i="19" s="1"/>
  <c r="I31" i="19"/>
  <c r="M31" i="20"/>
  <c r="B24" i="22"/>
  <c r="G41" i="19"/>
  <c r="I41" i="19" s="1"/>
  <c r="B51" i="19"/>
  <c r="G49" i="19" s="1"/>
  <c r="I49" i="19" s="1"/>
  <c r="I35" i="20"/>
  <c r="I44" i="12"/>
  <c r="I43" i="12"/>
  <c r="H25" i="24"/>
  <c r="I25" i="24" s="1"/>
  <c r="I28" i="24" s="1"/>
  <c r="K23" i="26"/>
  <c r="K27" i="26" s="1"/>
  <c r="I31" i="26"/>
  <c r="H25" i="25"/>
  <c r="I25" i="25" s="1"/>
  <c r="L23" i="24"/>
  <c r="L27" i="24" s="1"/>
  <c r="L30" i="24" s="1"/>
  <c r="I39" i="24"/>
  <c r="I43" i="24" s="1"/>
  <c r="B24" i="20"/>
  <c r="B26" i="20"/>
  <c r="B25" i="20"/>
  <c r="D22" i="20"/>
  <c r="I47" i="10"/>
  <c r="M23" i="10"/>
  <c r="M27" i="10" s="1"/>
  <c r="M30" i="10" s="1"/>
  <c r="I33" i="26"/>
  <c r="B51" i="20"/>
  <c r="G49" i="20" s="1"/>
  <c r="I49" i="20" s="1"/>
  <c r="G41" i="20"/>
  <c r="I41" i="20" s="1"/>
  <c r="L31" i="19"/>
  <c r="H20" i="19"/>
  <c r="C54" i="6"/>
  <c r="K78" i="5"/>
  <c r="H64" i="5" s="1"/>
  <c r="D21" i="7"/>
  <c r="F21" i="7" s="1"/>
  <c r="C42" i="7" s="1"/>
  <c r="D7" i="7"/>
  <c r="F7" i="7" s="1"/>
  <c r="C40" i="7" s="1"/>
  <c r="K24" i="5"/>
  <c r="H10" i="5" s="1"/>
  <c r="E236" i="5"/>
  <c r="E237" i="5" s="1"/>
  <c r="E238" i="5" s="1"/>
  <c r="E239" i="5" s="1"/>
  <c r="F240" i="5"/>
  <c r="M242" i="5"/>
  <c r="F213" i="5"/>
  <c r="H213" i="5" s="1"/>
  <c r="E209" i="5"/>
  <c r="E210" i="5" s="1"/>
  <c r="E211" i="5" s="1"/>
  <c r="E212" i="5" s="1"/>
  <c r="M214" i="5"/>
  <c r="M23" i="11"/>
  <c r="M27" i="11" s="1"/>
  <c r="I47" i="11"/>
  <c r="I28" i="17"/>
  <c r="I27" i="17"/>
  <c r="E129" i="5"/>
  <c r="F133" i="5"/>
  <c r="M133" i="5"/>
  <c r="J25" i="21"/>
  <c r="I25" i="21"/>
  <c r="B43" i="17"/>
  <c r="G33" i="17"/>
  <c r="I33" i="17" s="1"/>
  <c r="I14" i="1"/>
  <c r="H23" i="11"/>
  <c r="I23" i="11" s="1"/>
  <c r="I31" i="11"/>
  <c r="K23" i="11"/>
  <c r="K27" i="11" s="1"/>
  <c r="J138" i="5"/>
  <c r="I28" i="10"/>
  <c r="I27" i="10"/>
  <c r="I44" i="26"/>
  <c r="I43" i="26"/>
  <c r="I28" i="19"/>
  <c r="I27" i="4"/>
  <c r="I28" i="4"/>
  <c r="I28" i="23"/>
  <c r="I27" i="23"/>
  <c r="M13" i="2"/>
  <c r="F18" i="14" s="1"/>
  <c r="E372" i="5"/>
  <c r="F376" i="5"/>
  <c r="H376" i="5" s="1"/>
  <c r="M240" i="5"/>
  <c r="F402" i="5"/>
  <c r="H402" i="5" s="1"/>
  <c r="E398" i="5"/>
  <c r="E399" i="5" s="1"/>
  <c r="E400" i="5" s="1"/>
  <c r="E401" i="5" s="1"/>
  <c r="F348" i="5"/>
  <c r="E344" i="5"/>
  <c r="E345" i="5" s="1"/>
  <c r="E346" i="5" s="1"/>
  <c r="E347" i="5" s="1"/>
  <c r="M25" i="11"/>
  <c r="M29" i="11" s="1"/>
  <c r="I49" i="11"/>
  <c r="K105" i="5"/>
  <c r="H91" i="5" s="1"/>
  <c r="D28" i="7"/>
  <c r="F28" i="7" s="1"/>
  <c r="C43" i="7" s="1"/>
  <c r="B43" i="21"/>
  <c r="G33" i="21"/>
  <c r="I33" i="21" s="1"/>
  <c r="I36" i="21" s="1"/>
  <c r="G41" i="18"/>
  <c r="I41" i="18" s="1"/>
  <c r="B51" i="18"/>
  <c r="G49" i="18" s="1"/>
  <c r="I49" i="18" s="1"/>
  <c r="I36" i="10"/>
  <c r="I35" i="10"/>
  <c r="K178" i="5"/>
  <c r="H171" i="5" s="1"/>
  <c r="J205" i="5"/>
  <c r="J232" i="5" s="1"/>
  <c r="J140" i="5"/>
  <c r="I35" i="21"/>
  <c r="C9" i="6"/>
  <c r="C39" i="6"/>
  <c r="K31" i="23"/>
  <c r="L31" i="24"/>
  <c r="L31" i="26"/>
  <c r="I27" i="20"/>
  <c r="I28" i="20"/>
  <c r="E50" i="7"/>
  <c r="D50" i="7" s="1"/>
  <c r="C14" i="6" s="1"/>
  <c r="D14" i="6" s="1"/>
  <c r="E14" i="6" s="1"/>
  <c r="G50" i="7"/>
  <c r="F50" i="7"/>
  <c r="B25" i="16"/>
  <c r="B23" i="16"/>
  <c r="B26" i="16"/>
  <c r="S27" i="8" s="1"/>
  <c r="H23" i="16"/>
  <c r="I23" i="16" s="1"/>
  <c r="H24" i="16"/>
  <c r="I24" i="16" s="1"/>
  <c r="B24" i="16"/>
  <c r="E290" i="5"/>
  <c r="E291" i="5" s="1"/>
  <c r="E292" i="5" s="1"/>
  <c r="E293" i="5" s="1"/>
  <c r="F294" i="5"/>
  <c r="H294" i="5" s="1"/>
  <c r="M295" i="5"/>
  <c r="F296" i="5"/>
  <c r="M23" i="25"/>
  <c r="M27" i="25" s="1"/>
  <c r="M30" i="25" s="1"/>
  <c r="I47" i="25"/>
  <c r="H23" i="25"/>
  <c r="I23" i="25" s="1"/>
  <c r="K205" i="5"/>
  <c r="H198" i="5" s="1"/>
  <c r="M23" i="4"/>
  <c r="M27" i="4" s="1"/>
  <c r="M30" i="4" s="1"/>
  <c r="I47" i="4"/>
  <c r="M348" i="5"/>
  <c r="I28" i="18"/>
  <c r="I27" i="18"/>
  <c r="G33" i="4"/>
  <c r="I33" i="4" s="1"/>
  <c r="B43" i="4"/>
  <c r="L9" i="1"/>
  <c r="M9" i="1" s="1"/>
  <c r="I36" i="18"/>
  <c r="I35" i="18"/>
  <c r="G41" i="10"/>
  <c r="I41" i="10" s="1"/>
  <c r="B51" i="10"/>
  <c r="G49" i="10" s="1"/>
  <c r="I49" i="10" s="1"/>
  <c r="J14" i="1"/>
  <c r="L3" i="1"/>
  <c r="I52" i="24"/>
  <c r="I27" i="26"/>
  <c r="I44" i="24"/>
  <c r="E318" i="5"/>
  <c r="F322" i="5"/>
  <c r="H322" i="5" s="1"/>
  <c r="F186" i="5"/>
  <c r="H186" i="5" s="1"/>
  <c r="M188" i="5"/>
  <c r="F187" i="5"/>
  <c r="E182" i="5"/>
  <c r="E183" i="5" s="1"/>
  <c r="E184" i="5" s="1"/>
  <c r="E185" i="5" s="1"/>
  <c r="F429" i="5"/>
  <c r="H429" i="5" s="1"/>
  <c r="F430" i="5"/>
  <c r="F431" i="5"/>
  <c r="E425" i="5"/>
  <c r="E426" i="5" s="1"/>
  <c r="E427" i="5" s="1"/>
  <c r="E428" i="5" s="1"/>
  <c r="K20" i="19"/>
  <c r="K31" i="19"/>
  <c r="G33" i="25"/>
  <c r="I33" i="25" s="1"/>
  <c r="B43" i="25"/>
  <c r="D14" i="7"/>
  <c r="F14" i="7" s="1"/>
  <c r="C41" i="7" s="1"/>
  <c r="K51" i="5"/>
  <c r="H37" i="5" s="1"/>
  <c r="M29" i="17"/>
  <c r="M30" i="17" s="1"/>
  <c r="K29" i="17"/>
  <c r="K30" i="17" s="1"/>
  <c r="L29" i="17"/>
  <c r="L30" i="17" s="1"/>
  <c r="L31" i="17" s="1"/>
  <c r="K25" i="11"/>
  <c r="K29" i="11" s="1"/>
  <c r="I33" i="11"/>
  <c r="H25" i="11"/>
  <c r="I25" i="11" s="1"/>
  <c r="I43" i="16"/>
  <c r="I44" i="16"/>
  <c r="I51" i="16"/>
  <c r="I52" i="16"/>
  <c r="I28" i="22"/>
  <c r="I27" i="22"/>
  <c r="J297" i="5"/>
  <c r="K270" i="5"/>
  <c r="H254" i="5" s="1"/>
  <c r="I27" i="12"/>
  <c r="K31" i="25"/>
  <c r="H25" i="16"/>
  <c r="I25" i="16" s="1"/>
  <c r="K20" i="4"/>
  <c r="K31" i="4"/>
  <c r="M7" i="2"/>
  <c r="F12" i="14" s="1"/>
  <c r="D42" i="6" s="1"/>
  <c r="M15" i="2"/>
  <c r="F20" i="14" s="1"/>
  <c r="K20" i="24"/>
  <c r="E79" i="6"/>
  <c r="K20" i="23"/>
  <c r="K20" i="25"/>
  <c r="H20" i="23"/>
  <c r="H20" i="24"/>
  <c r="H19" i="19" l="1"/>
  <c r="K19" i="19"/>
  <c r="L31" i="16"/>
  <c r="H20" i="16"/>
  <c r="K20" i="16"/>
  <c r="K20" i="20"/>
  <c r="K31" i="20"/>
  <c r="I35" i="12"/>
  <c r="I36" i="12"/>
  <c r="I51" i="19"/>
  <c r="I52" i="19"/>
  <c r="I43" i="11"/>
  <c r="I44" i="11"/>
  <c r="M30" i="12"/>
  <c r="I27" i="24"/>
  <c r="M31" i="10"/>
  <c r="H20" i="10"/>
  <c r="I43" i="19"/>
  <c r="I44" i="19"/>
  <c r="I36" i="19"/>
  <c r="I35" i="19"/>
  <c r="I51" i="12"/>
  <c r="I52" i="12"/>
  <c r="I52" i="13"/>
  <c r="I51" i="13"/>
  <c r="K30" i="26"/>
  <c r="I36" i="22"/>
  <c r="I36" i="26"/>
  <c r="I35" i="26"/>
  <c r="I44" i="20"/>
  <c r="I43" i="20"/>
  <c r="B51" i="23"/>
  <c r="G49" i="23" s="1"/>
  <c r="I49" i="23" s="1"/>
  <c r="G41" i="23"/>
  <c r="I41" i="23" s="1"/>
  <c r="I43" i="23" s="1"/>
  <c r="I44" i="22"/>
  <c r="I43" i="22"/>
  <c r="L31" i="10"/>
  <c r="K20" i="10"/>
  <c r="I52" i="26"/>
  <c r="I51" i="26"/>
  <c r="K20" i="13"/>
  <c r="H20" i="13"/>
  <c r="M31" i="13"/>
  <c r="F295" i="5"/>
  <c r="M296" i="5"/>
  <c r="H296" i="5" s="1"/>
  <c r="I294" i="5" s="1"/>
  <c r="K294" i="5" s="1"/>
  <c r="H280" i="5" s="1"/>
  <c r="F350" i="5"/>
  <c r="F214" i="5"/>
  <c r="H214" i="5" s="1"/>
  <c r="M241" i="5"/>
  <c r="I51" i="20"/>
  <c r="I52" i="20"/>
  <c r="H20" i="20"/>
  <c r="S81" i="8"/>
  <c r="Z80" i="8"/>
  <c r="AC80" i="8"/>
  <c r="AB80" i="8"/>
  <c r="AA80" i="8"/>
  <c r="Y80" i="8"/>
  <c r="W80" i="8"/>
  <c r="U80" i="8"/>
  <c r="V80" i="8"/>
  <c r="T80" i="8"/>
  <c r="AD80" i="8"/>
  <c r="AF80" i="8"/>
  <c r="X80" i="8"/>
  <c r="K20" i="22"/>
  <c r="K31" i="22"/>
  <c r="I35" i="23"/>
  <c r="I36" i="23"/>
  <c r="L31" i="22"/>
  <c r="H20" i="22"/>
  <c r="I27" i="13"/>
  <c r="I28" i="13"/>
  <c r="J32" i="5"/>
  <c r="J31" i="5"/>
  <c r="J29" i="5" s="1"/>
  <c r="J30" i="5"/>
  <c r="M430" i="5"/>
  <c r="H430" i="5" s="1"/>
  <c r="M187" i="5"/>
  <c r="E319" i="5"/>
  <c r="E320" i="5" s="1"/>
  <c r="M323" i="5"/>
  <c r="F323" i="5"/>
  <c r="K19" i="18"/>
  <c r="H19" i="18"/>
  <c r="M31" i="4"/>
  <c r="H20" i="4"/>
  <c r="I27" i="25"/>
  <c r="I28" i="25"/>
  <c r="H295" i="5"/>
  <c r="M403" i="5"/>
  <c r="I27" i="11"/>
  <c r="I28" i="11"/>
  <c r="I28" i="21"/>
  <c r="I27" i="21"/>
  <c r="M134" i="5"/>
  <c r="E130" i="5"/>
  <c r="E131" i="5" s="1"/>
  <c r="F134" i="5"/>
  <c r="H134" i="5" s="1"/>
  <c r="M30" i="11"/>
  <c r="H240" i="5"/>
  <c r="F241" i="5"/>
  <c r="H241" i="5" s="1"/>
  <c r="K42" i="7"/>
  <c r="M42" i="7" s="1"/>
  <c r="L42" i="7"/>
  <c r="E42" i="7"/>
  <c r="G42" i="7" s="1"/>
  <c r="I42" i="7"/>
  <c r="H42" i="7"/>
  <c r="J324" i="5"/>
  <c r="K297" i="5"/>
  <c r="H281" i="5" s="1"/>
  <c r="K31" i="17"/>
  <c r="K20" i="17"/>
  <c r="E41" i="7"/>
  <c r="G41" i="7" s="1"/>
  <c r="K41" i="7"/>
  <c r="L41" i="7"/>
  <c r="H41" i="7"/>
  <c r="I41" i="7"/>
  <c r="H187" i="5"/>
  <c r="K19" i="26"/>
  <c r="H19" i="26"/>
  <c r="I51" i="10"/>
  <c r="I52" i="10"/>
  <c r="B51" i="21"/>
  <c r="G49" i="21" s="1"/>
  <c r="I49" i="21" s="1"/>
  <c r="G41" i="21"/>
  <c r="I41" i="21" s="1"/>
  <c r="F349" i="5"/>
  <c r="F404" i="5"/>
  <c r="E373" i="5"/>
  <c r="E374" i="5" s="1"/>
  <c r="M377" i="5"/>
  <c r="F377" i="5"/>
  <c r="M29" i="21"/>
  <c r="M30" i="21" s="1"/>
  <c r="K29" i="21"/>
  <c r="K30" i="21" s="1"/>
  <c r="L29" i="21"/>
  <c r="L30" i="21" s="1"/>
  <c r="L31" i="21" s="1"/>
  <c r="H19" i="17"/>
  <c r="K19" i="17"/>
  <c r="J58" i="5"/>
  <c r="J56" i="5" s="1"/>
  <c r="J57" i="5"/>
  <c r="J59" i="5"/>
  <c r="H19" i="22"/>
  <c r="K19" i="22"/>
  <c r="H20" i="17"/>
  <c r="M31" i="17"/>
  <c r="B51" i="25"/>
  <c r="G49" i="25" s="1"/>
  <c r="I49" i="25" s="1"/>
  <c r="I52" i="25" s="1"/>
  <c r="G41" i="25"/>
  <c r="I41" i="25" s="1"/>
  <c r="M431" i="5"/>
  <c r="I44" i="10"/>
  <c r="I43" i="10"/>
  <c r="B51" i="4"/>
  <c r="G49" i="4" s="1"/>
  <c r="I49" i="4" s="1"/>
  <c r="G41" i="4"/>
  <c r="I41" i="4" s="1"/>
  <c r="M31" i="25"/>
  <c r="K232" i="5"/>
  <c r="H225" i="5" s="1"/>
  <c r="J259" i="5"/>
  <c r="I51" i="18"/>
  <c r="I52" i="18"/>
  <c r="L43" i="7"/>
  <c r="I43" i="7"/>
  <c r="K43" i="7"/>
  <c r="M43" i="7" s="1"/>
  <c r="E43" i="7"/>
  <c r="G43" i="7" s="1"/>
  <c r="H43" i="7"/>
  <c r="M350" i="5"/>
  <c r="H350" i="5" s="1"/>
  <c r="F403" i="5"/>
  <c r="H403" i="5" s="1"/>
  <c r="H19" i="4"/>
  <c r="K19" i="4"/>
  <c r="K30" i="11"/>
  <c r="I35" i="17"/>
  <c r="I36" i="17"/>
  <c r="F215" i="5"/>
  <c r="M215" i="5"/>
  <c r="F242" i="5"/>
  <c r="H242" i="5" s="1"/>
  <c r="J5" i="5"/>
  <c r="J3" i="5"/>
  <c r="J4" i="5"/>
  <c r="J2" i="5" s="1"/>
  <c r="J5" i="19"/>
  <c r="J4" i="19"/>
  <c r="J2" i="19" s="1"/>
  <c r="C19" i="15" s="1"/>
  <c r="J3" i="19"/>
  <c r="H19" i="12"/>
  <c r="K19" i="12"/>
  <c r="I35" i="25"/>
  <c r="I36" i="25"/>
  <c r="H431" i="5"/>
  <c r="F188" i="5"/>
  <c r="H188" i="5" s="1"/>
  <c r="L14" i="1"/>
  <c r="M14" i="1" s="1"/>
  <c r="M3" i="1"/>
  <c r="I36" i="4"/>
  <c r="I35" i="4"/>
  <c r="I51" i="4"/>
  <c r="I52" i="4"/>
  <c r="I27" i="16"/>
  <c r="I28" i="16"/>
  <c r="H19" i="20"/>
  <c r="K19" i="20"/>
  <c r="I43" i="18"/>
  <c r="I44" i="18"/>
  <c r="J84" i="5"/>
  <c r="J86" i="5"/>
  <c r="J85" i="5"/>
  <c r="J83" i="5" s="1"/>
  <c r="M349" i="5"/>
  <c r="H348" i="5"/>
  <c r="M404" i="5"/>
  <c r="K19" i="23"/>
  <c r="H19" i="23"/>
  <c r="H19" i="10"/>
  <c r="K19" i="10"/>
  <c r="I35" i="11"/>
  <c r="I36" i="11"/>
  <c r="G41" i="17"/>
  <c r="I41" i="17" s="1"/>
  <c r="B51" i="17"/>
  <c r="G49" i="17" s="1"/>
  <c r="I49" i="17" s="1"/>
  <c r="H133" i="5"/>
  <c r="I132" i="5" s="1"/>
  <c r="I52" i="11"/>
  <c r="I51" i="11"/>
  <c r="L40" i="7"/>
  <c r="K40" i="7"/>
  <c r="M40" i="7" s="1"/>
  <c r="E40" i="7"/>
  <c r="G40" i="7" s="1"/>
  <c r="I40" i="7"/>
  <c r="H40" i="7"/>
  <c r="H20" i="25"/>
  <c r="H323" i="5" l="1"/>
  <c r="I321" i="5" s="1"/>
  <c r="K321" i="5" s="1"/>
  <c r="H307" i="5" s="1"/>
  <c r="I429" i="5"/>
  <c r="K429" i="5" s="1"/>
  <c r="H415" i="5" s="1"/>
  <c r="I51" i="23"/>
  <c r="I52" i="23"/>
  <c r="K19" i="24"/>
  <c r="H19" i="24"/>
  <c r="J42" i="7"/>
  <c r="X85" i="8"/>
  <c r="AC81" i="8"/>
  <c r="AC85" i="8" s="1"/>
  <c r="V81" i="8"/>
  <c r="V85" i="8" s="1"/>
  <c r="AF81" i="8"/>
  <c r="AF85" i="8" s="1"/>
  <c r="Z81" i="8"/>
  <c r="Z85" i="8" s="1"/>
  <c r="AA81" i="8"/>
  <c r="AA85" i="8" s="1"/>
  <c r="AD81" i="8"/>
  <c r="AD85" i="8" s="1"/>
  <c r="AB81" i="8"/>
  <c r="AB85" i="8" s="1"/>
  <c r="Y81" i="8"/>
  <c r="Y85" i="8" s="1"/>
  <c r="X81" i="8"/>
  <c r="T81" i="8"/>
  <c r="T85" i="8" s="1"/>
  <c r="D28" i="2" s="1"/>
  <c r="W81" i="8"/>
  <c r="W85" i="8" s="1"/>
  <c r="S82" i="8"/>
  <c r="S83" i="8" s="1"/>
  <c r="S84" i="8" s="1"/>
  <c r="U81" i="8"/>
  <c r="M31" i="12"/>
  <c r="H20" i="12"/>
  <c r="K19" i="13"/>
  <c r="H19" i="13"/>
  <c r="U85" i="8"/>
  <c r="I44" i="23"/>
  <c r="I186" i="5"/>
  <c r="K186" i="5" s="1"/>
  <c r="H172" i="5" s="1"/>
  <c r="K31" i="26"/>
  <c r="J165" i="5"/>
  <c r="J166" i="5"/>
  <c r="J164" i="5" s="1"/>
  <c r="B443" i="5" s="1"/>
  <c r="J167" i="5"/>
  <c r="C52" i="6"/>
  <c r="B440" i="5"/>
  <c r="C7" i="6"/>
  <c r="B437" i="5"/>
  <c r="J5" i="17"/>
  <c r="J4" i="17"/>
  <c r="J2" i="17" s="1"/>
  <c r="C17" i="15" s="1"/>
  <c r="J3" i="17"/>
  <c r="J40" i="7"/>
  <c r="I51" i="17"/>
  <c r="I52" i="17"/>
  <c r="J5" i="10"/>
  <c r="J4" i="10"/>
  <c r="J2" i="10" s="1"/>
  <c r="J3" i="10"/>
  <c r="H215" i="5"/>
  <c r="I213" i="5" s="1"/>
  <c r="K213" i="5" s="1"/>
  <c r="H199" i="5" s="1"/>
  <c r="J4" i="4"/>
  <c r="J2" i="4" s="1"/>
  <c r="J5" i="4"/>
  <c r="J3" i="4"/>
  <c r="J43" i="7"/>
  <c r="I43" i="4"/>
  <c r="I44" i="4"/>
  <c r="H377" i="5"/>
  <c r="I375" i="5" s="1"/>
  <c r="K375" i="5" s="1"/>
  <c r="H361" i="5" s="1"/>
  <c r="H404" i="5"/>
  <c r="I402" i="5" s="1"/>
  <c r="K402" i="5" s="1"/>
  <c r="H388" i="5" s="1"/>
  <c r="M41" i="7"/>
  <c r="J3" i="20"/>
  <c r="J4" i="20"/>
  <c r="J2" i="20" s="1"/>
  <c r="C20" i="15" s="1"/>
  <c r="J5" i="20"/>
  <c r="K31" i="11"/>
  <c r="K20" i="11"/>
  <c r="J286" i="5"/>
  <c r="K259" i="5"/>
  <c r="H252" i="5" s="1"/>
  <c r="M31" i="21"/>
  <c r="H20" i="21"/>
  <c r="I44" i="17"/>
  <c r="I43" i="17"/>
  <c r="D43" i="7"/>
  <c r="C58" i="6" s="1"/>
  <c r="I43" i="25"/>
  <c r="I44" i="25"/>
  <c r="J4" i="22"/>
  <c r="J2" i="22" s="1"/>
  <c r="C22" i="15" s="1"/>
  <c r="J3" i="22"/>
  <c r="J5" i="22"/>
  <c r="C37" i="6"/>
  <c r="B439" i="5"/>
  <c r="H349" i="5"/>
  <c r="I348" i="5" s="1"/>
  <c r="K348" i="5" s="1"/>
  <c r="H334" i="5" s="1"/>
  <c r="I51" i="25"/>
  <c r="K324" i="5"/>
  <c r="H308" i="5" s="1"/>
  <c r="J351" i="5"/>
  <c r="D42" i="7"/>
  <c r="C43" i="6" s="1"/>
  <c r="I240" i="5"/>
  <c r="K240" i="5" s="1"/>
  <c r="H226" i="5" s="1"/>
  <c r="J219" i="5" s="1"/>
  <c r="H19" i="11"/>
  <c r="K19" i="11"/>
  <c r="B438" i="5"/>
  <c r="C22" i="6"/>
  <c r="K132" i="5"/>
  <c r="H118" i="5" s="1"/>
  <c r="D35" i="7"/>
  <c r="F35" i="7" s="1"/>
  <c r="C44" i="7" s="1"/>
  <c r="J4" i="23"/>
  <c r="J2" i="23" s="1"/>
  <c r="C23" i="15" s="1"/>
  <c r="J3" i="23"/>
  <c r="J5" i="23"/>
  <c r="I51" i="21"/>
  <c r="I52" i="21"/>
  <c r="D40" i="7"/>
  <c r="C13" i="6" s="1"/>
  <c r="H19" i="16"/>
  <c r="K19" i="16"/>
  <c r="J4" i="12"/>
  <c r="J2" i="12" s="1"/>
  <c r="J3" i="12"/>
  <c r="J5" i="12"/>
  <c r="K31" i="21"/>
  <c r="K20" i="21"/>
  <c r="I44" i="21"/>
  <c r="I43" i="21"/>
  <c r="J41" i="7"/>
  <c r="D41" i="7" s="1"/>
  <c r="C28" i="6" s="1"/>
  <c r="H20" i="11"/>
  <c r="M31" i="11"/>
  <c r="H19" i="21"/>
  <c r="K19" i="21"/>
  <c r="H19" i="25"/>
  <c r="K19" i="25"/>
  <c r="J5" i="18"/>
  <c r="J4" i="18"/>
  <c r="J2" i="18" s="1"/>
  <c r="C18" i="15" s="1"/>
  <c r="J3" i="18"/>
  <c r="H20" i="26"/>
  <c r="K20" i="26"/>
  <c r="J4" i="26" l="1"/>
  <c r="J2" i="26" s="1"/>
  <c r="C26" i="15" s="1"/>
  <c r="J5" i="26"/>
  <c r="J3" i="26"/>
  <c r="J3" i="13"/>
  <c r="J4" i="13"/>
  <c r="J2" i="13" s="1"/>
  <c r="J5" i="13"/>
  <c r="J4" i="24"/>
  <c r="J2" i="24" s="1"/>
  <c r="C24" i="15" s="1"/>
  <c r="J3" i="24"/>
  <c r="J5" i="24"/>
  <c r="D28" i="6"/>
  <c r="C31" i="6"/>
  <c r="J112" i="5"/>
  <c r="J110" i="5" s="1"/>
  <c r="J111" i="5"/>
  <c r="J113" i="5"/>
  <c r="J248" i="5"/>
  <c r="J247" i="5"/>
  <c r="J245" i="5" s="1"/>
  <c r="B446" i="5" s="1"/>
  <c r="J246" i="5"/>
  <c r="J221" i="5"/>
  <c r="J5" i="25"/>
  <c r="J3" i="25"/>
  <c r="J4" i="25"/>
  <c r="J2" i="25" s="1"/>
  <c r="C25" i="15" s="1"/>
  <c r="D13" i="6"/>
  <c r="C16" i="6"/>
  <c r="K286" i="5"/>
  <c r="H279" i="5" s="1"/>
  <c r="J313" i="5"/>
  <c r="J220" i="5"/>
  <c r="J218" i="5" s="1"/>
  <c r="B445" i="5" s="1"/>
  <c r="C21" i="6"/>
  <c r="E21" i="6" s="1"/>
  <c r="E22" i="6" s="1"/>
  <c r="B86" i="6" s="1"/>
  <c r="C12" i="15"/>
  <c r="C14" i="15"/>
  <c r="C51" i="6"/>
  <c r="E51" i="6" s="1"/>
  <c r="E52" i="6" s="1"/>
  <c r="B88" i="6" s="1"/>
  <c r="D43" i="6"/>
  <c r="C46" i="6"/>
  <c r="D58" i="6"/>
  <c r="C61" i="6"/>
  <c r="C6" i="6"/>
  <c r="E6" i="6" s="1"/>
  <c r="E7" i="6" s="1"/>
  <c r="B85" i="6" s="1"/>
  <c r="C11" i="15"/>
  <c r="J4" i="21"/>
  <c r="J2" i="21" s="1"/>
  <c r="C21" i="15" s="1"/>
  <c r="J5" i="21"/>
  <c r="J3" i="21"/>
  <c r="J5" i="16"/>
  <c r="J4" i="16"/>
  <c r="J2" i="16" s="1"/>
  <c r="C16" i="15" s="1"/>
  <c r="J3" i="16"/>
  <c r="E44" i="7"/>
  <c r="G44" i="7" s="1"/>
  <c r="L44" i="7"/>
  <c r="H44" i="7"/>
  <c r="I44" i="7"/>
  <c r="K44" i="7"/>
  <c r="J4" i="11"/>
  <c r="J2" i="11" s="1"/>
  <c r="J3" i="11"/>
  <c r="J5" i="11"/>
  <c r="J378" i="5"/>
  <c r="K351" i="5"/>
  <c r="H335" i="5" s="1"/>
  <c r="J192" i="5"/>
  <c r="J193" i="5"/>
  <c r="J191" i="5" s="1"/>
  <c r="B444" i="5" s="1"/>
  <c r="J194" i="5"/>
  <c r="C15" i="15" l="1"/>
  <c r="C66" i="6"/>
  <c r="J44" i="7"/>
  <c r="E58" i="6"/>
  <c r="D61" i="6"/>
  <c r="J340" i="5"/>
  <c r="K313" i="5"/>
  <c r="H306" i="5" s="1"/>
  <c r="C13" i="15"/>
  <c r="C36" i="6"/>
  <c r="E36" i="6" s="1"/>
  <c r="E37" i="6" s="1"/>
  <c r="B87" i="6" s="1"/>
  <c r="J274" i="5"/>
  <c r="J272" i="5" s="1"/>
  <c r="B447" i="5" s="1"/>
  <c r="J275" i="5"/>
  <c r="J273" i="5"/>
  <c r="B441" i="5"/>
  <c r="C67" i="6"/>
  <c r="E66" i="6" s="1"/>
  <c r="E67" i="6" s="1"/>
  <c r="B89" i="6" s="1"/>
  <c r="J405" i="5"/>
  <c r="K378" i="5"/>
  <c r="H362" i="5" s="1"/>
  <c r="M44" i="7"/>
  <c r="D44" i="7"/>
  <c r="C73" i="6" s="1"/>
  <c r="E43" i="6"/>
  <c r="D46" i="6"/>
  <c r="E13" i="6"/>
  <c r="D16" i="6"/>
  <c r="E28" i="6"/>
  <c r="D31" i="6"/>
  <c r="J367" i="5" l="1"/>
  <c r="K340" i="5"/>
  <c r="H333" i="5" s="1"/>
  <c r="K405" i="5"/>
  <c r="H389" i="5" s="1"/>
  <c r="J432" i="5"/>
  <c r="K432" i="5" s="1"/>
  <c r="H416" i="5" s="1"/>
  <c r="D73" i="6"/>
  <c r="C76" i="6"/>
  <c r="C78" i="6" s="1"/>
  <c r="J302" i="5"/>
  <c r="J300" i="5"/>
  <c r="J301" i="5"/>
  <c r="J299" i="5" s="1"/>
  <c r="B448" i="5" s="1"/>
  <c r="C79" i="6"/>
  <c r="E73" i="6" l="1"/>
  <c r="D76" i="6"/>
  <c r="D78" i="6" s="1"/>
  <c r="J328" i="5"/>
  <c r="J326" i="5" s="1"/>
  <c r="B449" i="5" s="1"/>
  <c r="J327" i="5"/>
  <c r="J329" i="5"/>
  <c r="K367" i="5"/>
  <c r="H360" i="5" s="1"/>
  <c r="J394" i="5"/>
  <c r="D79" i="6"/>
  <c r="K394" i="5" l="1"/>
  <c r="H387" i="5" s="1"/>
  <c r="J421" i="5"/>
  <c r="K421" i="5" s="1"/>
  <c r="H414" i="5" s="1"/>
  <c r="J355" i="5"/>
  <c r="J353" i="5" s="1"/>
  <c r="B450" i="5" s="1"/>
  <c r="J354" i="5"/>
  <c r="J356" i="5"/>
  <c r="J381" i="5" l="1"/>
  <c r="J383" i="5"/>
  <c r="J382" i="5"/>
  <c r="J380" i="5" s="1"/>
  <c r="B451" i="5" s="1"/>
  <c r="J408" i="5"/>
  <c r="J410" i="5"/>
  <c r="J409" i="5"/>
  <c r="J407" i="5" s="1"/>
  <c r="B452" i="5" s="1"/>
</calcChain>
</file>

<file path=xl/sharedStrings.xml><?xml version="1.0" encoding="utf-8"?>
<sst xmlns="http://schemas.openxmlformats.org/spreadsheetml/2006/main" count="3797" uniqueCount="310">
  <si>
    <t>REGIÓNES PDET</t>
  </si>
  <si>
    <t>No. Municipios</t>
  </si>
  <si>
    <t xml:space="preserve">N° Proyectos estimados </t>
  </si>
  <si>
    <t>N° Organizaciones</t>
  </si>
  <si>
    <t xml:space="preserve">Vr. Licitación </t>
  </si>
  <si>
    <t>ALTO PATÍA Y NORTE DEL CAUCA</t>
  </si>
  <si>
    <t>ARAUCA</t>
  </si>
  <si>
    <t>CATATUMBO</t>
  </si>
  <si>
    <t>CHOCÓ</t>
  </si>
  <si>
    <t>CUENCA DEL CAGUÁN Y PIEDEMONTE CAQUETEÑO</t>
  </si>
  <si>
    <t>MACARENA GUAVIARE</t>
  </si>
  <si>
    <t>PACÍFICO Y FRONTERA NARIÑENSE</t>
  </si>
  <si>
    <t>PUTUMAYO</t>
  </si>
  <si>
    <t>SIERRA NEVADA-PERIJÁ-ZONA BANANERA</t>
  </si>
  <si>
    <t>SUR DEL TOLIMA</t>
  </si>
  <si>
    <t>TOTAL GENERAL</t>
  </si>
  <si>
    <t>Oferente No.</t>
  </si>
  <si>
    <t>Media Aritmética</t>
  </si>
  <si>
    <t>Media Aritmética alta</t>
  </si>
  <si>
    <t>Media Geométrica con PPTO Oficial.</t>
  </si>
  <si>
    <t>No. Ofertas:</t>
  </si>
  <si>
    <t>No. veces Ppto Oficial (1@3 Ofertas)</t>
  </si>
  <si>
    <t>PUNTOS CON:</t>
  </si>
  <si>
    <t>1/2 Geom.</t>
  </si>
  <si>
    <t>1/2 Aritm</t>
  </si>
  <si>
    <t>1/2 Aritm Alta</t>
  </si>
  <si>
    <t>DOCUMENTO</t>
  </si>
  <si>
    <t>NO</t>
  </si>
  <si>
    <t>SI</t>
  </si>
  <si>
    <t>PROPONENTE:</t>
  </si>
  <si>
    <t>Planillas de pago unificadas de últimos 6 meses para personas naturales.</t>
  </si>
  <si>
    <t>N/A</t>
  </si>
  <si>
    <t>INTEGRANTE 1</t>
  </si>
  <si>
    <t>INTEGRANTE 2</t>
  </si>
  <si>
    <t>INTEGRANTE 3</t>
  </si>
  <si>
    <t>X</t>
  </si>
  <si>
    <t>Certificado de Existencia y Representación Legal de cada uno de los integrantes del C o U.T.</t>
  </si>
  <si>
    <t>Certificado de Existencia y Representación Legal de la Matriz para ofertas de Sucursales.</t>
  </si>
  <si>
    <t>Consulta de antecedentes disciplinarios de cada integrante del C o U.T.</t>
  </si>
  <si>
    <t>Consulta de antecedentes fiscales de cada integrante del C o U.T.</t>
  </si>
  <si>
    <t>Consulta de antecedentes judiciales de cada integrante del C o U.T.</t>
  </si>
  <si>
    <t>Consulta del sistema Registro Nacional de Medidas Correctivas RNMC de cada integrante del C o U.T.</t>
  </si>
  <si>
    <t>OBSERVACIONES.</t>
  </si>
  <si>
    <t>Garantía de Seriedad de Oferta para los grupos ofrecidos.</t>
  </si>
  <si>
    <t>Certificado de cumplimiento de parafiscales de últimos 6 meses de cada integrante del C o U.T.</t>
  </si>
  <si>
    <t>CC de los Representantes Legales de integrantes C o U.T. y del Apoderado si aplica. Pasaporte, Visa de residente o cédula de extranjeria para los no Colombianos.</t>
  </si>
  <si>
    <t>Para oferentes extranjeros, poder especial debidamente facultado para presentar propuesta y celebrar contrato así como para representarla administrativa, judicial o extrajudicialmente.</t>
  </si>
  <si>
    <t>HABILITADO</t>
  </si>
  <si>
    <t>Si</t>
  </si>
  <si>
    <t>SI:</t>
  </si>
  <si>
    <t>NO:</t>
  </si>
  <si>
    <t>RESULTADO:</t>
  </si>
  <si>
    <t>Balance, estado de P &amp; G y notas a 31 de diciembre de 2016 Vs 2015.</t>
  </si>
  <si>
    <t>Dictamen Revisor fiscal si proponente requiere de Revisor Fiscal.</t>
  </si>
  <si>
    <t>Para oferentes extranjeros, Estados financieros FIRMADOS con corte al último período contable completo de su país</t>
  </si>
  <si>
    <t>Extranjeros sin domicilio o sucursal en Colombia, estados financieros FIRMADOS y traducidos y expresados en COL $, con TRM certificada por la Superintendencia Financiera.</t>
  </si>
  <si>
    <t>Copia del documento equivalente a la Tarjeta Profesional que acredita y autoriza el ejercicio profesional de los Contadores.</t>
  </si>
  <si>
    <t>ACTIVO CORRIENTE:</t>
  </si>
  <si>
    <t>PASIVO CORRIENTE</t>
  </si>
  <si>
    <t>PASIVO TOTAL</t>
  </si>
  <si>
    <t>ACTIVO TOTAL</t>
  </si>
  <si>
    <t>PPTO OFICIAL GRUPO:</t>
  </si>
  <si>
    <t xml:space="preserve">Capital de Trabajo &gt;= a </t>
  </si>
  <si>
    <t>Nivel de endeudamiento. &lt;= al 70%</t>
  </si>
  <si>
    <t>Indice de liquidez. &gt;= a  1.20</t>
  </si>
  <si>
    <t>SI HABILITA</t>
  </si>
  <si>
    <t>NO HABILITA:</t>
  </si>
  <si>
    <t>Participación:</t>
  </si>
  <si>
    <t>CONSOLIDADOS POR CADA %</t>
  </si>
  <si>
    <t>Acreditación de un Integrante del C o U.T. del 50% de @ indicador financiero exigido.</t>
  </si>
  <si>
    <t>Certificaciones o contratos acompañados del acta de liquidación</t>
  </si>
  <si>
    <t>Certf No.</t>
  </si>
  <si>
    <t>HABILITADO:</t>
  </si>
  <si>
    <t>Experiencia A</t>
  </si>
  <si>
    <t>Experiencia B</t>
  </si>
  <si>
    <t>Experiencia C: Contratos o convenios que tengan por objeto la estructuración o ejecución de proyectos de infraestructura civil  y al menos un contrato que tenga: a) Fortalecimiento comunitario o social, desarrollo social, desarrollo rural o regional, que incluya actividades de participación y liderazgo de comunidades ó b) Formalización de organizaciones sociales y/o comunitarias ó c) Desarrollo de procesos de control social, veedurías ciudadanas o interventorías sociales.</t>
  </si>
  <si>
    <t>Nombre</t>
  </si>
  <si>
    <t>CRITERIOS A CALIFICAR.</t>
  </si>
  <si>
    <t>Precio.</t>
  </si>
  <si>
    <t>Experiencia Técnica en ejecución de Proyectos de obras civiles o infraestructura.</t>
  </si>
  <si>
    <t>Experiencia en ejecución de proyectos sociales, comunitarios o afines.</t>
  </si>
  <si>
    <t>Apoyo Industria Nacional</t>
  </si>
  <si>
    <t>PUNTOS</t>
  </si>
  <si>
    <t>GRAN TOTAL</t>
  </si>
  <si>
    <t>METODO</t>
  </si>
  <si>
    <t>CALIFICACION DE EXPERIENCIA</t>
  </si>
  <si>
    <t>TOTAL</t>
  </si>
  <si>
    <t>%</t>
  </si>
  <si>
    <t>SMMLV 2017</t>
  </si>
  <si>
    <t>SMMLV Habilitante</t>
  </si>
  <si>
    <t>SMMLV Proponente.</t>
  </si>
  <si>
    <t>SMMLV PPTO.</t>
  </si>
  <si>
    <t>OBTENIDO</t>
  </si>
  <si>
    <t>Nombre Proponente.</t>
  </si>
  <si>
    <t>EXPERIENCIA</t>
  </si>
  <si>
    <t>COMP COMUNITARIO.</t>
  </si>
  <si>
    <t>UND EXPERIENCIA  "C".</t>
  </si>
  <si>
    <t>IND NACIONAL.</t>
  </si>
  <si>
    <t>NAL</t>
  </si>
  <si>
    <t>JURIDICO:</t>
  </si>
  <si>
    <t>FINANCIERO:</t>
  </si>
  <si>
    <t>TECNICOS:</t>
  </si>
  <si>
    <t>Criterios financieros habilitantes. "Indices"</t>
  </si>
  <si>
    <t>Integrante que cumple:</t>
  </si>
  <si>
    <t>Indicadores ponderados resultado:</t>
  </si>
  <si>
    <t>Acta de Junta de Socios o Junta Directiva de todos los integrantes del proponente.</t>
  </si>
  <si>
    <t>Certificado antecedentes Contador máximo 3 meses.</t>
  </si>
  <si>
    <t>Certificado antecedentes Revisor Fiscal máximo 3 meses.</t>
  </si>
  <si>
    <t>PROPONENTE</t>
  </si>
  <si>
    <t>INTEGRANTES</t>
  </si>
  <si>
    <t>% PARTICIPACIÓN.</t>
  </si>
  <si>
    <t>PPTO OFICIAL.</t>
  </si>
  <si>
    <t>VALOR OFERTA</t>
  </si>
  <si>
    <t>GRUPOS OFERTADOS</t>
  </si>
  <si>
    <t>GRUPO 1</t>
  </si>
  <si>
    <t>GRUPO 2</t>
  </si>
  <si>
    <t>GRUPO 3</t>
  </si>
  <si>
    <t>GRUPO 4</t>
  </si>
  <si>
    <t>GRUPO 5</t>
  </si>
  <si>
    <t>GRUPO 6</t>
  </si>
  <si>
    <t>GRUPO 7</t>
  </si>
  <si>
    <t>GRUPO 8</t>
  </si>
  <si>
    <t>GRUPO 9</t>
  </si>
  <si>
    <t>GRUPO 10</t>
  </si>
  <si>
    <t>GRUPO 11</t>
  </si>
  <si>
    <t>NOMBRE</t>
  </si>
  <si>
    <t>No. Veces Of.</t>
  </si>
  <si>
    <t>ACTIVO</t>
  </si>
  <si>
    <t>CORRIENTE</t>
  </si>
  <si>
    <t>PASIVO</t>
  </si>
  <si>
    <t>TOTAL.</t>
  </si>
  <si>
    <t>BAJO CAUCA Y NORDESTE ANTIOQUEÑO - SUR DE CÓRDOBA -  URABÁ ANTIOQUEÑO</t>
  </si>
  <si>
    <t>GRUPO No.</t>
  </si>
  <si>
    <t>Estructuración y Ejecución.</t>
  </si>
  <si>
    <t>Coordinación</t>
  </si>
  <si>
    <t>Fortalecimiento</t>
  </si>
  <si>
    <t>Administración</t>
  </si>
  <si>
    <t>Utilidad.</t>
  </si>
  <si>
    <t>TOTAL SUMA</t>
  </si>
  <si>
    <t xml:space="preserve">Valor </t>
  </si>
  <si>
    <t>Recibo de pago prima póliza de seriedad.</t>
  </si>
  <si>
    <t>Compromiso Anticorrupción Anexo No. 6 de cada uno de los integrantes del C o U.T.</t>
  </si>
  <si>
    <t>DOCUMENTOS HABILITANTES DE CARÁCTER JURIDICO</t>
  </si>
  <si>
    <t>DOCUMENTOS HABILITANTES DE CARÁCTER FINANCIERO.</t>
  </si>
  <si>
    <t>PARA TODOS Y CADA UNO DE LOS INTEGRANTES DEL C O U.T.:</t>
  </si>
  <si>
    <t>Copia tarjeta profesional Contador.</t>
  </si>
  <si>
    <t>Copia tarjeta profesional Revisor Fiscal.</t>
  </si>
  <si>
    <t>DOCUMENTOS HABILITANTES DE CARÁCTER TÉCNICO.</t>
  </si>
  <si>
    <t>Anexo No. 7, relación de contratos (A) que sumen un valor mayor o igual al 80% del Ppto Oficial en SMMLV.</t>
  </si>
  <si>
    <t>Anexo No. 7, relación de contratos (B) que sumen un valor mayor o igual al 30% del Ppto Oficial en SMMLV de cada grupo, ejecutados en los departamentos del grupo.</t>
  </si>
  <si>
    <t>Anexo No. 7, relación de contratos ( C ) que incluyan estructuración o ejecución de proyectos de infraestructura civil y al menos uno tenga por objeto Fortalecimiento comunitario, formalización de organizaciones sociales o desarrollo de procesos.</t>
  </si>
  <si>
    <t>Anexo No. 19, Equipo de Trabajo.</t>
  </si>
  <si>
    <t>ANEXO No. 7</t>
  </si>
  <si>
    <t>A</t>
  </si>
  <si>
    <t>B</t>
  </si>
  <si>
    <t xml:space="preserve">Grupo No. </t>
  </si>
  <si>
    <t>Tipo de Experiencia SMMLV HABILITANTE</t>
  </si>
  <si>
    <t>CALIFICACIÓN:</t>
  </si>
  <si>
    <t>Anexo No. 7</t>
  </si>
  <si>
    <t>% EXPERIENCIA  "B".</t>
  </si>
  <si>
    <t>$ UNITARIO POR MUNICIPIO.</t>
  </si>
  <si>
    <t>$ UNITARIO POR PROYECTO.</t>
  </si>
  <si>
    <t>Carta de presentación Anexo 3 en Original, foliada y firmada, indicando claramente el sujeto juridico que hace la oferta, haciendo ofrecimiento incondicional de celebrar el contrato y manifestando compromiso de acoger y respetar las reglas del proceso de selección.</t>
  </si>
  <si>
    <t>Documento de conformación Consorcio ( C ) según modelo Anexo 4.</t>
  </si>
  <si>
    <t>Documento de conformación Unión Temporal  (U.T.) según modelo Anexo 5.</t>
  </si>
  <si>
    <t>Consulta en el sistema de administración de lavado de activos y de la financiación del terrorismo.</t>
  </si>
  <si>
    <t>EXTRAN CON COMP NAL</t>
  </si>
  <si>
    <t>EXTRAN SIN RECIPR</t>
  </si>
  <si>
    <t>GANADOR:</t>
  </si>
  <si>
    <t>PPTO OFICIAL:</t>
  </si>
  <si>
    <t>EXP. HABILITANTE A</t>
  </si>
  <si>
    <t>EXP. HABILITANTE B</t>
  </si>
  <si>
    <t>SMMLV</t>
  </si>
  <si>
    <t>Fecha fin</t>
  </si>
  <si>
    <t>días</t>
  </si>
  <si>
    <t>Fecha cero</t>
  </si>
  <si>
    <t>Valor Póliza</t>
  </si>
  <si>
    <t>FIDUCIARIA COLOMBIANA DE COMERCIO EXTERIOR FIDUCOLDEX S.A. COMO VOCERA DEL PATRIMONIO AUTÓNOMO FONDO COLOMBIA EN PAZ PA-FCP con NIT 830.054.060-5</t>
  </si>
  <si>
    <t>CALIFICACIÓN GRUPO:</t>
  </si>
  <si>
    <t>COLUMNA "D"</t>
  </si>
  <si>
    <t>OFERENTE No.</t>
  </si>
  <si>
    <t>PRECIO:</t>
  </si>
  <si>
    <t>RESUMEN TECNICO</t>
  </si>
  <si>
    <t>Fecha Entrega Propuestas:</t>
  </si>
  <si>
    <t>Fecha Fin Póliza Seriedad:</t>
  </si>
  <si>
    <t>4 Meses</t>
  </si>
  <si>
    <t>RESUMEN JURIDICO</t>
  </si>
  <si>
    <t>RESUMEN FINANCIERO</t>
  </si>
  <si>
    <t>A.I.U.</t>
  </si>
  <si>
    <t>RESUMEN CALIFICACIÓN</t>
  </si>
  <si>
    <t>Hábil?</t>
  </si>
  <si>
    <t>Para Experiencia "A" GENERAL</t>
  </si>
  <si>
    <t>Para Experiencia "B" EN LA ZONA</t>
  </si>
  <si>
    <t>Experiencia "C" Infraes + Comunidades</t>
  </si>
  <si>
    <t>RAZÓN DESHABILITANTE DE LA CERTIFICACIÓN.</t>
  </si>
  <si>
    <t>Número de SMMLV. Certif.</t>
  </si>
  <si>
    <t>Número de SMMLV. Certif. Hábil</t>
  </si>
  <si>
    <t>Expedición posterior al 21 de Noviembre de 2017</t>
  </si>
  <si>
    <t>PROCESO DE SELECCIÓN CONVOCATORIA PÚBLICA No. 007 DE 2017</t>
  </si>
  <si>
    <t>VR TOTAL OFERTA</t>
  </si>
  <si>
    <t>CONSORCIO DESARROLLO DEL CESAR</t>
  </si>
  <si>
    <t>TECONOLOGIAS Y CONSULTORIAS AMBIENTALES Y DE GESTIÓN S.A.S.</t>
  </si>
  <si>
    <t>TECNICAS TERRITORIALES Y URBANAS SL-SUCURSAL COLOMBIA</t>
  </si>
  <si>
    <t>CONSORCIO OBRAS EN PAZ</t>
  </si>
  <si>
    <t>CARLOS ALBERTO GONZALEZ CAMARGO</t>
  </si>
  <si>
    <t>YOHAN FAHIR BERMUDEZ PARRA</t>
  </si>
  <si>
    <t>JUAN CARLOS ARAGON PINZON</t>
  </si>
  <si>
    <t>No</t>
  </si>
  <si>
    <t>Tecniconsulta S.A.S. - Estados financieros completos (Folios 62 a 68)
Tecnica Territoriales - Estados financieros completos ( Folios 77 a 86)</t>
  </si>
  <si>
    <t>Tecniconsulta S.A.S. - Dictamen Revisor Fiscal - Folio 66 a 68
Tecnica Territoriales - Dictamen Revisor Fiscal - Folio 87 a 88</t>
  </si>
  <si>
    <t xml:space="preserve">Tecniconsulta - Certificación del revisor fiscal con T.P. 119198-T vigente con fecha de 20  de Noviembre de 2017 ( Folio 71).
Tecnica Territoriales - Certificación del revisor fiscal con T.P. 30342-T vigente con fecha de 2  de Noviembre de 2017 ( Folio 90).
</t>
  </si>
  <si>
    <t>Tecniconsulta - Tarjeta Profesional Contador 73203 - T- Folio 73
Tecnica Territoriales - Tarjeta profesional Contador 42662-T - Folio 91</t>
  </si>
  <si>
    <t>Tecniconsulta - Tarjeta Profesional Revisor Fiscal 119798-T - Folio 70
Tecnica Territoriales - Tarjeta Profesional Revisor Fiscal 30342-T - Folio 89</t>
  </si>
  <si>
    <t>Tecniconsulta - Certificación del contador con T.P. 73203-T vigente con fecha 28 de noviembre ( Folio 74)
Tecnica Territoriale- Certificación del contador con T.P. 42662-T vigente de fecha 28 de noviembre de 2017 ( Folio 92)</t>
  </si>
  <si>
    <t>CONSORCIO PIC SIERRA NEVADA</t>
  </si>
  <si>
    <t>ALBERTO SANTOS ACOSTA</t>
  </si>
  <si>
    <t>BERNARDO ENRIQUE BRAVO</t>
  </si>
  <si>
    <t>SOCIOAMBIENTAL CONSULTORES</t>
  </si>
  <si>
    <t xml:space="preserve">
</t>
  </si>
  <si>
    <t>Alberto Santos - Información contable completa ( Folio 78 a 83)
Socioambiental S.A.S. - Información contale completa (Folio 88 a 106)
Bernardo Bravo - Información contable completa ( folio 110 a 118)</t>
  </si>
  <si>
    <t xml:space="preserve">Alberto Santos - No aplica
Socioambiental S.A.S. - No aplica
Bernardo Bravo - No aplica
</t>
  </si>
  <si>
    <t>Alberto Santos - Certificación contador vigente de fecha 20 de diciembre de 2017 (folio 85)
Socioambiental- Certificación contador vigente de fecha 26 de octubre de 2017 (folio 108)
Bernardo Bravo - Certificación contador vigente de fecha 25 de octubre de 2017 (folio 121)</t>
  </si>
  <si>
    <t>Alberto Santos - No aplica
Socioambiental S.A.S. - No aplica
Bernardo Bravo - No aplica</t>
  </si>
  <si>
    <t>Alberto Santos - Tarjeta Profesional 37729-T de fecha 03/02/1994
Socioambiental S.A.S. - Tarjeta profesional 14809-T de fecha 17/04/2006
Bernardo Bravo - Tarjeta Profesional 38418-T de fecha 14/04/1994</t>
  </si>
  <si>
    <t>CONSORCIO LV PERIJÁ</t>
  </si>
  <si>
    <t>JAVIER ARTURO LEÓN HERAZO</t>
  </si>
  <si>
    <t>GERMÁN VILLANUEVA CALDERÓN</t>
  </si>
  <si>
    <t>FRANCISCO RAMÓN RÍOS DANIES</t>
  </si>
  <si>
    <t xml:space="preserve">Javier Arturo León - No aplica
Germásn Villanueva. - Dictamen firmado (folio 110)
Francisco Ramón- Dictámen firmado (folio 135)
</t>
  </si>
  <si>
    <t>Javier Arturo León - Certificación contador vigente de fecha 23 de octubre de 2017 (folio 83)
Germán Villanueva- Certificación contador vigente de fecha 1 de noviembre de 2017 (folio 114)
Francisco Ramón- Certificación contador vigente de fecha 20 de diciembre de 2017- (folio 139)</t>
  </si>
  <si>
    <t xml:space="preserve">Javier Arturo León - No aplica
Germán Villanueva - Certificación Revisor vigente de fecha 4 de diciembre de 2017 (folio 118)
Germán Villanueva - Certificación Revisor vigente de fecha 20 de diciembre de 2017 (folio 139)
</t>
  </si>
  <si>
    <t>Javier Arturo León - Tarjeta Profesional 157709-T de fecha 07/04/2011 (folio 82)
Germán Villanueva. - Tarjeta profesional 141168-T de fecha 16/04/2009 (folio 113)
Francisco Ramón - Tarjeta Profesional 128391-T de fecha 30/08/2007</t>
  </si>
  <si>
    <t>Javier Arturo León - No aplica
Germán Villanueva- Tarjeta Profesional Revisor 30135-T de fecha 05/09/1991 (folio 117).
Francisco Ramón- Tarjeta profesional revisor 143293-T de fecha 09/07/2009 (folio 137)</t>
  </si>
  <si>
    <t>UNION TEMPORAL PERIJA 2017</t>
  </si>
  <si>
    <t>HENRY ARISMENDY GOMEZ</t>
  </si>
  <si>
    <t>JAIME BRUGUES MORENO</t>
  </si>
  <si>
    <t>MACDANIEL LTDA</t>
  </si>
  <si>
    <t xml:space="preserve">MacDaniel Ltda - No tiene dictamen del revisor fiscal
Jaime Brugues- No Aplica
Henry Arismendy- No aplica
</t>
  </si>
  <si>
    <t>MacDaniel Ltda- Información contable incompleta. Las notas a los estados financieros no fueron adjuntas.
Jaime Brugues- Información contable completa.
Henry Arismendy-  Información contable completa.</t>
  </si>
  <si>
    <t xml:space="preserve">MacDaniel Ltda - Certificación contador desactualizado de fecha 14 de agosto de 2017.
Jaime Brugues- Certificación contador vigente de fecha 17 de octubre de 2017 
Henry Arismendy- Certificación contador vigente de fecha 17 de octubre de 2017 </t>
  </si>
  <si>
    <t xml:space="preserve">MacDaniel Ltda - Certificación Revisor vigente de fecha 24 de Octubre de 2017.
Jaime Brugues- No Aplica
Henry Arismendy- No Aplica
</t>
  </si>
  <si>
    <t xml:space="preserve">MacDaniel LTDA - No se encuentra anexa
Jaime Brugues - Tarjeta profesional 57228-T de fecha 23/12/1997 
Henry Arismendy - Tarjeta profesional 57228-T de fecha 23/12/1997 </t>
  </si>
  <si>
    <t>MacDaniel LTDA  -Tarjeta Profesional 53074-T limitada por la anotación" Válida únicamente para EEFF 2015"
Jaime Brugues- No Aplica
Henry Arismendy- No Aplica</t>
  </si>
  <si>
    <t>UNIÓN TEMPORAL OBRAS RENACER</t>
  </si>
  <si>
    <t>JOSE FERNANDO ANGULO</t>
  </si>
  <si>
    <t>ORLANDO SEPULVEDA</t>
  </si>
  <si>
    <t>CORPORACIÓN COLOMBIA CRECE</t>
  </si>
  <si>
    <t>NO HABILITADO</t>
  </si>
  <si>
    <t>CONSORCIO INFRAESTRUCTURA SIERRA NEVADA</t>
  </si>
  <si>
    <t>CADSA SAS</t>
  </si>
  <si>
    <t>CORPORACIÓN SELVA HÚMEDA ONG</t>
  </si>
  <si>
    <t>MODEPCA LTDA</t>
  </si>
  <si>
    <t xml:space="preserve">José Fernando Angulo - No está obligado; sin embrago adjuntó Dictamen contador independiente (folio 55)
Orlando Sepulveda - No está obligado; sin embargo adjuntó Dictamen contador independiente (folio 81)
Corporación Colomia Crece- No aplica
</t>
  </si>
  <si>
    <t>José Fernando Angulo - Certificación contador vigente de fecha 18 de octubre de 2017.
Orlando Sepulveda- Certificación contador vigente de fecha 2 de octubre de 2017 
Corporación Colombia Crece- No adjunta certificado de antecedentes</t>
  </si>
  <si>
    <t xml:space="preserve">José Fernando Angulo- No Aplica
Orlando Sepulveda- No Aplica
Corporación Colombia Crece- No Aplica
</t>
  </si>
  <si>
    <t xml:space="preserve">José Fernando Angulo - Tarjeta Profesional 65809-T de fecha 10/06/1998
Orlando Sepulveda - Tarjeta profesional 25371-T de fecha 12/10/1989 
Corporación Colombia Crece - Tarjeta profesional 81217-T de fecha 08/11/2001 </t>
  </si>
  <si>
    <t>Corporación Selva Húmeda- Información contable incompleta.  Pendientes Notas a los EEFF  de la vig 2015 (folio 66 a 74)
Cadsa SAS- Información contable incompleta (folios 81 a 86). Pendiente EEFF a cierre 2015 así como las notas explicativas 
Modepca LTDA- Información contable completa. (Folio de 96 a 108)</t>
  </si>
  <si>
    <t xml:space="preserve">Corporación Selva Húmeda - No anexó certificación. Cuenta con Revisor Fiscal
Cadsa SAS-  Dictamen revisor fiscal (folio 87)
Modepca LTDA - Dicatmen de revisor fiscal (folio 109 y 110)
</t>
  </si>
  <si>
    <t>Corporación Selva Húmeda - Certificación contador desactualizada de fecha 8 de marzo de 2017.(folio 78)
Cadsa SAS- Certificación contador vigente de fecha 20 de diciembre de 2017 (folio 92)
Modepca LTDA - Certificación contador vigente de fecha 20 de diciembre de 2017. (folio 114)</t>
  </si>
  <si>
    <t xml:space="preserve">Corporación Selva Húmeda- Certificación Revisor vigente de fecha 2 de Octubre de 2017.(folio 76)
Cadsa SAS - Certificación Revisor Fiscal vigente de fecha 20 de diciembre de 2017 (folio 94)
Modepca LTDA- Certificación revisor vigente de fecha 20 de diciembre de 2017 (folio 113)
</t>
  </si>
  <si>
    <t xml:space="preserve">Corporación Selva Húmeda - Tarjeta Profesional 116559-T de fecha 02/02/2006(folio 77)
Cadsa SAS - Tarjeta profesional 60969-T de fecha 20/08/1998 (folio 93)
Modepca LTDA - Tarjeta profesional 180396-T de fecha 25/07/2013 (folio 115) </t>
  </si>
  <si>
    <t>Corporación Selva Húmeda- Tarjeta Profesional 182186-T de fecha 23/04/2013
Cadsa SAS- Tarjeta Profesional 51620-T de fecha 13/02/1997 (folio 95)
Modepca LTDA- Tarjeta profesional 51620-T de fecha 13 de febrero de 1997</t>
  </si>
  <si>
    <t>UNION TEMPORAL PARA EL FORTALECIMIENTO COMUNITARIO EN LOS TERRITORIOS 2017</t>
  </si>
  <si>
    <t>CORPORACIÓN MULTIACTIVAEMPRENDER ORGANIZACIÓN NO GUBERNAMENTAL</t>
  </si>
  <si>
    <t>FUNDACIÓN INNOVA CARIBE</t>
  </si>
  <si>
    <t>UNION TEMPORAL RENACER 2017</t>
  </si>
  <si>
    <t>DISCEP SAS</t>
  </si>
  <si>
    <t>FUNDACIÓN PARA EL DESARROLLO DE LA JAGUA</t>
  </si>
  <si>
    <t xml:space="preserve">Corporación Multiactiva Emprender ONG- Información contable completa.  (folio 44 a 55)
Fundación Innova Caribe- Información contable completa (folios 61 a 68)
</t>
  </si>
  <si>
    <t xml:space="preserve">Corporación Multiactiva Emprender ONG - Dicatmen Revisor Fiscal ( folio 53 y 54)
Fundación Innova Caribe -  El dictamen del revisor fiscal debe ser independiente por lo que su dictamen no debe ser firmado por el representante legal y debe contener información de su auditoria. (folio 67)
</t>
  </si>
  <si>
    <t xml:space="preserve">Corporación Multiactiva Emprender ONG - No se encuentra adjunta la certificación de antecedentes del contador - Paola Acuña
Fundación Innova Caribe- No adjunta certificación
</t>
  </si>
  <si>
    <t xml:space="preserve">Corporación Multiactiva Emprender ONG- Certificación Revisor vigente de fecha 11 de diciembre de 2017.(folio 58)
Fundación Innova Caribe-Certifcación de revisor Fiscal vigente de fecha 10 de noviembre de 2017 (folio 64)
</t>
  </si>
  <si>
    <t xml:space="preserve">Corporación Multiactiva Emprender ONG - Tarjeta Profesional 128682-T de fecha 30/08/2007 (folio 60)
Fundación Innova Caribe - Tarjeta profesional 179878-T de fecha 04/07/2013 (folio 71)
</t>
  </si>
  <si>
    <t xml:space="preserve">Corporación Multiactiva Emprender ONG- Tarjeta Profesional 116135-T de fecha 02/03/2006 (folio 59)
Fundación Innova Caribe- Tarjeta Profesional 81247-T de fecha 08/11/2001 (folio 70)
</t>
  </si>
  <si>
    <t xml:space="preserve">DISCEP SAS - Dicatmen Revisor Fiscal ( folio 106 A 109)
Fundesarrollo La Jagua- No aplica.
</t>
  </si>
  <si>
    <t xml:space="preserve">DISCEP SAS - Certificación de antecedentes del contador vigente de fecha 3 de noviembre de 2017 (folio 126) 
Fundesarrollo La Jagua- Certificación de contador vigente de fecha 6 de diciembre de 2017. (folio 128)
</t>
  </si>
  <si>
    <t xml:space="preserve">DISCEP SAS- Certificación Revisor vigente de fecha 5 de diciembre de 2017.(folio 124)
Fundesarrollo La Jagua- No aplica
</t>
  </si>
  <si>
    <t xml:space="preserve">DISCEP SAS - Tarjeta Profesional 160809-T de fecha 04/08/2011 (folio 125)
Fundesarrollo La Jagua - Tarjeta profesional 188779-T de fecha 12/04/2014 (folio 127)
</t>
  </si>
  <si>
    <t xml:space="preserve">DISCEP SAS- Tarjeta Profesional 41763-T de fecha 16/12/1999 (folio 123)
Fundesarrollo La Juagia- No aplica
</t>
  </si>
  <si>
    <t>WILLIAM ARTURO DAZA FLOREZ</t>
  </si>
  <si>
    <t>WILIAM ARTURO DAZA</t>
  </si>
  <si>
    <t xml:space="preserve">Información contable completa.  (folio 20 a 30)
</t>
  </si>
  <si>
    <t xml:space="preserve">No Aplica
</t>
  </si>
  <si>
    <t xml:space="preserve">Certificación de antecedentes del contador vigente de fecha 23 de noviembre de 2017 (folio 31) 
</t>
  </si>
  <si>
    <t xml:space="preserve">Tarjeta Profesional 39569-T de fecha 28/06/1994 (folio 32)
</t>
  </si>
  <si>
    <t>FEDERACIÓN NACIONAL DE CAFETEROS</t>
  </si>
  <si>
    <t>FEDERACION NACIONAL DE CAFETEROS</t>
  </si>
  <si>
    <t xml:space="preserve">Información contable completa.  (folio 31 a 140)
)
</t>
  </si>
  <si>
    <t xml:space="preserve">Dicatmen Revisor Fiscal ( folio 137 A 138)
Fundesarrollo La Jagua- No aplica.
</t>
  </si>
  <si>
    <t xml:space="preserve">Certificación de antecedentes del contador vigente de fecha 13 de Diciembre de 2017 (folio 142) 
</t>
  </si>
  <si>
    <t xml:space="preserve">Tarjeta Profesional 52167-T de fecha 03/04/1997 (folio 141)
Fundesarrollo La Jagua - Tarjeta profesional 188779-T de fecha 12/04/2014 (folio 127)
</t>
  </si>
  <si>
    <t>UNION TEMPORAL PROSPERIDAD</t>
  </si>
  <si>
    <t>AGE INGENIERIA SAS</t>
  </si>
  <si>
    <t>ASOCIACION AGROPECUARIA</t>
  </si>
  <si>
    <t>FABIÁN LEONARDO TORRADO</t>
  </si>
  <si>
    <t>AGE Ingeniería SAS- Información contable completa.
Asociación Agropecuaria Internacional- Información contable incompleta. Los EEFF requieren firma de Revisor Fiscal por superar tope de activos.
Fabián Torrado- Infornmación contable completa</t>
  </si>
  <si>
    <t xml:space="preserve">AGE Ingenieria SAS - Dictmen Revisor Fiscal de fecha 15 de marzo de 2017.
Asociación Agropecuaria Internacional-- No adjunta.
Fabián Torrado- No aplica
</t>
  </si>
  <si>
    <t xml:space="preserve">AGE Ingenieria SAS- Certificación de antecedentes del contador vigente de fecha 17 de noviembre de 2017
Asociación Agropecuaria Internacional-- Certificación de contador vigente de fecha 21 de noviembre de 2017.
Fabián Torrado- Certificado contador vigente de fecha 17 de noviembre de 2017
</t>
  </si>
  <si>
    <t xml:space="preserve">AGE Ingenieria SAS - Tarjeta Profesional 190231-T de fecha 14/05/2014 
Asociación Agropecuaria Internacional- - Tarjeta profesional 90027-T de fecha 12/12/2002.
Fabián Torrado-  Tarjeta profesional 190231-T de fecha 14/05/2014
</t>
  </si>
  <si>
    <t>NO HAILITADO</t>
  </si>
  <si>
    <t>NO EVALUAR</t>
  </si>
  <si>
    <t>Estados Financieros completos (CARLOS ALBERTO GONZALEZ) Folios 73 a 75 
Estados Financieros completos (YOHAN FAHIR BERMUDEZ) Folios 79 a 86
Estados Financieros completos ( JUAN CARLOS ARAGÓN) Folios 87 y 88</t>
  </si>
  <si>
    <r>
      <t>Los certificados de los integrantes se encuentran en el siguiente estado:
Carlos Alberto Gonzalez - Certificación 7 de octubre de 2017 - Folio 78 - Está vigente
Yohan Bermudez - Certif 21 de Noviembre de 2017 - Vigente</t>
    </r>
    <r>
      <rPr>
        <b/>
        <sz val="11"/>
        <color indexed="8"/>
        <rFont val="Calibri"/>
        <family val="2"/>
      </rPr>
      <t xml:space="preserve">
</t>
    </r>
    <r>
      <rPr>
        <sz val="11"/>
        <color indexed="8"/>
        <rFont val="Calibri"/>
        <family val="2"/>
      </rPr>
      <t>Juan Carlos Aragón</t>
    </r>
    <r>
      <rPr>
        <sz val="11"/>
        <color theme="1"/>
        <rFont val="Calibri"/>
        <family val="2"/>
        <scheme val="minor"/>
      </rPr>
      <t xml:space="preserve"> - Certif 3 de Octubre de 2017- Vigente</t>
    </r>
  </si>
  <si>
    <t>Carlos Gonzalez - Tarjeta Profesional de contador 60409-T del 30/07/98 
Yohan Bermudez - Tarjeta Profesional de contador 154272-T del 21/10/2010
Juan Carlos Aragón - arjeta Profesional de contador 115489-T del 15/12/2005</t>
  </si>
  <si>
    <t xml:space="preserve">DISCEP SAS- Información contable completa.  (folio 56 a 94)
Fundesarrollo La juagua- Información contable completa. (folios 112 a 118) 
</t>
  </si>
  <si>
    <t>Javier Arturo León - Información contable completa. ( Folio 75 a 79)
Germán Villanueva - Información contable completa. ( Folio 75 a 79)
Francisco Ramón - Información contable completa ( folio 120 a 134)</t>
  </si>
  <si>
    <t xml:space="preserve">José Fernando Angulo- Información contable completa. s.(folio 50 a 62)
Orlando Sepulveda- Información contable completa (folios 65 a 80) 
Corporación Colombia Crece - Información contable completa, pero el activo ni pasivo no se encuentra detallado por corriente y no corriente necesarios para el cálculo de Indicadores. </t>
  </si>
  <si>
    <r>
      <t xml:space="preserve">AGE Ingenieria- Tarjeta Profesional 117257-T de fecha 30/03/2003
Asociación Agropecuaria Internacional-- Tarjeta Profesional 130141-T de fecha </t>
    </r>
    <r>
      <rPr>
        <sz val="11"/>
        <color rgb="FFFF0000"/>
        <rFont val="Calibri"/>
        <family val="2"/>
        <scheme val="minor"/>
      </rPr>
      <t>30/03/2003</t>
    </r>
    <r>
      <rPr>
        <sz val="11"/>
        <rFont val="Calibri"/>
        <family val="2"/>
        <scheme val="minor"/>
      </rPr>
      <t xml:space="preserve">
Fabián Torrado- No aplica</t>
    </r>
  </si>
  <si>
    <t xml:space="preserve">AGE Ingenieria SAS- Certificación Revisor vigente de fecha 5 de diciembre de 2017
Asociación Agropecuaria Internacional-- Certificación Revisor vigente de fecha 5 de Octubre de 2017
Fabián Torrado- No aplica
</t>
  </si>
  <si>
    <t>Adjunta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</si>
</sst>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_-;_-@_-"/>
    <numFmt numFmtId="167" formatCode="_-&quot;$&quot;\ * #,##0.00_-;\-&quot;$&quot;\ * #,##0.00_-;_-&quot;$&quot;\ * &quot;-&quot;_-;_-@_-"/>
  </numFmts>
  <fonts count="3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sz val="6"/>
      <color theme="1"/>
      <name val="Arial"/>
      <family val="2"/>
    </font>
    <font>
      <b/>
      <sz val="7"/>
      <color rgb="FF000000"/>
      <name val="Arial"/>
      <family val="2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theme="1"/>
      </top>
      <bottom/>
      <diagonal/>
    </border>
    <border>
      <left style="double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indexed="64"/>
      </right>
      <top style="thin">
        <color indexed="64"/>
      </top>
      <bottom style="double">
        <color theme="0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double">
        <color theme="0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thin">
        <color indexed="64"/>
      </bottom>
      <diagonal/>
    </border>
    <border>
      <left style="double">
        <color indexed="64"/>
      </left>
      <right style="double">
        <color theme="0"/>
      </right>
      <top style="double">
        <color theme="0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medium">
        <color indexed="64"/>
      </bottom>
      <diagonal/>
    </border>
    <border>
      <left style="double">
        <color theme="0"/>
      </left>
      <right style="double">
        <color indexed="64"/>
      </right>
      <top style="double">
        <color theme="0"/>
      </top>
      <bottom style="medium">
        <color indexed="64"/>
      </bottom>
      <diagonal/>
    </border>
  </borders>
  <cellStyleXfs count="6">
    <xf numFmtId="0" fontId="0" fillId="0" borderId="0"/>
    <xf numFmtId="41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43">
    <xf numFmtId="0" fontId="0" fillId="0" borderId="0" xfId="0"/>
    <xf numFmtId="0" fontId="0" fillId="0" borderId="0" xfId="0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3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7" fillId="0" borderId="0" xfId="3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3" xfId="0" applyFill="1" applyBorder="1" applyAlignment="1">
      <alignment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0" fillId="0" borderId="13" xfId="0" applyFill="1" applyBorder="1" applyAlignment="1">
      <alignment vertical="center" wrapText="1"/>
    </xf>
    <xf numFmtId="14" fontId="0" fillId="0" borderId="0" xfId="0" applyNumberFormat="1" applyFill="1" applyAlignment="1">
      <alignment vertical="center"/>
    </xf>
    <xf numFmtId="41" fontId="3" fillId="0" borderId="0" xfId="1" applyFont="1" applyFill="1" applyAlignment="1">
      <alignment vertical="center"/>
    </xf>
    <xf numFmtId="10" fontId="3" fillId="0" borderId="0" xfId="4" applyNumberFormat="1" applyFont="1" applyFill="1" applyAlignment="1">
      <alignment vertical="center"/>
    </xf>
    <xf numFmtId="10" fontId="0" fillId="0" borderId="0" xfId="0" applyNumberFormat="1" applyFill="1" applyAlignment="1">
      <alignment vertical="center"/>
    </xf>
    <xf numFmtId="166" fontId="3" fillId="0" borderId="0" xfId="1" applyNumberFormat="1" applyFont="1" applyFill="1" applyAlignment="1">
      <alignment vertical="center"/>
    </xf>
    <xf numFmtId="164" fontId="3" fillId="0" borderId="0" xfId="3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10" fontId="3" fillId="0" borderId="0" xfId="4" applyNumberFormat="1" applyFont="1" applyBorder="1" applyAlignment="1">
      <alignment vertical="center"/>
    </xf>
    <xf numFmtId="10" fontId="3" fillId="0" borderId="1" xfId="4" applyNumberFormat="1" applyFont="1" applyBorder="1" applyAlignment="1">
      <alignment vertical="center"/>
    </xf>
    <xf numFmtId="10" fontId="0" fillId="0" borderId="0" xfId="0" applyNumberForma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horizontal="right" vertical="center"/>
    </xf>
    <xf numFmtId="0" fontId="0" fillId="3" borderId="0" xfId="0" applyFill="1" applyBorder="1" applyAlignment="1">
      <alignment vertical="center"/>
    </xf>
    <xf numFmtId="166" fontId="3" fillId="3" borderId="0" xfId="1" applyNumberFormat="1" applyFont="1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10" fontId="3" fillId="3" borderId="0" xfId="4" applyNumberFormat="1" applyFont="1" applyFill="1" applyBorder="1" applyAlignment="1">
      <alignment vertical="center"/>
    </xf>
    <xf numFmtId="164" fontId="3" fillId="3" borderId="0" xfId="3" applyFont="1" applyFill="1" applyBorder="1" applyAlignment="1">
      <alignment vertical="center"/>
    </xf>
    <xf numFmtId="10" fontId="0" fillId="3" borderId="0" xfId="0" applyNumberFormat="1" applyFill="1" applyBorder="1" applyAlignment="1">
      <alignment vertical="center"/>
    </xf>
    <xf numFmtId="0" fontId="5" fillId="3" borderId="23" xfId="0" applyFont="1" applyFill="1" applyBorder="1" applyAlignment="1">
      <alignment horizontal="right" vertical="center"/>
    </xf>
    <xf numFmtId="14" fontId="0" fillId="3" borderId="0" xfId="0" applyNumberFormat="1" applyFill="1" applyBorder="1" applyAlignment="1">
      <alignment vertical="center"/>
    </xf>
    <xf numFmtId="0" fontId="0" fillId="3" borderId="0" xfId="0" applyFill="1" applyBorder="1" applyAlignment="1">
      <alignment horizontal="right"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14" fontId="0" fillId="3" borderId="26" xfId="0" applyNumberFormat="1" applyFill="1" applyBorder="1" applyAlignment="1">
      <alignment vertical="center"/>
    </xf>
    <xf numFmtId="41" fontId="3" fillId="3" borderId="26" xfId="1" applyFont="1" applyFill="1" applyBorder="1" applyAlignment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27" xfId="0" applyFill="1" applyBorder="1" applyAlignment="1">
      <alignment vertical="center"/>
    </xf>
    <xf numFmtId="9" fontId="8" fillId="4" borderId="23" xfId="0" applyNumberFormat="1" applyFont="1" applyFill="1" applyBorder="1" applyAlignment="1">
      <alignment horizontal="center" vertical="center"/>
    </xf>
    <xf numFmtId="2" fontId="9" fillId="4" borderId="0" xfId="0" applyNumberFormat="1" applyFont="1" applyFill="1" applyAlignment="1">
      <alignment vertical="center"/>
    </xf>
    <xf numFmtId="10" fontId="9" fillId="4" borderId="0" xfId="4" applyNumberFormat="1" applyFont="1" applyFill="1" applyAlignment="1">
      <alignment vertical="center"/>
    </xf>
    <xf numFmtId="164" fontId="9" fillId="4" borderId="0" xfId="3" applyFont="1" applyFill="1" applyAlignment="1">
      <alignment vertical="center"/>
    </xf>
    <xf numFmtId="166" fontId="10" fillId="3" borderId="0" xfId="1" applyNumberFormat="1" applyFont="1" applyFill="1" applyBorder="1" applyAlignment="1">
      <alignment vertical="center"/>
    </xf>
    <xf numFmtId="10" fontId="10" fillId="3" borderId="0" xfId="4" applyNumberFormat="1" applyFont="1" applyFill="1" applyBorder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8" fillId="3" borderId="28" xfId="0" applyFont="1" applyFill="1" applyBorder="1" applyAlignment="1">
      <alignment horizontal="right" vertical="center"/>
    </xf>
    <xf numFmtId="0" fontId="8" fillId="3" borderId="29" xfId="0" applyFont="1" applyFill="1" applyBorder="1" applyAlignment="1">
      <alignment vertical="center"/>
    </xf>
    <xf numFmtId="10" fontId="8" fillId="3" borderId="29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0" fontId="6" fillId="0" borderId="5" xfId="3" applyNumberFormat="1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0" fontId="6" fillId="0" borderId="10" xfId="3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41" fontId="6" fillId="0" borderId="5" xfId="3" applyNumberFormat="1" applyFont="1" applyBorder="1" applyAlignment="1">
      <alignment vertical="center"/>
    </xf>
    <xf numFmtId="41" fontId="6" fillId="0" borderId="10" xfId="3" applyNumberFormat="1" applyFont="1" applyBorder="1" applyAlignment="1">
      <alignment vertical="center"/>
    </xf>
    <xf numFmtId="0" fontId="15" fillId="0" borderId="0" xfId="0" applyFont="1" applyFill="1" applyAlignment="1">
      <alignment vertical="center"/>
    </xf>
    <xf numFmtId="166" fontId="6" fillId="0" borderId="30" xfId="1" applyNumberFormat="1" applyFont="1" applyBorder="1" applyAlignment="1">
      <alignment vertical="center"/>
    </xf>
    <xf numFmtId="166" fontId="6" fillId="0" borderId="5" xfId="1" applyNumberFormat="1" applyFont="1" applyBorder="1" applyAlignment="1">
      <alignment vertical="center"/>
    </xf>
    <xf numFmtId="166" fontId="6" fillId="0" borderId="37" xfId="1" applyNumberFormat="1" applyFont="1" applyBorder="1" applyAlignment="1">
      <alignment vertical="center"/>
    </xf>
    <xf numFmtId="166" fontId="6" fillId="0" borderId="31" xfId="1" applyNumberFormat="1" applyFont="1" applyBorder="1" applyAlignment="1">
      <alignment vertical="center"/>
    </xf>
    <xf numFmtId="166" fontId="6" fillId="0" borderId="10" xfId="1" applyNumberFormat="1" applyFont="1" applyBorder="1" applyAlignment="1">
      <alignment vertical="center"/>
    </xf>
    <xf numFmtId="166" fontId="6" fillId="0" borderId="38" xfId="1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3" borderId="39" xfId="0" applyFill="1" applyBorder="1" applyAlignment="1">
      <alignment vertical="center" wrapText="1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5" fillId="0" borderId="25" xfId="0" applyFont="1" applyFill="1" applyBorder="1" applyAlignment="1">
      <alignment horizontal="right" vertical="center"/>
    </xf>
    <xf numFmtId="0" fontId="5" fillId="0" borderId="44" xfId="0" applyFont="1" applyFill="1" applyBorder="1" applyAlignment="1">
      <alignment horizontal="center" vertical="center"/>
    </xf>
    <xf numFmtId="166" fontId="5" fillId="0" borderId="45" xfId="1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vertical="center" wrapText="1"/>
    </xf>
    <xf numFmtId="0" fontId="0" fillId="0" borderId="47" xfId="0" applyFill="1" applyBorder="1" applyAlignment="1">
      <alignment horizontal="center" vertical="center"/>
    </xf>
    <xf numFmtId="166" fontId="3" fillId="0" borderId="48" xfId="1" applyNumberFormat="1" applyFont="1" applyFill="1" applyBorder="1" applyAlignment="1">
      <alignment horizontal="center" vertical="center"/>
    </xf>
    <xf numFmtId="166" fontId="6" fillId="0" borderId="32" xfId="1" applyNumberFormat="1" applyFont="1" applyBorder="1" applyAlignment="1">
      <alignment vertical="center"/>
    </xf>
    <xf numFmtId="166" fontId="6" fillId="0" borderId="6" xfId="1" applyNumberFormat="1" applyFont="1" applyBorder="1" applyAlignment="1">
      <alignment vertical="center"/>
    </xf>
    <xf numFmtId="166" fontId="6" fillId="0" borderId="49" xfId="1" applyNumberFormat="1" applyFont="1" applyBorder="1" applyAlignment="1">
      <alignment vertical="center"/>
    </xf>
    <xf numFmtId="0" fontId="16" fillId="0" borderId="50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166" fontId="6" fillId="0" borderId="53" xfId="1" applyNumberFormat="1" applyFont="1" applyBorder="1" applyAlignment="1">
      <alignment vertical="center"/>
    </xf>
    <xf numFmtId="166" fontId="6" fillId="0" borderId="54" xfId="1" applyNumberFormat="1" applyFont="1" applyBorder="1" applyAlignment="1">
      <alignment vertical="center"/>
    </xf>
    <xf numFmtId="166" fontId="6" fillId="0" borderId="55" xfId="1" applyNumberFormat="1" applyFont="1" applyBorder="1" applyAlignment="1">
      <alignment vertical="center"/>
    </xf>
    <xf numFmtId="166" fontId="6" fillId="0" borderId="56" xfId="1" applyNumberFormat="1" applyFont="1" applyBorder="1" applyAlignment="1">
      <alignment vertical="center"/>
    </xf>
    <xf numFmtId="166" fontId="6" fillId="0" borderId="13" xfId="1" applyNumberFormat="1" applyFont="1" applyBorder="1" applyAlignment="1">
      <alignment vertical="center"/>
    </xf>
    <xf numFmtId="166" fontId="6" fillId="0" borderId="57" xfId="1" applyNumberFormat="1" applyFont="1" applyBorder="1" applyAlignment="1">
      <alignment vertical="center"/>
    </xf>
    <xf numFmtId="166" fontId="6" fillId="0" borderId="58" xfId="1" applyNumberFormat="1" applyFont="1" applyBorder="1" applyAlignment="1">
      <alignment vertical="center"/>
    </xf>
    <xf numFmtId="166" fontId="6" fillId="0" borderId="7" xfId="1" applyNumberFormat="1" applyFont="1" applyBorder="1" applyAlignment="1">
      <alignment vertical="center"/>
    </xf>
    <xf numFmtId="166" fontId="6" fillId="0" borderId="59" xfId="1" applyNumberFormat="1" applyFont="1" applyBorder="1" applyAlignment="1">
      <alignment vertical="center"/>
    </xf>
    <xf numFmtId="166" fontId="6" fillId="0" borderId="60" xfId="1" applyNumberFormat="1" applyFont="1" applyBorder="1" applyAlignment="1">
      <alignment vertical="center"/>
    </xf>
    <xf numFmtId="166" fontId="6" fillId="0" borderId="61" xfId="1" applyNumberFormat="1" applyFont="1" applyBorder="1" applyAlignment="1">
      <alignment vertical="center"/>
    </xf>
    <xf numFmtId="166" fontId="6" fillId="0" borderId="9" xfId="1" applyNumberFormat="1" applyFont="1" applyBorder="1" applyAlignment="1">
      <alignment vertical="center"/>
    </xf>
    <xf numFmtId="0" fontId="11" fillId="0" borderId="62" xfId="0" applyFont="1" applyFill="1" applyBorder="1" applyAlignment="1">
      <alignment horizontal="center" vertical="center"/>
    </xf>
    <xf numFmtId="166" fontId="3" fillId="0" borderId="49" xfId="1" applyNumberFormat="1" applyFont="1" applyFill="1" applyBorder="1" applyAlignment="1">
      <alignment horizontal="center" vertical="center"/>
    </xf>
    <xf numFmtId="166" fontId="3" fillId="0" borderId="37" xfId="1" applyNumberFormat="1" applyFont="1" applyFill="1" applyBorder="1" applyAlignment="1">
      <alignment horizontal="center" vertical="center"/>
    </xf>
    <xf numFmtId="166" fontId="3" fillId="0" borderId="63" xfId="1" applyNumberFormat="1" applyFont="1" applyFill="1" applyBorder="1" applyAlignment="1">
      <alignment horizontal="center" vertical="center"/>
    </xf>
    <xf numFmtId="166" fontId="5" fillId="0" borderId="64" xfId="1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vertical="center"/>
    </xf>
    <xf numFmtId="0" fontId="0" fillId="3" borderId="65" xfId="0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164" fontId="18" fillId="0" borderId="0" xfId="3" applyFont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30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164" fontId="18" fillId="0" borderId="5" xfId="3" applyFont="1" applyBorder="1" applyAlignment="1">
      <alignment vertical="center"/>
    </xf>
    <xf numFmtId="164" fontId="18" fillId="0" borderId="37" xfId="3" applyFont="1" applyBorder="1" applyAlignment="1">
      <alignment vertical="center"/>
    </xf>
    <xf numFmtId="164" fontId="17" fillId="0" borderId="5" xfId="3" applyFont="1" applyBorder="1" applyAlignment="1">
      <alignment vertical="center"/>
    </xf>
    <xf numFmtId="164" fontId="17" fillId="0" borderId="37" xfId="3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164" fontId="17" fillId="0" borderId="10" xfId="3" applyFont="1" applyBorder="1" applyAlignment="1">
      <alignment vertical="center"/>
    </xf>
    <xf numFmtId="164" fontId="17" fillId="0" borderId="38" xfId="3" applyFont="1" applyBorder="1" applyAlignment="1">
      <alignment vertical="center"/>
    </xf>
    <xf numFmtId="0" fontId="19" fillId="0" borderId="66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  <xf numFmtId="164" fontId="18" fillId="0" borderId="57" xfId="3" applyFont="1" applyBorder="1" applyAlignment="1">
      <alignment vertical="center"/>
    </xf>
    <xf numFmtId="164" fontId="17" fillId="0" borderId="57" xfId="3" applyFont="1" applyBorder="1" applyAlignment="1">
      <alignment vertical="center"/>
    </xf>
    <xf numFmtId="164" fontId="17" fillId="0" borderId="60" xfId="3" applyFont="1" applyBorder="1" applyAlignment="1">
      <alignment vertical="center"/>
    </xf>
    <xf numFmtId="0" fontId="17" fillId="0" borderId="47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164" fontId="5" fillId="0" borderId="0" xfId="3" applyFont="1" applyAlignment="1">
      <alignment vertical="center"/>
    </xf>
    <xf numFmtId="0" fontId="20" fillId="0" borderId="70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72" xfId="0" applyFont="1" applyBorder="1" applyAlignment="1">
      <alignment horizontal="center" vertical="center" wrapText="1"/>
    </xf>
    <xf numFmtId="0" fontId="19" fillId="0" borderId="73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17" fillId="0" borderId="74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 wrapText="1"/>
    </xf>
    <xf numFmtId="0" fontId="19" fillId="0" borderId="76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164" fontId="18" fillId="0" borderId="0" xfId="0" applyNumberFormat="1" applyFont="1" applyAlignment="1">
      <alignment vertical="center"/>
    </xf>
    <xf numFmtId="41" fontId="18" fillId="0" borderId="0" xfId="1" applyFont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22" fillId="0" borderId="127" xfId="0" applyFont="1" applyBorder="1" applyAlignment="1">
      <alignment horizontal="center" vertical="center"/>
    </xf>
    <xf numFmtId="0" fontId="22" fillId="0" borderId="127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64" fontId="23" fillId="0" borderId="5" xfId="3" applyFont="1" applyBorder="1" applyAlignment="1">
      <alignment vertical="center"/>
    </xf>
    <xf numFmtId="0" fontId="22" fillId="0" borderId="30" xfId="0" applyFont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 wrapText="1"/>
    </xf>
    <xf numFmtId="164" fontId="23" fillId="5" borderId="13" xfId="3" applyFont="1" applyFill="1" applyBorder="1" applyAlignment="1">
      <alignment vertical="center"/>
    </xf>
    <xf numFmtId="164" fontId="23" fillId="5" borderId="39" xfId="3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64" fontId="22" fillId="0" borderId="0" xfId="0" applyNumberFormat="1" applyFont="1" applyBorder="1" applyAlignment="1">
      <alignment vertical="center"/>
    </xf>
    <xf numFmtId="164" fontId="23" fillId="0" borderId="58" xfId="3" applyFont="1" applyBorder="1" applyAlignment="1">
      <alignment vertical="center"/>
    </xf>
    <xf numFmtId="164" fontId="25" fillId="0" borderId="79" xfId="3" applyFont="1" applyBorder="1" applyAlignment="1">
      <alignment vertical="center"/>
    </xf>
    <xf numFmtId="0" fontId="22" fillId="0" borderId="32" xfId="0" applyFont="1" applyBorder="1" applyAlignment="1">
      <alignment horizontal="center" vertical="center"/>
    </xf>
    <xf numFmtId="164" fontId="23" fillId="0" borderId="6" xfId="3" applyFont="1" applyBorder="1" applyAlignment="1">
      <alignment vertical="center"/>
    </xf>
    <xf numFmtId="164" fontId="23" fillId="0" borderId="80" xfId="3" applyFont="1" applyBorder="1" applyAlignment="1">
      <alignment vertical="center"/>
    </xf>
    <xf numFmtId="164" fontId="25" fillId="0" borderId="81" xfId="3" applyFont="1" applyBorder="1" applyAlignment="1">
      <alignment vertical="center"/>
    </xf>
    <xf numFmtId="0" fontId="22" fillId="0" borderId="82" xfId="0" applyFont="1" applyBorder="1" applyAlignment="1">
      <alignment horizontal="center" vertical="center"/>
    </xf>
    <xf numFmtId="164" fontId="23" fillId="0" borderId="41" xfId="3" applyFont="1" applyBorder="1" applyAlignment="1">
      <alignment vertical="center"/>
    </xf>
    <xf numFmtId="164" fontId="23" fillId="0" borderId="83" xfId="3" applyFont="1" applyBorder="1" applyAlignment="1">
      <alignment vertical="center"/>
    </xf>
    <xf numFmtId="164" fontId="25" fillId="0" borderId="84" xfId="3" applyFont="1" applyBorder="1" applyAlignment="1">
      <alignment vertical="center"/>
    </xf>
    <xf numFmtId="164" fontId="25" fillId="0" borderId="85" xfId="3" applyFont="1" applyFill="1" applyBorder="1" applyAlignment="1">
      <alignment vertical="center" wrapText="1"/>
    </xf>
    <xf numFmtId="0" fontId="23" fillId="0" borderId="80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23" fillId="0" borderId="83" xfId="0" applyFont="1" applyBorder="1" applyAlignment="1">
      <alignment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0" fillId="0" borderId="86" xfId="0" applyFont="1" applyFill="1" applyBorder="1" applyAlignment="1">
      <alignment horizontal="center" vertical="center"/>
    </xf>
    <xf numFmtId="0" fontId="25" fillId="0" borderId="87" xfId="0" applyFont="1" applyFill="1" applyBorder="1" applyAlignment="1">
      <alignment vertical="center" wrapText="1"/>
    </xf>
    <xf numFmtId="0" fontId="25" fillId="0" borderId="88" xfId="0" applyFont="1" applyFill="1" applyBorder="1" applyAlignment="1">
      <alignment horizontal="center" vertical="center" wrapText="1"/>
    </xf>
    <xf numFmtId="0" fontId="25" fillId="0" borderId="89" xfId="0" applyFont="1" applyFill="1" applyBorder="1" applyAlignment="1">
      <alignment horizontal="center" vertical="center" wrapText="1"/>
    </xf>
    <xf numFmtId="164" fontId="25" fillId="0" borderId="89" xfId="3" applyFont="1" applyFill="1" applyBorder="1" applyAlignment="1">
      <alignment vertical="center" wrapText="1"/>
    </xf>
    <xf numFmtId="164" fontId="25" fillId="0" borderId="87" xfId="3" applyFont="1" applyFill="1" applyBorder="1" applyAlignment="1">
      <alignment vertical="center" wrapText="1"/>
    </xf>
    <xf numFmtId="164" fontId="15" fillId="4" borderId="0" xfId="3" applyFont="1" applyFill="1" applyAlignment="1">
      <alignment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4" borderId="59" xfId="0" applyFill="1" applyBorder="1" applyAlignment="1">
      <alignment vertical="center" wrapText="1"/>
    </xf>
    <xf numFmtId="0" fontId="8" fillId="0" borderId="48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0" fontId="26" fillId="0" borderId="0" xfId="0" applyFont="1" applyFill="1" applyAlignment="1">
      <alignment vertical="center"/>
    </xf>
    <xf numFmtId="0" fontId="5" fillId="0" borderId="9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3" fillId="0" borderId="30" xfId="3" applyFont="1" applyBorder="1" applyAlignment="1">
      <alignment vertical="center"/>
    </xf>
    <xf numFmtId="164" fontId="23" fillId="0" borderId="37" xfId="3" applyFont="1" applyBorder="1" applyAlignment="1">
      <alignment vertical="center"/>
    </xf>
    <xf numFmtId="164" fontId="23" fillId="0" borderId="32" xfId="3" applyFont="1" applyBorder="1" applyAlignment="1">
      <alignment vertical="center"/>
    </xf>
    <xf numFmtId="164" fontId="23" fillId="0" borderId="49" xfId="3" applyFont="1" applyBorder="1" applyAlignment="1">
      <alignment vertical="center"/>
    </xf>
    <xf numFmtId="164" fontId="23" fillId="0" borderId="31" xfId="3" applyFont="1" applyBorder="1" applyAlignment="1">
      <alignment vertical="center"/>
    </xf>
    <xf numFmtId="164" fontId="23" fillId="0" borderId="38" xfId="3" applyFont="1" applyBorder="1" applyAlignment="1">
      <alignment vertical="center"/>
    </xf>
    <xf numFmtId="0" fontId="0" fillId="0" borderId="59" xfId="0" applyBorder="1" applyAlignment="1">
      <alignment vertical="center" wrapText="1"/>
    </xf>
    <xf numFmtId="0" fontId="24" fillId="0" borderId="0" xfId="0" applyFont="1" applyFill="1" applyAlignment="1">
      <alignment horizontal="center" vertical="center" wrapText="1"/>
    </xf>
    <xf numFmtId="164" fontId="18" fillId="0" borderId="0" xfId="0" applyNumberFormat="1" applyFont="1" applyFill="1" applyAlignment="1">
      <alignment vertical="center"/>
    </xf>
    <xf numFmtId="0" fontId="0" fillId="0" borderId="3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>
      <alignment horizontal="center" vertical="center"/>
    </xf>
    <xf numFmtId="166" fontId="3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3" fillId="6" borderId="10" xfId="1" applyNumberFormat="1" applyFont="1" applyFill="1" applyBorder="1" applyAlignment="1">
      <alignment vertical="center"/>
    </xf>
    <xf numFmtId="0" fontId="17" fillId="6" borderId="32" xfId="0" applyFont="1" applyFill="1" applyBorder="1" applyAlignment="1">
      <alignment vertical="center"/>
    </xf>
    <xf numFmtId="0" fontId="17" fillId="6" borderId="6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vertical="center"/>
    </xf>
    <xf numFmtId="10" fontId="17" fillId="6" borderId="58" xfId="4" applyNumberFormat="1" applyFont="1" applyFill="1" applyBorder="1" applyAlignment="1">
      <alignment vertical="center"/>
    </xf>
    <xf numFmtId="0" fontId="17" fillId="6" borderId="30" xfId="0" applyFont="1" applyFill="1" applyBorder="1" applyAlignment="1">
      <alignment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vertical="center"/>
    </xf>
    <xf numFmtId="10" fontId="17" fillId="6" borderId="61" xfId="4" applyNumberFormat="1" applyFont="1" applyFill="1" applyBorder="1" applyAlignment="1">
      <alignment vertical="center"/>
    </xf>
    <xf numFmtId="164" fontId="18" fillId="6" borderId="91" xfId="3" applyFont="1" applyFill="1" applyBorder="1" applyAlignment="1">
      <alignment vertical="center"/>
    </xf>
    <xf numFmtId="164" fontId="18" fillId="6" borderId="6" xfId="3" applyFont="1" applyFill="1" applyBorder="1" applyAlignment="1">
      <alignment vertical="center"/>
    </xf>
    <xf numFmtId="164" fontId="18" fillId="6" borderId="49" xfId="3" applyFont="1" applyFill="1" applyBorder="1" applyAlignment="1">
      <alignment vertical="center"/>
    </xf>
    <xf numFmtId="164" fontId="18" fillId="6" borderId="57" xfId="3" applyFont="1" applyFill="1" applyBorder="1" applyAlignment="1">
      <alignment vertical="center"/>
    </xf>
    <xf numFmtId="164" fontId="18" fillId="6" borderId="5" xfId="3" applyFont="1" applyFill="1" applyBorder="1" applyAlignment="1">
      <alignment vertical="center"/>
    </xf>
    <xf numFmtId="164" fontId="18" fillId="6" borderId="37" xfId="3" applyFont="1" applyFill="1" applyBorder="1" applyAlignment="1">
      <alignment vertical="center"/>
    </xf>
    <xf numFmtId="0" fontId="7" fillId="0" borderId="92" xfId="0" applyFont="1" applyBorder="1" applyAlignment="1">
      <alignment horizontal="center" vertical="center"/>
    </xf>
    <xf numFmtId="164" fontId="3" fillId="0" borderId="0" xfId="3" applyFont="1" applyAlignment="1">
      <alignment vertical="center"/>
    </xf>
    <xf numFmtId="14" fontId="0" fillId="0" borderId="0" xfId="0" applyNumberFormat="1" applyAlignment="1">
      <alignment vertical="center"/>
    </xf>
    <xf numFmtId="41" fontId="3" fillId="0" borderId="0" xfId="1" applyFont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vertical="center"/>
    </xf>
    <xf numFmtId="0" fontId="8" fillId="0" borderId="9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6" fontId="27" fillId="0" borderId="0" xfId="0" applyNumberFormat="1" applyFont="1" applyFill="1" applyAlignment="1">
      <alignment vertical="center"/>
    </xf>
    <xf numFmtId="2" fontId="0" fillId="4" borderId="8" xfId="0" applyNumberFormat="1" applyFill="1" applyBorder="1" applyAlignment="1">
      <alignment horizontal="center" vertical="center"/>
    </xf>
    <xf numFmtId="166" fontId="27" fillId="7" borderId="0" xfId="0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0" fontId="28" fillId="7" borderId="0" xfId="0" applyFont="1" applyFill="1" applyAlignment="1">
      <alignment vertical="center"/>
    </xf>
    <xf numFmtId="0" fontId="12" fillId="7" borderId="0" xfId="0" applyFont="1" applyFill="1" applyAlignment="1">
      <alignment horizontal="center" vertical="center"/>
    </xf>
    <xf numFmtId="0" fontId="29" fillId="7" borderId="41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1" fillId="7" borderId="94" xfId="0" applyFont="1" applyFill="1" applyBorder="1" applyAlignment="1">
      <alignment horizontal="center" vertical="center"/>
    </xf>
    <xf numFmtId="166" fontId="3" fillId="7" borderId="80" xfId="1" applyNumberFormat="1" applyFont="1" applyFill="1" applyBorder="1" applyAlignment="1">
      <alignment horizontal="center" vertical="center"/>
    </xf>
    <xf numFmtId="166" fontId="3" fillId="7" borderId="58" xfId="1" applyNumberFormat="1" applyFont="1" applyFill="1" applyBorder="1" applyAlignment="1">
      <alignment horizontal="center" vertical="center"/>
    </xf>
    <xf numFmtId="166" fontId="3" fillId="7" borderId="67" xfId="1" applyNumberFormat="1" applyFont="1" applyFill="1" applyBorder="1" applyAlignment="1">
      <alignment horizontal="center" vertical="center"/>
    </xf>
    <xf numFmtId="166" fontId="5" fillId="7" borderId="95" xfId="1" applyNumberFormat="1" applyFont="1" applyFill="1" applyBorder="1" applyAlignment="1">
      <alignment horizontal="center" vertical="center"/>
    </xf>
    <xf numFmtId="9" fontId="8" fillId="8" borderId="0" xfId="0" applyNumberFormat="1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2" fontId="9" fillId="8" borderId="0" xfId="0" applyNumberFormat="1" applyFont="1" applyFill="1" applyAlignment="1">
      <alignment vertical="center"/>
    </xf>
    <xf numFmtId="10" fontId="9" fillId="8" borderId="0" xfId="4" applyNumberFormat="1" applyFont="1" applyFill="1" applyAlignment="1">
      <alignment vertical="center"/>
    </xf>
    <xf numFmtId="164" fontId="9" fillId="8" borderId="0" xfId="3" applyFont="1" applyFill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0" fillId="6" borderId="0" xfId="0" applyFill="1" applyAlignment="1">
      <alignment vertical="center"/>
    </xf>
    <xf numFmtId="164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7" fillId="0" borderId="130" xfId="0" applyFont="1" applyBorder="1" applyAlignment="1">
      <alignment horizontal="center" vertical="center"/>
    </xf>
    <xf numFmtId="0" fontId="17" fillId="0" borderId="131" xfId="0" applyFont="1" applyBorder="1" applyAlignment="1">
      <alignment horizontal="center" vertical="center"/>
    </xf>
    <xf numFmtId="0" fontId="17" fillId="0" borderId="132" xfId="0" applyFont="1" applyBorder="1" applyAlignment="1">
      <alignment horizontal="center" vertical="center"/>
    </xf>
    <xf numFmtId="0" fontId="17" fillId="0" borderId="133" xfId="0" applyFont="1" applyBorder="1" applyAlignment="1">
      <alignment horizontal="center" vertical="center"/>
    </xf>
    <xf numFmtId="0" fontId="17" fillId="0" borderId="134" xfId="0" applyFont="1" applyBorder="1" applyAlignment="1">
      <alignment horizontal="center" vertical="center"/>
    </xf>
    <xf numFmtId="0" fontId="17" fillId="0" borderId="135" xfId="0" applyFont="1" applyBorder="1" applyAlignment="1">
      <alignment horizontal="center" vertical="center"/>
    </xf>
    <xf numFmtId="0" fontId="17" fillId="0" borderId="136" xfId="0" applyFont="1" applyBorder="1" applyAlignment="1">
      <alignment horizontal="center" vertical="center"/>
    </xf>
    <xf numFmtId="0" fontId="17" fillId="0" borderId="137" xfId="0" applyFont="1" applyBorder="1" applyAlignment="1">
      <alignment horizontal="center" vertical="center"/>
    </xf>
    <xf numFmtId="0" fontId="17" fillId="0" borderId="138" xfId="0" applyFont="1" applyBorder="1" applyAlignment="1">
      <alignment horizontal="center" vertical="center"/>
    </xf>
    <xf numFmtId="0" fontId="17" fillId="0" borderId="139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17" fillId="0" borderId="58" xfId="0" applyFont="1" applyFill="1" applyBorder="1" applyAlignment="1">
      <alignment vertical="center"/>
    </xf>
    <xf numFmtId="0" fontId="0" fillId="9" borderId="0" xfId="0" applyFill="1" applyAlignment="1">
      <alignment vertical="center"/>
    </xf>
    <xf numFmtId="0" fontId="0" fillId="9" borderId="30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0" fillId="9" borderId="37" xfId="0" applyFill="1" applyBorder="1" applyAlignment="1">
      <alignment vertical="center"/>
    </xf>
    <xf numFmtId="0" fontId="0" fillId="9" borderId="31" xfId="0" applyFill="1" applyBorder="1" applyAlignment="1">
      <alignment vertical="center"/>
    </xf>
    <xf numFmtId="0" fontId="0" fillId="9" borderId="32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49" xfId="0" applyFill="1" applyBorder="1" applyAlignment="1">
      <alignment vertical="center"/>
    </xf>
    <xf numFmtId="0" fontId="5" fillId="9" borderId="33" xfId="0" applyFont="1" applyFill="1" applyBorder="1" applyAlignment="1">
      <alignment horizontal="center" vertical="center"/>
    </xf>
    <xf numFmtId="14" fontId="0" fillId="9" borderId="0" xfId="0" applyNumberFormat="1" applyFill="1" applyAlignment="1">
      <alignment vertical="center"/>
    </xf>
    <xf numFmtId="0" fontId="0" fillId="9" borderId="80" xfId="0" applyFill="1" applyBorder="1" applyAlignment="1">
      <alignment vertical="center"/>
    </xf>
    <xf numFmtId="0" fontId="0" fillId="9" borderId="96" xfId="0" applyFill="1" applyBorder="1" applyAlignment="1">
      <alignment vertical="center"/>
    </xf>
    <xf numFmtId="0" fontId="0" fillId="9" borderId="58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61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55" xfId="0" applyFill="1" applyBorder="1" applyAlignment="1">
      <alignment vertical="center"/>
    </xf>
    <xf numFmtId="0" fontId="0" fillId="9" borderId="56" xfId="0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10" fontId="3" fillId="6" borderId="37" xfId="4" applyNumberFormat="1" applyFont="1" applyFill="1" applyBorder="1" applyAlignment="1">
      <alignment horizontal="right" vertical="center"/>
    </xf>
    <xf numFmtId="10" fontId="3" fillId="6" borderId="38" xfId="4" applyNumberFormat="1" applyFont="1" applyFill="1" applyBorder="1" applyAlignment="1">
      <alignment horizontal="right" vertical="center"/>
    </xf>
    <xf numFmtId="10" fontId="3" fillId="6" borderId="49" xfId="4" applyNumberFormat="1" applyFont="1" applyFill="1" applyBorder="1" applyAlignment="1">
      <alignment horizontal="right" vertical="center"/>
    </xf>
    <xf numFmtId="0" fontId="8" fillId="6" borderId="33" xfId="0" applyFont="1" applyFill="1" applyBorder="1" applyAlignment="1">
      <alignment horizontal="right" vertical="center"/>
    </xf>
    <xf numFmtId="0" fontId="8" fillId="6" borderId="97" xfId="0" applyFont="1" applyFill="1" applyBorder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41" fontId="0" fillId="0" borderId="45" xfId="0" applyNumberFormat="1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98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 wrapText="1"/>
    </xf>
    <xf numFmtId="0" fontId="0" fillId="0" borderId="31" xfId="0" applyFill="1" applyBorder="1" applyAlignment="1">
      <alignment vertical="center"/>
    </xf>
    <xf numFmtId="10" fontId="3" fillId="0" borderId="38" xfId="4" applyNumberFormat="1" applyFont="1" applyFill="1" applyBorder="1" applyAlignment="1">
      <alignment horizontal="center" vertical="center"/>
    </xf>
    <xf numFmtId="164" fontId="3" fillId="0" borderId="10" xfId="3" applyFont="1" applyFill="1" applyBorder="1" applyAlignment="1">
      <alignment vertical="center"/>
    </xf>
    <xf numFmtId="166" fontId="3" fillId="0" borderId="10" xfId="1" applyNumberFormat="1" applyFont="1" applyFill="1" applyBorder="1" applyAlignment="1">
      <alignment vertical="center"/>
    </xf>
    <xf numFmtId="10" fontId="3" fillId="0" borderId="38" xfId="4" applyNumberFormat="1" applyFont="1" applyFill="1" applyBorder="1" applyAlignment="1">
      <alignment vertical="center"/>
    </xf>
    <xf numFmtId="166" fontId="3" fillId="0" borderId="10" xfId="1" applyNumberFormat="1" applyFont="1" applyFill="1" applyBorder="1" applyAlignment="1">
      <alignment horizontal="center" vertical="center"/>
    </xf>
    <xf numFmtId="0" fontId="22" fillId="0" borderId="127" xfId="0" applyFont="1" applyFill="1" applyBorder="1" applyAlignment="1">
      <alignment vertical="center"/>
    </xf>
    <xf numFmtId="164" fontId="23" fillId="0" borderId="6" xfId="3" applyFont="1" applyFill="1" applyBorder="1" applyAlignment="1">
      <alignment vertical="center"/>
    </xf>
    <xf numFmtId="164" fontId="23" fillId="0" borderId="5" xfId="3" applyFont="1" applyFill="1" applyBorder="1" applyAlignment="1">
      <alignment vertical="center"/>
    </xf>
    <xf numFmtId="164" fontId="23" fillId="0" borderId="41" xfId="3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2" borderId="33" xfId="0" applyFont="1" applyFill="1" applyBorder="1" applyAlignment="1">
      <alignment horizontal="center" vertical="center" textRotation="90"/>
    </xf>
    <xf numFmtId="0" fontId="23" fillId="2" borderId="99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35" xfId="0" applyFont="1" applyFill="1" applyBorder="1" applyAlignment="1">
      <alignment horizontal="center" vertical="center" wrapText="1"/>
    </xf>
    <xf numFmtId="0" fontId="25" fillId="2" borderId="100" xfId="0" applyFont="1" applyFill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center" vertical="center" wrapText="1"/>
    </xf>
    <xf numFmtId="0" fontId="23" fillId="2" borderId="97" xfId="0" applyFont="1" applyFill="1" applyBorder="1" applyAlignment="1">
      <alignment horizontal="center" vertical="center" wrapText="1"/>
    </xf>
    <xf numFmtId="0" fontId="0" fillId="4" borderId="7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164" fontId="3" fillId="0" borderId="101" xfId="3" applyFont="1" applyFill="1" applyBorder="1" applyAlignment="1">
      <alignment vertical="center"/>
    </xf>
    <xf numFmtId="41" fontId="3" fillId="4" borderId="45" xfId="1" applyFont="1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41" fontId="3" fillId="0" borderId="101" xfId="1" applyFont="1" applyFill="1" applyBorder="1" applyAlignment="1">
      <alignment vertical="center"/>
    </xf>
    <xf numFmtId="0" fontId="8" fillId="0" borderId="33" xfId="0" applyFont="1" applyFill="1" applyBorder="1" applyAlignment="1">
      <alignment horizontal="center" vertical="center" wrapText="1"/>
    </xf>
    <xf numFmtId="0" fontId="8" fillId="0" borderId="102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0" xfId="0" applyFill="1" applyBorder="1" applyAlignment="1">
      <alignment vertical="center" wrapText="1"/>
    </xf>
    <xf numFmtId="0" fontId="0" fillId="0" borderId="30" xfId="0" applyFill="1" applyBorder="1" applyAlignment="1">
      <alignment vertical="center"/>
    </xf>
    <xf numFmtId="0" fontId="0" fillId="0" borderId="32" xfId="0" applyFill="1" applyBorder="1" applyAlignment="1">
      <alignment vertical="center" wrapText="1"/>
    </xf>
    <xf numFmtId="164" fontId="0" fillId="0" borderId="49" xfId="0" applyNumberFormat="1" applyFill="1" applyBorder="1" applyAlignment="1">
      <alignment horizontal="center" vertical="center"/>
    </xf>
    <xf numFmtId="0" fontId="8" fillId="0" borderId="33" xfId="0" applyFont="1" applyFill="1" applyBorder="1" applyAlignment="1">
      <alignment vertical="center"/>
    </xf>
    <xf numFmtId="0" fontId="0" fillId="4" borderId="37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166" fontId="3" fillId="0" borderId="6" xfId="1" applyNumberFormat="1" applyFont="1" applyFill="1" applyBorder="1" applyAlignment="1">
      <alignment vertical="center"/>
    </xf>
    <xf numFmtId="166" fontId="3" fillId="0" borderId="5" xfId="1" applyNumberFormat="1" applyFont="1" applyFill="1" applyBorder="1" applyAlignment="1">
      <alignment vertical="center"/>
    </xf>
    <xf numFmtId="166" fontId="3" fillId="0" borderId="41" xfId="1" applyNumberFormat="1" applyFont="1" applyFill="1" applyBorder="1" applyAlignment="1">
      <alignment vertical="center"/>
    </xf>
    <xf numFmtId="166" fontId="3" fillId="0" borderId="103" xfId="1" applyNumberFormat="1" applyFont="1" applyFill="1" applyBorder="1" applyAlignment="1">
      <alignment vertical="center"/>
    </xf>
    <xf numFmtId="166" fontId="3" fillId="0" borderId="48" xfId="1" applyNumberFormat="1" applyFont="1" applyFill="1" applyBorder="1" applyAlignment="1">
      <alignment vertical="center"/>
    </xf>
    <xf numFmtId="166" fontId="3" fillId="4" borderId="104" xfId="1" applyNumberFormat="1" applyFont="1" applyFill="1" applyBorder="1" applyAlignment="1">
      <alignment vertical="center"/>
    </xf>
    <xf numFmtId="166" fontId="3" fillId="4" borderId="105" xfId="1" applyNumberFormat="1" applyFont="1" applyFill="1" applyBorder="1" applyAlignment="1">
      <alignment vertical="center"/>
    </xf>
    <xf numFmtId="166" fontId="3" fillId="0" borderId="105" xfId="1" applyNumberFormat="1" applyFont="1" applyFill="1" applyBorder="1" applyAlignment="1">
      <alignment vertical="center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164" fontId="6" fillId="4" borderId="0" xfId="3" applyFont="1" applyFill="1" applyAlignment="1">
      <alignment vertical="center"/>
    </xf>
    <xf numFmtId="167" fontId="24" fillId="6" borderId="18" xfId="3" applyNumberFormat="1" applyFont="1" applyFill="1" applyBorder="1" applyAlignment="1">
      <alignment horizontal="center" vertical="center"/>
    </xf>
    <xf numFmtId="167" fontId="24" fillId="6" borderId="5" xfId="3" applyNumberFormat="1" applyFont="1" applyFill="1" applyBorder="1" applyAlignment="1">
      <alignment horizontal="center" vertical="center"/>
    </xf>
    <xf numFmtId="165" fontId="3" fillId="0" borderId="0" xfId="2" applyFont="1" applyFill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horizontal="left" vertical="center"/>
    </xf>
    <xf numFmtId="167" fontId="24" fillId="2" borderId="16" xfId="3" applyNumberFormat="1" applyFont="1" applyFill="1" applyBorder="1" applyAlignment="1">
      <alignment horizontal="center" vertical="center"/>
    </xf>
    <xf numFmtId="167" fontId="24" fillId="2" borderId="6" xfId="3" applyNumberFormat="1" applyFont="1" applyFill="1" applyBorder="1" applyAlignment="1">
      <alignment horizontal="center" vertical="center"/>
    </xf>
    <xf numFmtId="167" fontId="24" fillId="2" borderId="17" xfId="3" applyNumberFormat="1" applyFont="1" applyFill="1" applyBorder="1" applyAlignment="1">
      <alignment horizontal="center" vertical="center"/>
    </xf>
    <xf numFmtId="167" fontId="24" fillId="6" borderId="19" xfId="3" applyNumberFormat="1" applyFont="1" applyFill="1" applyBorder="1" applyAlignment="1">
      <alignment horizontal="center" vertical="center"/>
    </xf>
    <xf numFmtId="167" fontId="24" fillId="2" borderId="18" xfId="3" applyNumberFormat="1" applyFont="1" applyFill="1" applyBorder="1" applyAlignment="1">
      <alignment horizontal="center" vertical="center"/>
    </xf>
    <xf numFmtId="167" fontId="24" fillId="2" borderId="5" xfId="3" applyNumberFormat="1" applyFont="1" applyFill="1" applyBorder="1" applyAlignment="1">
      <alignment horizontal="center" vertical="center"/>
    </xf>
    <xf numFmtId="167" fontId="24" fillId="2" borderId="19" xfId="3" applyNumberFormat="1" applyFont="1" applyFill="1" applyBorder="1" applyAlignment="1">
      <alignment horizontal="center" vertical="center"/>
    </xf>
    <xf numFmtId="167" fontId="24" fillId="6" borderId="20" xfId="3" applyNumberFormat="1" applyFont="1" applyFill="1" applyBorder="1" applyAlignment="1">
      <alignment horizontal="center" vertical="center"/>
    </xf>
    <xf numFmtId="167" fontId="24" fillId="6" borderId="10" xfId="3" applyNumberFormat="1" applyFont="1" applyFill="1" applyBorder="1" applyAlignment="1">
      <alignment horizontal="center" vertical="center"/>
    </xf>
    <xf numFmtId="167" fontId="24" fillId="6" borderId="21" xfId="3" applyNumberFormat="1" applyFont="1" applyFill="1" applyBorder="1" applyAlignment="1">
      <alignment horizontal="center" vertical="center"/>
    </xf>
    <xf numFmtId="0" fontId="17" fillId="10" borderId="0" xfId="0" applyFont="1" applyFill="1" applyAlignment="1">
      <alignment vertical="center"/>
    </xf>
    <xf numFmtId="0" fontId="17" fillId="10" borderId="0" xfId="0" applyFont="1" applyFill="1" applyAlignment="1">
      <alignment horizontal="right" vertical="center"/>
    </xf>
    <xf numFmtId="164" fontId="18" fillId="10" borderId="0" xfId="3" applyFont="1" applyFill="1" applyAlignment="1">
      <alignment vertical="center"/>
    </xf>
    <xf numFmtId="0" fontId="19" fillId="0" borderId="103" xfId="0" applyFont="1" applyBorder="1" applyAlignment="1">
      <alignment horizontal="center" vertical="center" wrapText="1"/>
    </xf>
    <xf numFmtId="164" fontId="17" fillId="0" borderId="45" xfId="3" applyFont="1" applyBorder="1" applyAlignment="1">
      <alignment vertical="center"/>
    </xf>
    <xf numFmtId="164" fontId="18" fillId="6" borderId="106" xfId="3" applyFont="1" applyFill="1" applyBorder="1" applyAlignment="1">
      <alignment vertical="center"/>
    </xf>
    <xf numFmtId="164" fontId="18" fillId="0" borderId="105" xfId="3" applyFont="1" applyBorder="1" applyAlignment="1">
      <alignment vertical="center"/>
    </xf>
    <xf numFmtId="164" fontId="18" fillId="6" borderId="105" xfId="3" applyFont="1" applyFill="1" applyBorder="1" applyAlignment="1">
      <alignment vertical="center"/>
    </xf>
    <xf numFmtId="164" fontId="17" fillId="0" borderId="105" xfId="3" applyFont="1" applyBorder="1" applyAlignment="1">
      <alignment vertical="center"/>
    </xf>
    <xf numFmtId="164" fontId="17" fillId="0" borderId="101" xfId="3" applyFont="1" applyBorder="1" applyAlignment="1">
      <alignment vertical="center"/>
    </xf>
    <xf numFmtId="166" fontId="6" fillId="0" borderId="32" xfId="1" applyNumberFormat="1" applyFont="1" applyFill="1" applyBorder="1" applyAlignment="1">
      <alignment vertical="center"/>
    </xf>
    <xf numFmtId="166" fontId="6" fillId="0" borderId="6" xfId="1" applyNumberFormat="1" applyFont="1" applyFill="1" applyBorder="1" applyAlignment="1">
      <alignment vertical="center"/>
    </xf>
    <xf numFmtId="166" fontId="6" fillId="0" borderId="49" xfId="1" applyNumberFormat="1" applyFont="1" applyFill="1" applyBorder="1" applyAlignment="1">
      <alignment vertical="center"/>
    </xf>
    <xf numFmtId="166" fontId="6" fillId="0" borderId="30" xfId="1" applyNumberFormat="1" applyFont="1" applyFill="1" applyBorder="1" applyAlignment="1">
      <alignment vertical="center"/>
    </xf>
    <xf numFmtId="166" fontId="6" fillId="0" borderId="5" xfId="1" applyNumberFormat="1" applyFont="1" applyFill="1" applyBorder="1" applyAlignment="1">
      <alignment vertical="center"/>
    </xf>
    <xf numFmtId="166" fontId="6" fillId="0" borderId="37" xfId="1" applyNumberFormat="1" applyFont="1" applyFill="1" applyBorder="1" applyAlignment="1">
      <alignment vertical="center"/>
    </xf>
    <xf numFmtId="166" fontId="6" fillId="0" borderId="31" xfId="1" applyNumberFormat="1" applyFont="1" applyFill="1" applyBorder="1" applyAlignment="1">
      <alignment vertical="center"/>
    </xf>
    <xf numFmtId="166" fontId="6" fillId="0" borderId="10" xfId="1" applyNumberFormat="1" applyFont="1" applyFill="1" applyBorder="1" applyAlignment="1">
      <alignment vertical="center"/>
    </xf>
    <xf numFmtId="166" fontId="6" fillId="0" borderId="38" xfId="1" applyNumberFormat="1" applyFont="1" applyFill="1" applyBorder="1" applyAlignment="1">
      <alignment vertical="center"/>
    </xf>
    <xf numFmtId="166" fontId="3" fillId="0" borderId="49" xfId="1" applyNumberFormat="1" applyFont="1" applyFill="1" applyBorder="1" applyAlignment="1">
      <alignment vertical="center"/>
    </xf>
    <xf numFmtId="166" fontId="3" fillId="0" borderId="37" xfId="1" applyNumberFormat="1" applyFont="1" applyFill="1" applyBorder="1" applyAlignment="1">
      <alignment vertical="center"/>
    </xf>
    <xf numFmtId="166" fontId="3" fillId="0" borderId="38" xfId="1" applyNumberFormat="1" applyFont="1" applyFill="1" applyBorder="1" applyAlignment="1">
      <alignment vertical="center"/>
    </xf>
    <xf numFmtId="0" fontId="0" fillId="0" borderId="32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43" fontId="3" fillId="3" borderId="0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29" fillId="0" borderId="18" xfId="0" applyFont="1" applyFill="1" applyBorder="1" applyAlignment="1">
      <alignment horizontal="center" vertical="center"/>
    </xf>
    <xf numFmtId="167" fontId="24" fillId="10" borderId="20" xfId="3" applyNumberFormat="1" applyFont="1" applyFill="1" applyBorder="1" applyAlignment="1">
      <alignment horizontal="center" vertical="center"/>
    </xf>
    <xf numFmtId="167" fontId="24" fillId="10" borderId="10" xfId="3" applyNumberFormat="1" applyFont="1" applyFill="1" applyBorder="1" applyAlignment="1">
      <alignment horizontal="center" vertical="center"/>
    </xf>
    <xf numFmtId="9" fontId="17" fillId="0" borderId="58" xfId="0" applyNumberFormat="1" applyFont="1" applyFill="1" applyBorder="1" applyAlignment="1">
      <alignment vertical="center"/>
    </xf>
    <xf numFmtId="43" fontId="17" fillId="0" borderId="8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9" fontId="30" fillId="0" borderId="23" xfId="0" applyNumberFormat="1" applyFont="1" applyFill="1" applyBorder="1" applyAlignment="1">
      <alignment horizontal="center" vertical="center"/>
    </xf>
    <xf numFmtId="9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2" fontId="31" fillId="0" borderId="0" xfId="0" applyNumberFormat="1" applyFont="1" applyFill="1" applyAlignment="1">
      <alignment vertical="center"/>
    </xf>
    <xf numFmtId="10" fontId="31" fillId="0" borderId="0" xfId="4" applyNumberFormat="1" applyFont="1" applyFill="1" applyAlignment="1">
      <alignment vertical="center"/>
    </xf>
    <xf numFmtId="164" fontId="31" fillId="0" borderId="0" xfId="3" applyFont="1" applyFill="1" applyAlignment="1">
      <alignment vertical="center"/>
    </xf>
    <xf numFmtId="0" fontId="4" fillId="0" borderId="0" xfId="0" applyFont="1" applyFill="1"/>
    <xf numFmtId="0" fontId="32" fillId="0" borderId="0" xfId="0" applyFont="1" applyFill="1" applyAlignment="1">
      <alignment vertical="center"/>
    </xf>
    <xf numFmtId="43" fontId="3" fillId="0" borderId="0" xfId="5" applyFont="1" applyFill="1" applyAlignment="1">
      <alignment vertical="center"/>
    </xf>
    <xf numFmtId="0" fontId="33" fillId="0" borderId="70" xfId="0" applyFont="1" applyFill="1" applyBorder="1" applyAlignment="1">
      <alignment horizontal="center" vertical="center" wrapText="1"/>
    </xf>
    <xf numFmtId="0" fontId="33" fillId="0" borderId="107" xfId="0" applyFont="1" applyFill="1" applyBorder="1" applyAlignment="1">
      <alignment horizontal="center" vertical="center" wrapText="1"/>
    </xf>
    <xf numFmtId="0" fontId="12" fillId="0" borderId="108" xfId="0" applyFont="1" applyFill="1" applyBorder="1" applyAlignment="1">
      <alignment horizontal="center" vertical="center" wrapText="1"/>
    </xf>
    <xf numFmtId="0" fontId="12" fillId="0" borderId="109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9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0" fillId="9" borderId="0" xfId="0" applyFill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78" xfId="0" applyFont="1" applyBorder="1" applyAlignment="1">
      <alignment horizontal="center" vertical="center"/>
    </xf>
    <xf numFmtId="0" fontId="19" fillId="0" borderId="110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9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right" vertical="center"/>
    </xf>
    <xf numFmtId="0" fontId="0" fillId="0" borderId="6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8" fillId="0" borderId="111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5" fillId="9" borderId="99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6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0" fillId="0" borderId="6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right" vertical="center"/>
    </xf>
    <xf numFmtId="0" fontId="8" fillId="0" borderId="111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0" fontId="0" fillId="0" borderId="112" xfId="0" applyFill="1" applyBorder="1" applyAlignment="1">
      <alignment horizontal="left" vertical="center" wrapText="1"/>
    </xf>
    <xf numFmtId="0" fontId="0" fillId="0" borderId="113" xfId="0" applyFill="1" applyBorder="1" applyAlignment="1">
      <alignment horizontal="left" vertical="center" wrapText="1"/>
    </xf>
    <xf numFmtId="0" fontId="0" fillId="0" borderId="56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167" fontId="3" fillId="0" borderId="0" xfId="3" applyNumberFormat="1" applyFont="1" applyFill="1" applyAlignment="1">
      <alignment horizontal="center" vertical="center"/>
    </xf>
    <xf numFmtId="0" fontId="0" fillId="2" borderId="65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167" fontId="10" fillId="3" borderId="0" xfId="3" applyNumberFormat="1" applyFont="1" applyFill="1" applyBorder="1" applyAlignment="1">
      <alignment horizontal="center" vertical="center"/>
    </xf>
    <xf numFmtId="167" fontId="5" fillId="3" borderId="0" xfId="3" applyNumberFormat="1" applyFont="1" applyFill="1" applyBorder="1" applyAlignment="1">
      <alignment horizontal="center" vertical="center"/>
    </xf>
    <xf numFmtId="167" fontId="5" fillId="0" borderId="0" xfId="3" applyNumberFormat="1" applyFont="1" applyFill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0" fillId="0" borderId="6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65" xfId="0" applyFill="1" applyBorder="1" applyAlignment="1">
      <alignment horizontal="left" vertical="center"/>
    </xf>
    <xf numFmtId="0" fontId="29" fillId="0" borderId="65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6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57" xfId="0" applyFont="1" applyFill="1" applyBorder="1" applyAlignment="1">
      <alignment horizontal="center" vertical="center" wrapText="1"/>
    </xf>
    <xf numFmtId="0" fontId="5" fillId="9" borderId="35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9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96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64" fontId="0" fillId="0" borderId="116" xfId="0" applyNumberFormat="1" applyFill="1" applyBorder="1" applyAlignment="1">
      <alignment horizontal="center" vertical="center"/>
    </xf>
    <xf numFmtId="164" fontId="0" fillId="0" borderId="117" xfId="0" applyNumberFormat="1" applyFill="1" applyBorder="1" applyAlignment="1">
      <alignment horizontal="center" vertical="center"/>
    </xf>
    <xf numFmtId="166" fontId="3" fillId="0" borderId="103" xfId="1" applyNumberFormat="1" applyFont="1" applyFill="1" applyBorder="1" applyAlignment="1">
      <alignment horizontal="center" vertical="center"/>
    </xf>
    <xf numFmtId="166" fontId="3" fillId="0" borderId="115" xfId="1" applyNumberFormat="1" applyFont="1" applyFill="1" applyBorder="1" applyAlignment="1">
      <alignment horizontal="center" vertical="center"/>
    </xf>
    <xf numFmtId="166" fontId="3" fillId="4" borderId="103" xfId="1" applyNumberFormat="1" applyFont="1" applyFill="1" applyBorder="1" applyAlignment="1">
      <alignment horizontal="center" vertical="center"/>
    </xf>
    <xf numFmtId="166" fontId="3" fillId="4" borderId="115" xfId="1" applyNumberFormat="1" applyFont="1" applyFill="1" applyBorder="1" applyAlignment="1">
      <alignment horizontal="center" vertical="center"/>
    </xf>
    <xf numFmtId="166" fontId="3" fillId="4" borderId="34" xfId="1" applyNumberFormat="1" applyFont="1" applyFill="1" applyBorder="1" applyAlignment="1">
      <alignment horizontal="center" vertical="center"/>
    </xf>
    <xf numFmtId="166" fontId="3" fillId="0" borderId="34" xfId="1" applyNumberFormat="1" applyFont="1" applyFill="1" applyBorder="1" applyAlignment="1">
      <alignment horizontal="center" vertical="center"/>
    </xf>
    <xf numFmtId="0" fontId="0" fillId="0" borderId="103" xfId="0" applyFill="1" applyBorder="1" applyAlignment="1">
      <alignment horizontal="center" vertical="center" wrapText="1"/>
    </xf>
    <xf numFmtId="0" fontId="0" fillId="0" borderId="115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6" xfId="0" applyFill="1" applyBorder="1" applyAlignment="1">
      <alignment horizontal="center" vertical="center"/>
    </xf>
    <xf numFmtId="0" fontId="0" fillId="0" borderId="11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5" fillId="0" borderId="118" xfId="0" applyFont="1" applyBorder="1" applyAlignment="1">
      <alignment horizontal="center" vertical="center"/>
    </xf>
    <xf numFmtId="0" fontId="5" fillId="0" borderId="119" xfId="0" applyFont="1" applyBorder="1" applyAlignment="1">
      <alignment horizontal="center" vertical="center"/>
    </xf>
    <xf numFmtId="0" fontId="5" fillId="0" borderId="120" xfId="0" applyFont="1" applyBorder="1" applyAlignment="1">
      <alignment horizontal="center" vertical="center"/>
    </xf>
    <xf numFmtId="0" fontId="5" fillId="0" borderId="121" xfId="0" applyFont="1" applyBorder="1" applyAlignment="1">
      <alignment horizontal="center" vertical="center"/>
    </xf>
    <xf numFmtId="0" fontId="14" fillId="0" borderId="108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2" xfId="0" applyFont="1" applyFill="1" applyBorder="1" applyAlignment="1">
      <alignment horizontal="center" vertical="center"/>
    </xf>
    <xf numFmtId="0" fontId="8" fillId="0" borderId="123" xfId="0" applyFont="1" applyFill="1" applyBorder="1" applyAlignment="1">
      <alignment horizontal="center" vertical="center"/>
    </xf>
    <xf numFmtId="0" fontId="8" fillId="0" borderId="124" xfId="0" applyFont="1" applyFill="1" applyBorder="1" applyAlignment="1">
      <alignment horizontal="center" vertical="center"/>
    </xf>
    <xf numFmtId="0" fontId="8" fillId="0" borderId="125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0" fontId="8" fillId="0" borderId="126" xfId="0" applyFont="1" applyFill="1" applyBorder="1" applyAlignment="1">
      <alignment horizontal="center" vertical="center"/>
    </xf>
    <xf numFmtId="0" fontId="8" fillId="0" borderId="107" xfId="0" applyFont="1" applyFill="1" applyBorder="1" applyAlignment="1">
      <alignment horizontal="center" vertical="center"/>
    </xf>
    <xf numFmtId="0" fontId="27" fillId="7" borderId="0" xfId="0" applyFont="1" applyFill="1" applyAlignment="1">
      <alignment horizontal="right" vertical="center"/>
    </xf>
  </cellXfs>
  <cellStyles count="6">
    <cellStyle name="Millares" xfId="5" builtinId="3"/>
    <cellStyle name="Millares [0]" xfId="1" builtinId="6"/>
    <cellStyle name="Moneda" xfId="2" builtinId="4"/>
    <cellStyle name="Moneda [0]" xfId="3" builtinId="7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15</xdr:row>
      <xdr:rowOff>28575</xdr:rowOff>
    </xdr:from>
    <xdr:to>
      <xdr:col>4</xdr:col>
      <xdr:colOff>381000</xdr:colOff>
      <xdr:row>23</xdr:row>
      <xdr:rowOff>95250</xdr:rowOff>
    </xdr:to>
    <xdr:pic>
      <xdr:nvPicPr>
        <xdr:cNvPr id="8423" name="Imagen 1">
          <a:extLst>
            <a:ext uri="{FF2B5EF4-FFF2-40B4-BE49-F238E27FC236}">
              <a16:creationId xmlns:a16="http://schemas.microsoft.com/office/drawing/2014/main" id="{27919742-DA4A-49CC-BF53-05617985E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00475"/>
          <a:ext cx="350520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6818" name="Imagen 2">
          <a:extLst>
            <a:ext uri="{FF2B5EF4-FFF2-40B4-BE49-F238E27FC236}">
              <a16:creationId xmlns:a16="http://schemas.microsoft.com/office/drawing/2014/main" id="{FD6E05DD-97E9-4036-A148-9F6BF2BA7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7842" name="Imagen 2">
          <a:extLst>
            <a:ext uri="{FF2B5EF4-FFF2-40B4-BE49-F238E27FC236}">
              <a16:creationId xmlns:a16="http://schemas.microsoft.com/office/drawing/2014/main" id="{52C54F9F-4EB0-4C16-A1F8-28C50B56C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8866" name="Imagen 2">
          <a:extLst>
            <a:ext uri="{FF2B5EF4-FFF2-40B4-BE49-F238E27FC236}">
              <a16:creationId xmlns:a16="http://schemas.microsoft.com/office/drawing/2014/main" id="{BFB61A40-048F-41FD-9F2F-A897EFDC2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19890" name="Imagen 2">
          <a:extLst>
            <a:ext uri="{FF2B5EF4-FFF2-40B4-BE49-F238E27FC236}">
              <a16:creationId xmlns:a16="http://schemas.microsoft.com/office/drawing/2014/main" id="{2ABB44D2-BAF4-4B33-AD3B-ABCF580C8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0914" name="Imagen 2">
          <a:extLst>
            <a:ext uri="{FF2B5EF4-FFF2-40B4-BE49-F238E27FC236}">
              <a16:creationId xmlns:a16="http://schemas.microsoft.com/office/drawing/2014/main" id="{B20E7EC0-F43F-47D3-B661-5A0065C69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1938" name="Imagen 2">
          <a:extLst>
            <a:ext uri="{FF2B5EF4-FFF2-40B4-BE49-F238E27FC236}">
              <a16:creationId xmlns:a16="http://schemas.microsoft.com/office/drawing/2014/main" id="{6EB67F82-C02B-4686-A00E-D52CE7EF1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2962" name="Imagen 2">
          <a:extLst>
            <a:ext uri="{FF2B5EF4-FFF2-40B4-BE49-F238E27FC236}">
              <a16:creationId xmlns:a16="http://schemas.microsoft.com/office/drawing/2014/main" id="{1CC7761D-436B-452A-8887-0559FE8BC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3987" name="Imagen 1">
          <a:extLst>
            <a:ext uri="{FF2B5EF4-FFF2-40B4-BE49-F238E27FC236}">
              <a16:creationId xmlns:a16="http://schemas.microsoft.com/office/drawing/2014/main" id="{7D33186B-FD4F-4244-8523-41F7040315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3988" name="Imagen 2">
          <a:extLst>
            <a:ext uri="{FF2B5EF4-FFF2-40B4-BE49-F238E27FC236}">
              <a16:creationId xmlns:a16="http://schemas.microsoft.com/office/drawing/2014/main" id="{BCCFE908-844B-47ED-9832-420B62317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5011" name="Imagen 1">
          <a:extLst>
            <a:ext uri="{FF2B5EF4-FFF2-40B4-BE49-F238E27FC236}">
              <a16:creationId xmlns:a16="http://schemas.microsoft.com/office/drawing/2014/main" id="{20B1FAE1-B830-47F1-9C16-9FAEEE8D0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5012" name="Imagen 2">
          <a:extLst>
            <a:ext uri="{FF2B5EF4-FFF2-40B4-BE49-F238E27FC236}">
              <a16:creationId xmlns:a16="http://schemas.microsoft.com/office/drawing/2014/main" id="{946765FD-636D-495A-99D8-B5321082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6035" name="Imagen 1">
          <a:extLst>
            <a:ext uri="{FF2B5EF4-FFF2-40B4-BE49-F238E27FC236}">
              <a16:creationId xmlns:a16="http://schemas.microsoft.com/office/drawing/2014/main" id="{E7CBBA37-3710-490C-B3F1-787D1AEDD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6036" name="Imagen 2">
          <a:extLst>
            <a:ext uri="{FF2B5EF4-FFF2-40B4-BE49-F238E27FC236}">
              <a16:creationId xmlns:a16="http://schemas.microsoft.com/office/drawing/2014/main" id="{4D41BBD7-AE33-42B2-B2C7-378CB03C3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4</xdr:row>
      <xdr:rowOff>171450</xdr:rowOff>
    </xdr:from>
    <xdr:to>
      <xdr:col>17</xdr:col>
      <xdr:colOff>514350</xdr:colOff>
      <xdr:row>9</xdr:row>
      <xdr:rowOff>28575</xdr:rowOff>
    </xdr:to>
    <xdr:pic>
      <xdr:nvPicPr>
        <xdr:cNvPr id="14567" name="Imagen 1">
          <a:extLst>
            <a:ext uri="{FF2B5EF4-FFF2-40B4-BE49-F238E27FC236}">
              <a16:creationId xmlns:a16="http://schemas.microsoft.com/office/drawing/2014/main" id="{BED3D957-ACD6-44CC-99EE-D025303F3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5575" y="933450"/>
          <a:ext cx="35052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21</xdr:col>
      <xdr:colOff>104775</xdr:colOff>
      <xdr:row>41</xdr:row>
      <xdr:rowOff>85725</xdr:rowOff>
    </xdr:to>
    <xdr:pic>
      <xdr:nvPicPr>
        <xdr:cNvPr id="27059" name="Imagen 1">
          <a:extLst>
            <a:ext uri="{FF2B5EF4-FFF2-40B4-BE49-F238E27FC236}">
              <a16:creationId xmlns:a16="http://schemas.microsoft.com/office/drawing/2014/main" id="{6CE7528A-2FC1-44E7-8A49-3F14E7DC4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2025" y="7562850"/>
          <a:ext cx="9629775" cy="160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27060" name="Imagen 2">
          <a:extLst>
            <a:ext uri="{FF2B5EF4-FFF2-40B4-BE49-F238E27FC236}">
              <a16:creationId xmlns:a16="http://schemas.microsoft.com/office/drawing/2014/main" id="{192887FE-0554-46EF-8DBD-3CC7746F9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0</xdr:row>
      <xdr:rowOff>104775</xdr:rowOff>
    </xdr:from>
    <xdr:to>
      <xdr:col>1</xdr:col>
      <xdr:colOff>3562350</xdr:colOff>
      <xdr:row>5</xdr:row>
      <xdr:rowOff>180975</xdr:rowOff>
    </xdr:to>
    <xdr:pic>
      <xdr:nvPicPr>
        <xdr:cNvPr id="15592" name="Imagen 1">
          <a:extLst>
            <a:ext uri="{FF2B5EF4-FFF2-40B4-BE49-F238E27FC236}">
              <a16:creationId xmlns:a16="http://schemas.microsoft.com/office/drawing/2014/main" id="{735F8F0B-F415-445B-9CD1-666DC76C9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104775"/>
          <a:ext cx="30003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95</xdr:row>
      <xdr:rowOff>0</xdr:rowOff>
    </xdr:from>
    <xdr:to>
      <xdr:col>3</xdr:col>
      <xdr:colOff>638175</xdr:colOff>
      <xdr:row>105</xdr:row>
      <xdr:rowOff>9525</xdr:rowOff>
    </xdr:to>
    <xdr:pic>
      <xdr:nvPicPr>
        <xdr:cNvPr id="1805" name="Imagen 4">
          <a:extLst>
            <a:ext uri="{FF2B5EF4-FFF2-40B4-BE49-F238E27FC236}">
              <a16:creationId xmlns:a16="http://schemas.microsoft.com/office/drawing/2014/main" id="{8964E4E0-4A43-4E1E-8417-F800301D2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669875"/>
          <a:ext cx="6010275" cy="2333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1</xdr:row>
      <xdr:rowOff>238125</xdr:rowOff>
    </xdr:from>
    <xdr:to>
      <xdr:col>0</xdr:col>
      <xdr:colOff>3086100</xdr:colOff>
      <xdr:row>4</xdr:row>
      <xdr:rowOff>66675</xdr:rowOff>
    </xdr:to>
    <xdr:pic>
      <xdr:nvPicPr>
        <xdr:cNvPr id="1806" name="Imagen 6">
          <a:extLst>
            <a:ext uri="{FF2B5EF4-FFF2-40B4-BE49-F238E27FC236}">
              <a16:creationId xmlns:a16="http://schemas.microsoft.com/office/drawing/2014/main" id="{92BC677F-15EA-48E8-81F2-200D1504C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22</xdr:row>
      <xdr:rowOff>28575</xdr:rowOff>
    </xdr:from>
    <xdr:to>
      <xdr:col>8</xdr:col>
      <xdr:colOff>628650</xdr:colOff>
      <xdr:row>24</xdr:row>
      <xdr:rowOff>180975</xdr:rowOff>
    </xdr:to>
    <xdr:pic>
      <xdr:nvPicPr>
        <xdr:cNvPr id="11728" name="Imagen 1">
          <a:extLst>
            <a:ext uri="{FF2B5EF4-FFF2-40B4-BE49-F238E27FC236}">
              <a16:creationId xmlns:a16="http://schemas.microsoft.com/office/drawing/2014/main" id="{6F7A2789-2757-448D-A6F1-A2AB53A1D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4486275"/>
          <a:ext cx="35052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1</xdr:row>
      <xdr:rowOff>19050</xdr:rowOff>
    </xdr:from>
    <xdr:to>
      <xdr:col>5</xdr:col>
      <xdr:colOff>762000</xdr:colOff>
      <xdr:row>4</xdr:row>
      <xdr:rowOff>9525</xdr:rowOff>
    </xdr:to>
    <xdr:pic>
      <xdr:nvPicPr>
        <xdr:cNvPr id="3304" name="Imagen 1">
          <a:extLst>
            <a:ext uri="{FF2B5EF4-FFF2-40B4-BE49-F238E27FC236}">
              <a16:creationId xmlns:a16="http://schemas.microsoft.com/office/drawing/2014/main" id="{8BA66F5F-5D1D-409D-B570-52A228C5B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09550"/>
          <a:ext cx="26193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161925</xdr:rowOff>
    </xdr:from>
    <xdr:to>
      <xdr:col>0</xdr:col>
      <xdr:colOff>2962275</xdr:colOff>
      <xdr:row>6</xdr:row>
      <xdr:rowOff>171450</xdr:rowOff>
    </xdr:to>
    <xdr:pic>
      <xdr:nvPicPr>
        <xdr:cNvPr id="2280" name="Imagen 1">
          <a:extLst>
            <a:ext uri="{FF2B5EF4-FFF2-40B4-BE49-F238E27FC236}">
              <a16:creationId xmlns:a16="http://schemas.microsoft.com/office/drawing/2014/main" id="{A4B17CC2-55A1-4FA3-A627-C82426FF2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42925"/>
          <a:ext cx="28860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47625</xdr:rowOff>
    </xdr:from>
    <xdr:to>
      <xdr:col>2</xdr:col>
      <xdr:colOff>1066800</xdr:colOff>
      <xdr:row>2</xdr:row>
      <xdr:rowOff>142875</xdr:rowOff>
    </xdr:to>
    <xdr:pic>
      <xdr:nvPicPr>
        <xdr:cNvPr id="10472" name="Imagen 2">
          <a:extLst>
            <a:ext uri="{FF2B5EF4-FFF2-40B4-BE49-F238E27FC236}">
              <a16:creationId xmlns:a16="http://schemas.microsoft.com/office/drawing/2014/main" id="{402C1B1F-8DEF-4026-A77D-07EBDAF48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7625"/>
          <a:ext cx="35909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</xdr:row>
      <xdr:rowOff>180975</xdr:rowOff>
    </xdr:from>
    <xdr:to>
      <xdr:col>0</xdr:col>
      <xdr:colOff>3248025</xdr:colOff>
      <xdr:row>4</xdr:row>
      <xdr:rowOff>142875</xdr:rowOff>
    </xdr:to>
    <xdr:pic>
      <xdr:nvPicPr>
        <xdr:cNvPr id="13544" name="Imagen 1">
          <a:extLst>
            <a:ext uri="{FF2B5EF4-FFF2-40B4-BE49-F238E27FC236}">
              <a16:creationId xmlns:a16="http://schemas.microsoft.com/office/drawing/2014/main" id="{FA408072-2755-4512-B6D0-190BA7AE7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7147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</xdr:row>
      <xdr:rowOff>66675</xdr:rowOff>
    </xdr:from>
    <xdr:to>
      <xdr:col>0</xdr:col>
      <xdr:colOff>3438525</xdr:colOff>
      <xdr:row>5</xdr:row>
      <xdr:rowOff>38100</xdr:rowOff>
    </xdr:to>
    <xdr:pic>
      <xdr:nvPicPr>
        <xdr:cNvPr id="9716" name="Imagen 2">
          <a:extLst>
            <a:ext uri="{FF2B5EF4-FFF2-40B4-BE49-F238E27FC236}">
              <a16:creationId xmlns:a16="http://schemas.microsoft.com/office/drawing/2014/main" id="{5BD62D7A-E60D-478E-B893-9C3C0656A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47675"/>
          <a:ext cx="30003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57150</xdr:rowOff>
    </xdr:from>
    <xdr:to>
      <xdr:col>0</xdr:col>
      <xdr:colOff>3381375</xdr:colOff>
      <xdr:row>5</xdr:row>
      <xdr:rowOff>19050</xdr:rowOff>
    </xdr:to>
    <xdr:pic>
      <xdr:nvPicPr>
        <xdr:cNvPr id="5618" name="Imagen 2">
          <a:extLst>
            <a:ext uri="{FF2B5EF4-FFF2-40B4-BE49-F238E27FC236}">
              <a16:creationId xmlns:a16="http://schemas.microsoft.com/office/drawing/2014/main" id="{C9DA6D13-8445-4031-9EA7-58A610EE1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38150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9525</xdr:rowOff>
    </xdr:from>
    <xdr:to>
      <xdr:col>0</xdr:col>
      <xdr:colOff>3295650</xdr:colOff>
      <xdr:row>4</xdr:row>
      <xdr:rowOff>161925</xdr:rowOff>
    </xdr:to>
    <xdr:pic>
      <xdr:nvPicPr>
        <xdr:cNvPr id="6642" name="Imagen 2">
          <a:extLst>
            <a:ext uri="{FF2B5EF4-FFF2-40B4-BE49-F238E27FC236}">
              <a16:creationId xmlns:a16="http://schemas.microsoft.com/office/drawing/2014/main" id="{D6325FE3-F664-4AB5-9763-E6C2F6064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05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152400</xdr:rowOff>
    </xdr:from>
    <xdr:to>
      <xdr:col>0</xdr:col>
      <xdr:colOff>3133725</xdr:colOff>
      <xdr:row>4</xdr:row>
      <xdr:rowOff>114300</xdr:rowOff>
    </xdr:to>
    <xdr:pic>
      <xdr:nvPicPr>
        <xdr:cNvPr id="7666" name="Imagen 2">
          <a:extLst>
            <a:ext uri="{FF2B5EF4-FFF2-40B4-BE49-F238E27FC236}">
              <a16:creationId xmlns:a16="http://schemas.microsoft.com/office/drawing/2014/main" id="{73F48CED-C92E-43A8-B1B3-4BE19E231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42900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2</xdr:row>
      <xdr:rowOff>47625</xdr:rowOff>
    </xdr:from>
    <xdr:to>
      <xdr:col>0</xdr:col>
      <xdr:colOff>3238500</xdr:colOff>
      <xdr:row>5</xdr:row>
      <xdr:rowOff>9525</xdr:rowOff>
    </xdr:to>
    <xdr:pic>
      <xdr:nvPicPr>
        <xdr:cNvPr id="4594" name="Imagen 2">
          <a:extLst>
            <a:ext uri="{FF2B5EF4-FFF2-40B4-BE49-F238E27FC236}">
              <a16:creationId xmlns:a16="http://schemas.microsoft.com/office/drawing/2014/main" id="{4CB75ED9-DB56-434C-BEF3-9E42BB51B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28625"/>
          <a:ext cx="3000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="120" zoomScaleNormal="120" zoomScaleSheetLayoutView="90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H22" sqref="H22"/>
    </sheetView>
  </sheetViews>
  <sheetFormatPr baseColWidth="10" defaultColWidth="11" defaultRowHeight="9" x14ac:dyDescent="0.25"/>
  <cols>
    <col min="1" max="1" width="2.85546875" style="237" customWidth="1"/>
    <col min="2" max="2" width="30.140625" style="236" customWidth="1"/>
    <col min="3" max="3" width="7.5703125" style="236" bestFit="1" customWidth="1"/>
    <col min="4" max="4" width="8.85546875" style="236" bestFit="1" customWidth="1"/>
    <col min="5" max="5" width="10.140625" style="236" bestFit="1" customWidth="1"/>
    <col min="6" max="6" width="12.28515625" style="413" bestFit="1" customWidth="1"/>
    <col min="7" max="7" width="11.42578125" style="236" bestFit="1" customWidth="1"/>
    <col min="8" max="8" width="11.28515625" style="413" bestFit="1" customWidth="1"/>
    <col min="9" max="10" width="11.28515625" style="236" bestFit="1" customWidth="1"/>
    <col min="11" max="11" width="12.28515625" style="236" bestFit="1" customWidth="1"/>
    <col min="12" max="12" width="14.140625" style="236" bestFit="1" customWidth="1"/>
    <col min="13" max="13" width="4.85546875" style="236" customWidth="1"/>
    <col min="14" max="15" width="14.140625" style="236" bestFit="1" customWidth="1"/>
    <col min="16" max="16384" width="11" style="236"/>
  </cols>
  <sheetData>
    <row r="1" spans="1:15" s="235" customFormat="1" ht="9.75" thickBot="1" x14ac:dyDescent="0.3">
      <c r="A1" s="234"/>
      <c r="F1" s="409"/>
      <c r="H1" s="409"/>
    </row>
    <row r="2" spans="1:15" ht="44.25" thickBot="1" x14ac:dyDescent="0.3">
      <c r="A2" s="414" t="s">
        <v>132</v>
      </c>
      <c r="B2" s="415" t="s">
        <v>0</v>
      </c>
      <c r="C2" s="416" t="s">
        <v>1</v>
      </c>
      <c r="D2" s="417" t="s">
        <v>2</v>
      </c>
      <c r="E2" s="417" t="s">
        <v>3</v>
      </c>
      <c r="F2" s="417" t="s">
        <v>133</v>
      </c>
      <c r="G2" s="417" t="s">
        <v>134</v>
      </c>
      <c r="H2" s="417" t="s">
        <v>135</v>
      </c>
      <c r="I2" s="417" t="s">
        <v>136</v>
      </c>
      <c r="J2" s="415" t="s">
        <v>137</v>
      </c>
      <c r="K2" s="418" t="s">
        <v>4</v>
      </c>
      <c r="L2" s="240" t="s">
        <v>138</v>
      </c>
      <c r="N2" s="419" t="s">
        <v>160</v>
      </c>
      <c r="O2" s="420" t="s">
        <v>161</v>
      </c>
    </row>
    <row r="3" spans="1:15" ht="20.100000000000001" customHeight="1" thickTop="1" x14ac:dyDescent="0.25">
      <c r="A3" s="247">
        <v>1</v>
      </c>
      <c r="B3" s="256" t="s">
        <v>13</v>
      </c>
      <c r="C3" s="259">
        <v>3</v>
      </c>
      <c r="D3" s="262">
        <v>60</v>
      </c>
      <c r="E3" s="262">
        <v>21</v>
      </c>
      <c r="F3" s="410">
        <v>4500000000</v>
      </c>
      <c r="G3" s="248">
        <f>+F3*0.1</f>
        <v>450000000</v>
      </c>
      <c r="H3" s="410">
        <f>0.04*F3</f>
        <v>180000000</v>
      </c>
      <c r="I3" s="248">
        <f>0.05*(F3+G3+H3)</f>
        <v>256500000</v>
      </c>
      <c r="J3" s="249">
        <f>0.05*(G3+H3+F3)</f>
        <v>256500000</v>
      </c>
      <c r="K3" s="250">
        <v>5643000000</v>
      </c>
      <c r="L3" s="241">
        <f>SUM(F3:J3)</f>
        <v>5643000000</v>
      </c>
      <c r="M3" s="244">
        <f>+K3-L3</f>
        <v>0</v>
      </c>
      <c r="N3" s="285">
        <f>+K3/C3</f>
        <v>1881000000</v>
      </c>
      <c r="O3" s="286">
        <f>+K3/D3</f>
        <v>94050000</v>
      </c>
    </row>
    <row r="4" spans="1:15" ht="20.100000000000001" customHeight="1" x14ac:dyDescent="0.25">
      <c r="A4" s="239">
        <v>2</v>
      </c>
      <c r="B4" s="257" t="s">
        <v>6</v>
      </c>
      <c r="C4" s="260">
        <v>1</v>
      </c>
      <c r="D4" s="263">
        <v>13</v>
      </c>
      <c r="E4" s="263">
        <v>7</v>
      </c>
      <c r="F4" s="411">
        <v>1000000000</v>
      </c>
      <c r="G4" s="238">
        <f t="shared" ref="G4:G13" si="0">+F4*0.1</f>
        <v>100000000</v>
      </c>
      <c r="H4" s="411">
        <f t="shared" ref="H4:H13" si="1">0.04*F4</f>
        <v>40000000</v>
      </c>
      <c r="I4" s="238">
        <f t="shared" ref="I4:I12" si="2">0.05*(F4+G4+H4)</f>
        <v>57000000</v>
      </c>
      <c r="J4" s="245">
        <f t="shared" ref="J4:J13" si="3">0.05*(G4+H4+F4)</f>
        <v>57000000</v>
      </c>
      <c r="K4" s="246">
        <v>1254000000</v>
      </c>
      <c r="L4" s="241">
        <f t="shared" ref="L4:L13" si="4">SUM(F4:J4)</f>
        <v>1254000000</v>
      </c>
      <c r="M4" s="244">
        <f t="shared" ref="M4:M14" si="5">+K4-L4</f>
        <v>0</v>
      </c>
      <c r="N4" s="283">
        <f t="shared" ref="N4:N13" si="6">+K4/C4</f>
        <v>1254000000</v>
      </c>
      <c r="O4" s="284">
        <f t="shared" ref="O4:O13" si="7">+K4/D4</f>
        <v>96461538.461538464</v>
      </c>
    </row>
    <row r="5" spans="1:15" ht="20.100000000000001" customHeight="1" x14ac:dyDescent="0.25">
      <c r="A5" s="239">
        <v>3</v>
      </c>
      <c r="B5" s="257" t="s">
        <v>131</v>
      </c>
      <c r="C5" s="260">
        <v>8</v>
      </c>
      <c r="D5" s="263">
        <v>160</v>
      </c>
      <c r="E5" s="263">
        <v>56</v>
      </c>
      <c r="F5" s="411">
        <v>12000000000</v>
      </c>
      <c r="G5" s="238">
        <f t="shared" si="0"/>
        <v>1200000000</v>
      </c>
      <c r="H5" s="411">
        <f t="shared" si="1"/>
        <v>480000000</v>
      </c>
      <c r="I5" s="238">
        <f t="shared" si="2"/>
        <v>684000000</v>
      </c>
      <c r="J5" s="245">
        <f t="shared" si="3"/>
        <v>684000000</v>
      </c>
      <c r="K5" s="246">
        <v>15048000000</v>
      </c>
      <c r="L5" s="241">
        <f t="shared" si="4"/>
        <v>15048000000</v>
      </c>
      <c r="M5" s="244">
        <f t="shared" si="5"/>
        <v>0</v>
      </c>
      <c r="N5" s="283">
        <f t="shared" si="6"/>
        <v>1881000000</v>
      </c>
      <c r="O5" s="284">
        <f t="shared" si="7"/>
        <v>94050000</v>
      </c>
    </row>
    <row r="6" spans="1:15" ht="20.100000000000001" customHeight="1" x14ac:dyDescent="0.25">
      <c r="A6" s="239">
        <v>4</v>
      </c>
      <c r="B6" s="257" t="s">
        <v>7</v>
      </c>
      <c r="C6" s="260">
        <v>3</v>
      </c>
      <c r="D6" s="263">
        <v>40</v>
      </c>
      <c r="E6" s="263">
        <v>21</v>
      </c>
      <c r="F6" s="411">
        <v>3000000000</v>
      </c>
      <c r="G6" s="238">
        <f t="shared" si="0"/>
        <v>300000000</v>
      </c>
      <c r="H6" s="411">
        <f t="shared" si="1"/>
        <v>120000000</v>
      </c>
      <c r="I6" s="238">
        <f t="shared" si="2"/>
        <v>171000000</v>
      </c>
      <c r="J6" s="245">
        <f t="shared" si="3"/>
        <v>171000000</v>
      </c>
      <c r="K6" s="246">
        <v>3762000000</v>
      </c>
      <c r="L6" s="241">
        <f t="shared" si="4"/>
        <v>3762000000</v>
      </c>
      <c r="M6" s="244">
        <f t="shared" si="5"/>
        <v>0</v>
      </c>
      <c r="N6" s="283">
        <f t="shared" si="6"/>
        <v>1254000000</v>
      </c>
      <c r="O6" s="284">
        <f t="shared" si="7"/>
        <v>94050000</v>
      </c>
    </row>
    <row r="7" spans="1:15" ht="20.100000000000001" customHeight="1" x14ac:dyDescent="0.25">
      <c r="A7" s="239">
        <v>5</v>
      </c>
      <c r="B7" s="257" t="s">
        <v>8</v>
      </c>
      <c r="C7" s="260">
        <v>3</v>
      </c>
      <c r="D7" s="263">
        <v>60</v>
      </c>
      <c r="E7" s="263">
        <v>21</v>
      </c>
      <c r="F7" s="411">
        <v>4500000000</v>
      </c>
      <c r="G7" s="238">
        <f t="shared" si="0"/>
        <v>450000000</v>
      </c>
      <c r="H7" s="411">
        <f t="shared" si="1"/>
        <v>180000000</v>
      </c>
      <c r="I7" s="238">
        <f t="shared" si="2"/>
        <v>256500000</v>
      </c>
      <c r="J7" s="245">
        <f t="shared" si="3"/>
        <v>256500000</v>
      </c>
      <c r="K7" s="246">
        <v>5643000000</v>
      </c>
      <c r="L7" s="241">
        <f t="shared" si="4"/>
        <v>5643000000</v>
      </c>
      <c r="M7" s="244">
        <f t="shared" si="5"/>
        <v>0</v>
      </c>
      <c r="N7" s="283">
        <f t="shared" si="6"/>
        <v>1881000000</v>
      </c>
      <c r="O7" s="284">
        <f t="shared" si="7"/>
        <v>94050000</v>
      </c>
    </row>
    <row r="8" spans="1:15" ht="20.100000000000001" customHeight="1" x14ac:dyDescent="0.25">
      <c r="A8" s="239">
        <v>6</v>
      </c>
      <c r="B8" s="257" t="s">
        <v>14</v>
      </c>
      <c r="C8" s="260">
        <v>1</v>
      </c>
      <c r="D8" s="263">
        <v>20</v>
      </c>
      <c r="E8" s="263">
        <v>7</v>
      </c>
      <c r="F8" s="411">
        <v>1500000000</v>
      </c>
      <c r="G8" s="238">
        <f t="shared" si="0"/>
        <v>150000000</v>
      </c>
      <c r="H8" s="411">
        <f t="shared" si="1"/>
        <v>60000000</v>
      </c>
      <c r="I8" s="238">
        <f t="shared" si="2"/>
        <v>85500000</v>
      </c>
      <c r="J8" s="245">
        <f t="shared" si="3"/>
        <v>85500000</v>
      </c>
      <c r="K8" s="246">
        <v>1881000000</v>
      </c>
      <c r="L8" s="241">
        <f t="shared" si="4"/>
        <v>1881000000</v>
      </c>
      <c r="M8" s="244">
        <f t="shared" si="5"/>
        <v>0</v>
      </c>
      <c r="N8" s="283">
        <f t="shared" si="6"/>
        <v>1881000000</v>
      </c>
      <c r="O8" s="284">
        <f t="shared" si="7"/>
        <v>94050000</v>
      </c>
    </row>
    <row r="9" spans="1:15" ht="20.100000000000001" customHeight="1" x14ac:dyDescent="0.25">
      <c r="A9" s="239">
        <v>7</v>
      </c>
      <c r="B9" s="257" t="s">
        <v>5</v>
      </c>
      <c r="C9" s="260">
        <v>9</v>
      </c>
      <c r="D9" s="263">
        <v>180</v>
      </c>
      <c r="E9" s="263">
        <v>63</v>
      </c>
      <c r="F9" s="411">
        <v>13500000000</v>
      </c>
      <c r="G9" s="238">
        <f t="shared" si="0"/>
        <v>1350000000</v>
      </c>
      <c r="H9" s="411">
        <f t="shared" si="1"/>
        <v>540000000</v>
      </c>
      <c r="I9" s="238">
        <f t="shared" si="2"/>
        <v>769500000</v>
      </c>
      <c r="J9" s="245">
        <f t="shared" si="3"/>
        <v>769500000</v>
      </c>
      <c r="K9" s="246">
        <v>16929000000</v>
      </c>
      <c r="L9" s="241">
        <f t="shared" si="4"/>
        <v>16929000000</v>
      </c>
      <c r="M9" s="244">
        <f t="shared" si="5"/>
        <v>0</v>
      </c>
      <c r="N9" s="283">
        <f t="shared" si="6"/>
        <v>1881000000</v>
      </c>
      <c r="O9" s="284">
        <f t="shared" si="7"/>
        <v>94050000</v>
      </c>
    </row>
    <row r="10" spans="1:15" ht="20.100000000000001" customHeight="1" x14ac:dyDescent="0.25">
      <c r="A10" s="239">
        <v>8</v>
      </c>
      <c r="B10" s="257" t="s">
        <v>11</v>
      </c>
      <c r="C10" s="260">
        <v>4</v>
      </c>
      <c r="D10" s="263">
        <v>80</v>
      </c>
      <c r="E10" s="263">
        <v>28</v>
      </c>
      <c r="F10" s="411">
        <v>6000000000</v>
      </c>
      <c r="G10" s="238">
        <f t="shared" si="0"/>
        <v>600000000</v>
      </c>
      <c r="H10" s="411">
        <f t="shared" si="1"/>
        <v>240000000</v>
      </c>
      <c r="I10" s="238">
        <f t="shared" si="2"/>
        <v>342000000</v>
      </c>
      <c r="J10" s="245">
        <f t="shared" si="3"/>
        <v>342000000</v>
      </c>
      <c r="K10" s="246">
        <v>7524000000</v>
      </c>
      <c r="L10" s="241">
        <f t="shared" si="4"/>
        <v>7524000000</v>
      </c>
      <c r="M10" s="244">
        <f t="shared" si="5"/>
        <v>0</v>
      </c>
      <c r="N10" s="283">
        <f t="shared" si="6"/>
        <v>1881000000</v>
      </c>
      <c r="O10" s="284">
        <f t="shared" si="7"/>
        <v>94050000</v>
      </c>
    </row>
    <row r="11" spans="1:15" ht="20.100000000000001" customHeight="1" x14ac:dyDescent="0.25">
      <c r="A11" s="239">
        <v>9</v>
      </c>
      <c r="B11" s="257" t="s">
        <v>12</v>
      </c>
      <c r="C11" s="260">
        <v>7</v>
      </c>
      <c r="D11" s="263">
        <v>120</v>
      </c>
      <c r="E11" s="263">
        <v>49</v>
      </c>
      <c r="F11" s="411">
        <v>9000000000</v>
      </c>
      <c r="G11" s="238">
        <f t="shared" si="0"/>
        <v>900000000</v>
      </c>
      <c r="H11" s="411">
        <f t="shared" si="1"/>
        <v>360000000</v>
      </c>
      <c r="I11" s="238">
        <f t="shared" si="2"/>
        <v>513000000</v>
      </c>
      <c r="J11" s="245">
        <f t="shared" si="3"/>
        <v>513000000</v>
      </c>
      <c r="K11" s="246">
        <v>11286000000</v>
      </c>
      <c r="L11" s="241">
        <f t="shared" si="4"/>
        <v>11286000000</v>
      </c>
      <c r="M11" s="244">
        <f t="shared" si="5"/>
        <v>0</v>
      </c>
      <c r="N11" s="283">
        <f t="shared" si="6"/>
        <v>1612285714.2857144</v>
      </c>
      <c r="O11" s="284">
        <f t="shared" si="7"/>
        <v>94050000</v>
      </c>
    </row>
    <row r="12" spans="1:15" ht="20.100000000000001" customHeight="1" x14ac:dyDescent="0.25">
      <c r="A12" s="239">
        <v>10</v>
      </c>
      <c r="B12" s="257" t="s">
        <v>9</v>
      </c>
      <c r="C12" s="260">
        <v>5</v>
      </c>
      <c r="D12" s="263">
        <v>100</v>
      </c>
      <c r="E12" s="263">
        <v>35</v>
      </c>
      <c r="F12" s="411">
        <v>7500000000</v>
      </c>
      <c r="G12" s="238">
        <f t="shared" si="0"/>
        <v>750000000</v>
      </c>
      <c r="H12" s="411">
        <f t="shared" si="1"/>
        <v>300000000</v>
      </c>
      <c r="I12" s="238">
        <f t="shared" si="2"/>
        <v>427500000</v>
      </c>
      <c r="J12" s="245">
        <f t="shared" si="3"/>
        <v>427500000</v>
      </c>
      <c r="K12" s="246">
        <v>9405000000</v>
      </c>
      <c r="L12" s="241">
        <f t="shared" si="4"/>
        <v>9405000000</v>
      </c>
      <c r="M12" s="244">
        <f t="shared" si="5"/>
        <v>0</v>
      </c>
      <c r="N12" s="283">
        <f t="shared" si="6"/>
        <v>1881000000</v>
      </c>
      <c r="O12" s="284">
        <f t="shared" si="7"/>
        <v>94050000</v>
      </c>
    </row>
    <row r="13" spans="1:15" ht="20.100000000000001" customHeight="1" thickBot="1" x14ac:dyDescent="0.3">
      <c r="A13" s="251">
        <v>11</v>
      </c>
      <c r="B13" s="258" t="s">
        <v>10</v>
      </c>
      <c r="C13" s="261">
        <v>8</v>
      </c>
      <c r="D13" s="264">
        <v>160</v>
      </c>
      <c r="E13" s="264">
        <v>56</v>
      </c>
      <c r="F13" s="412">
        <v>12000000000</v>
      </c>
      <c r="G13" s="252">
        <f t="shared" si="0"/>
        <v>1200000000</v>
      </c>
      <c r="H13" s="412">
        <f t="shared" si="1"/>
        <v>480000000</v>
      </c>
      <c r="I13" s="252">
        <f>0.05*(F13+G13+H13)</f>
        <v>684000000</v>
      </c>
      <c r="J13" s="253">
        <f t="shared" si="3"/>
        <v>684000000</v>
      </c>
      <c r="K13" s="254">
        <v>15048000000</v>
      </c>
      <c r="L13" s="241">
        <f t="shared" si="4"/>
        <v>15048000000</v>
      </c>
      <c r="M13" s="244">
        <f t="shared" si="5"/>
        <v>0</v>
      </c>
      <c r="N13" s="287">
        <f t="shared" si="6"/>
        <v>1881000000</v>
      </c>
      <c r="O13" s="288">
        <f t="shared" si="7"/>
        <v>94050000</v>
      </c>
    </row>
    <row r="14" spans="1:15" ht="20.100000000000001" customHeight="1" thickTop="1" thickBot="1" x14ac:dyDescent="0.3">
      <c r="A14" s="265"/>
      <c r="B14" s="266" t="s">
        <v>15</v>
      </c>
      <c r="C14" s="267">
        <f t="shared" ref="C14:L14" si="8">SUM(C3:C13)</f>
        <v>52</v>
      </c>
      <c r="D14" s="268">
        <f t="shared" si="8"/>
        <v>993</v>
      </c>
      <c r="E14" s="268">
        <f t="shared" si="8"/>
        <v>364</v>
      </c>
      <c r="F14" s="269">
        <f t="shared" si="8"/>
        <v>74500000000</v>
      </c>
      <c r="G14" s="269">
        <f t="shared" si="8"/>
        <v>7450000000</v>
      </c>
      <c r="H14" s="269">
        <f t="shared" si="8"/>
        <v>2980000000</v>
      </c>
      <c r="I14" s="269">
        <f t="shared" si="8"/>
        <v>4246500000</v>
      </c>
      <c r="J14" s="270">
        <f t="shared" si="8"/>
        <v>4246500000</v>
      </c>
      <c r="K14" s="255">
        <f t="shared" si="8"/>
        <v>93423000000</v>
      </c>
      <c r="L14" s="242">
        <f t="shared" si="8"/>
        <v>93423000000</v>
      </c>
      <c r="M14" s="244">
        <f t="shared" si="5"/>
        <v>0</v>
      </c>
      <c r="N14" s="13"/>
      <c r="O14" s="13"/>
    </row>
  </sheetData>
  <printOptions horizontalCentered="1" verticalCentered="1"/>
  <pageMargins left="0.31496062992125984" right="0.31496062992125984" top="0.74803149606299213" bottom="0.74803149606299213" header="0.31496062992125984" footer="0.31496062992125984"/>
  <pageSetup orientation="landscape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11" activePane="bottomRight" state="frozen"/>
      <selection pane="topRight" activeCell="C1" sqref="C1"/>
      <selection pane="bottomLeft" activeCell="A9" sqref="A9"/>
      <selection pane="bottomRight" activeCell="E11" sqref="E11:J1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8.7109375" style="45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+CONSOLIDADO!A27</f>
        <v>UNIÓN TEMPORAL OBRAS RENACER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+CONSOLIDADO!C28</f>
        <v>JOSE FERNANDO ANGULO</v>
      </c>
      <c r="C4" s="50"/>
      <c r="D4" s="50"/>
      <c r="E4" s="18"/>
      <c r="F4" s="76" t="s">
        <v>67</v>
      </c>
      <c r="G4" s="73">
        <f>+CONSOLIDADO!D28</f>
        <v>0.48</v>
      </c>
      <c r="H4" s="1"/>
      <c r="I4" s="46" t="s">
        <v>50</v>
      </c>
      <c r="J4" s="45">
        <f>COUNTIF(K9:K20,"NO")</f>
        <v>1</v>
      </c>
    </row>
    <row r="5" spans="1:14" x14ac:dyDescent="0.25">
      <c r="A5" s="46" t="s">
        <v>33</v>
      </c>
      <c r="B5" s="50" t="str">
        <f>+CONSOLIDADO!C29</f>
        <v>ORLANDO SEPULVEDA</v>
      </c>
      <c r="C5" s="50"/>
      <c r="D5" s="50"/>
      <c r="E5" s="1"/>
      <c r="F5" s="77" t="s">
        <v>67</v>
      </c>
      <c r="G5" s="73">
        <f>+CONSOLIDADO!D29</f>
        <v>0.48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+CONSOLIDADO!C30</f>
        <v>CORPORACIÓN COLOMBIA CRECE</v>
      </c>
      <c r="C6" s="50"/>
      <c r="D6" s="50"/>
      <c r="E6" s="16"/>
      <c r="F6" s="78" t="s">
        <v>67</v>
      </c>
      <c r="G6" s="73">
        <f>+CONSOLIDADO!D30</f>
        <v>0.04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/>
      <c r="N8"/>
    </row>
    <row r="9" spans="1:14" ht="15.75" customHeight="1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ht="114.75" customHeight="1" x14ac:dyDescent="0.25">
      <c r="A10" s="65" t="s">
        <v>52</v>
      </c>
      <c r="B10" s="61"/>
      <c r="C10" s="62" t="s">
        <v>35</v>
      </c>
      <c r="D10" s="63"/>
      <c r="E10" s="587" t="s">
        <v>306</v>
      </c>
      <c r="F10" s="588"/>
      <c r="G10" s="588"/>
      <c r="H10" s="588"/>
      <c r="I10" s="588"/>
      <c r="J10" s="589"/>
      <c r="K10" s="63" t="s">
        <v>28</v>
      </c>
    </row>
    <row r="11" spans="1:14" ht="88.5" customHeight="1" x14ac:dyDescent="0.25">
      <c r="A11" s="60" t="s">
        <v>53</v>
      </c>
      <c r="B11" s="61" t="s">
        <v>35</v>
      </c>
      <c r="C11" s="62"/>
      <c r="D11" s="63"/>
      <c r="E11" s="587" t="s">
        <v>252</v>
      </c>
      <c r="F11" s="588"/>
      <c r="G11" s="588"/>
      <c r="H11" s="588"/>
      <c r="I11" s="588"/>
      <c r="J11" s="589"/>
      <c r="K11" s="63" t="s">
        <v>28</v>
      </c>
    </row>
    <row r="12" spans="1:14" ht="87.75" customHeight="1" x14ac:dyDescent="0.25">
      <c r="A12" s="60" t="s">
        <v>106</v>
      </c>
      <c r="B12" s="61"/>
      <c r="C12" s="62" t="s">
        <v>35</v>
      </c>
      <c r="D12" s="63"/>
      <c r="E12" s="587" t="s">
        <v>253</v>
      </c>
      <c r="F12" s="588"/>
      <c r="G12" s="588"/>
      <c r="H12" s="588"/>
      <c r="I12" s="588"/>
      <c r="J12" s="589"/>
      <c r="K12" s="63" t="s">
        <v>207</v>
      </c>
    </row>
    <row r="13" spans="1:14" ht="58.5" customHeight="1" x14ac:dyDescent="0.25">
      <c r="A13" s="60" t="s">
        <v>107</v>
      </c>
      <c r="B13" s="61"/>
      <c r="C13" s="62"/>
      <c r="D13" s="63" t="s">
        <v>35</v>
      </c>
      <c r="E13" s="587" t="s">
        <v>254</v>
      </c>
      <c r="F13" s="588"/>
      <c r="G13" s="588"/>
      <c r="H13" s="588"/>
      <c r="I13" s="588"/>
      <c r="J13" s="589"/>
      <c r="K13" s="63" t="s">
        <v>48</v>
      </c>
    </row>
    <row r="14" spans="1:14" ht="58.5" customHeight="1" x14ac:dyDescent="0.25">
      <c r="A14" s="60" t="s">
        <v>145</v>
      </c>
      <c r="B14" s="61" t="s">
        <v>35</v>
      </c>
      <c r="C14" s="62"/>
      <c r="D14" s="63"/>
      <c r="E14" s="587" t="s">
        <v>255</v>
      </c>
      <c r="F14" s="590"/>
      <c r="G14" s="590"/>
      <c r="H14" s="590"/>
      <c r="I14" s="590"/>
      <c r="J14" s="591"/>
      <c r="K14" s="63" t="s">
        <v>48</v>
      </c>
    </row>
    <row r="15" spans="1:14" ht="58.5" customHeight="1" x14ac:dyDescent="0.25">
      <c r="A15" s="65" t="s">
        <v>146</v>
      </c>
      <c r="B15" s="61"/>
      <c r="C15" s="62"/>
      <c r="D15" s="63" t="s">
        <v>35</v>
      </c>
      <c r="E15" s="587" t="s">
        <v>254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ORLANDO SEPULVEDA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UNIÓN TEMPORAL OBRAS RENACER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JOSE FERNANDO ANGULO</v>
      </c>
      <c r="L22" s="517" t="str">
        <f>+B5</f>
        <v>ORLANDO SEPULVEDA</v>
      </c>
      <c r="M22" s="517" t="str">
        <f>+B6</f>
        <v>CORPORACIÓN COLOMBIA CRECE</v>
      </c>
      <c r="N22" s="521"/>
    </row>
    <row r="23" spans="1:14" ht="17.25" x14ac:dyDescent="0.25">
      <c r="A23" s="80" t="s">
        <v>57</v>
      </c>
      <c r="B23" s="577">
        <f>+B31*D30+B39*D38+B47*D46</f>
        <v>15887030084.639999</v>
      </c>
      <c r="C23" s="577"/>
      <c r="D23" s="100"/>
      <c r="E23" s="81" t="s">
        <v>64</v>
      </c>
      <c r="F23" s="81"/>
      <c r="G23" s="81"/>
      <c r="H23" s="82">
        <f>+H31*D30+H39*D38+H47*D46</f>
        <v>15.234665293310304</v>
      </c>
      <c r="I23" s="83" t="str">
        <f>IF(H23&gt;=1.2,"HABILITA","NO HABILITA")</f>
        <v>HABILITA</v>
      </c>
      <c r="J23" s="518">
        <f>1.2/2</f>
        <v>0.6</v>
      </c>
      <c r="K23" s="518">
        <f>+H31*J22</f>
        <v>11.132076535848256</v>
      </c>
      <c r="L23" s="518">
        <f>+H39*J22</f>
        <v>4.7373664780166429</v>
      </c>
      <c r="M23" s="518">
        <f>+H47*J22</f>
        <v>0</v>
      </c>
      <c r="N23" s="521"/>
    </row>
    <row r="24" spans="1:14" ht="17.25" x14ac:dyDescent="0.25">
      <c r="A24" s="80" t="s">
        <v>58</v>
      </c>
      <c r="B24" s="577">
        <f>+B32*D30+B40*D38+B48*D46</f>
        <v>1632543927.3599999</v>
      </c>
      <c r="C24" s="577"/>
      <c r="D24" s="101"/>
      <c r="E24" s="81" t="s">
        <v>63</v>
      </c>
      <c r="F24" s="81"/>
      <c r="G24" s="81"/>
      <c r="H24" s="84">
        <f>+H32*D30+H40*D38+H48*D46</f>
        <v>0.13026288975719508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1750175865.9199998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14254486157.280001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725865984.5</v>
      </c>
      <c r="L25" s="520">
        <f>+H41*J22</f>
        <v>14122557096</v>
      </c>
      <c r="M25" s="520">
        <f>+H49*J22</f>
        <v>0</v>
      </c>
      <c r="N25" s="521"/>
    </row>
    <row r="26" spans="1:14" ht="17.25" x14ac:dyDescent="0.25">
      <c r="A26" s="80" t="s">
        <v>60</v>
      </c>
      <c r="B26" s="577">
        <f>+B34*D30+B42*D38+B50*D46</f>
        <v>17038490002.280001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N/A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N/A</v>
      </c>
      <c r="L29" s="514" t="str">
        <f>IF(L25&gt;=$J$25,"OK","N/A")</f>
        <v>OK</v>
      </c>
      <c r="M29" s="514" t="str">
        <f>IF(M25&gt;=$J$25,"OK","N/A")</f>
        <v>N/A</v>
      </c>
      <c r="N29" s="521"/>
    </row>
    <row r="30" spans="1:14" x14ac:dyDescent="0.25">
      <c r="A30" s="46" t="str">
        <f>+A4</f>
        <v>INTEGRANTE 1</v>
      </c>
      <c r="B30" s="44" t="str">
        <f>+B4</f>
        <v>JOSE FERNANDO ANGULO</v>
      </c>
      <c r="C30" s="45" t="s">
        <v>67</v>
      </c>
      <c r="D30" s="69">
        <f>+G4</f>
        <v>0.48</v>
      </c>
      <c r="J30" s="513"/>
      <c r="K30" s="514">
        <f>COUNTIF(K27:K29,"OK")</f>
        <v>1</v>
      </c>
      <c r="L30" s="514">
        <f>COUNTIF(L27:L29,"OK")</f>
        <v>2</v>
      </c>
      <c r="M30" s="514">
        <f>COUNTIF(M27:M29,"OK")</f>
        <v>0</v>
      </c>
      <c r="N30" s="521"/>
    </row>
    <row r="31" spans="1:14" x14ac:dyDescent="0.25">
      <c r="A31" s="46" t="s">
        <v>57</v>
      </c>
      <c r="B31" s="573">
        <f>+CONSOLIDADO!P28</f>
        <v>1520003297</v>
      </c>
      <c r="C31" s="573"/>
      <c r="E31" s="45" t="s">
        <v>64</v>
      </c>
      <c r="H31" s="70">
        <f>+B31/B32</f>
        <v>22.264153071696512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str">
        <f>IF(L30=2,L22)</f>
        <v>ORLANDO SEPULVEDA</v>
      </c>
      <c r="M31" s="514" t="b">
        <f>IF(M30=2,M22)</f>
        <v>0</v>
      </c>
      <c r="N31" s="521"/>
    </row>
    <row r="32" spans="1:14" x14ac:dyDescent="0.25">
      <c r="A32" s="46" t="s">
        <v>58</v>
      </c>
      <c r="B32" s="573">
        <f>+CONSOLIDADO!Q28</f>
        <v>68271328</v>
      </c>
      <c r="C32" s="573"/>
      <c r="E32" s="45" t="s">
        <v>63</v>
      </c>
      <c r="H32" s="68">
        <f>+B33/B34</f>
        <v>8.4904991324688511E-2</v>
      </c>
      <c r="I32" s="45" t="str">
        <f>IF(H32&lt;=70%,"HABILITA","NO HABILITA")</f>
        <v>HABILITA</v>
      </c>
      <c r="J32" s="513"/>
      <c r="K32" s="513"/>
      <c r="L32" s="513"/>
      <c r="M32" s="513"/>
      <c r="N32" s="521"/>
    </row>
    <row r="33" spans="1:9" x14ac:dyDescent="0.25">
      <c r="A33" s="46" t="s">
        <v>59</v>
      </c>
      <c r="B33" s="573">
        <f>+CONSOLIDADO!R28</f>
        <v>150834149</v>
      </c>
      <c r="C33" s="573"/>
      <c r="E33" s="45" t="s">
        <v>62</v>
      </c>
      <c r="G33" s="71">
        <f>+B35*0.3</f>
        <v>1692900000</v>
      </c>
      <c r="H33" s="71">
        <f>(+B31-B32)</f>
        <v>1451731969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+CONSOLIDADO!S28</f>
        <v>1776505087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ORLANDO SEPULVEDA</v>
      </c>
      <c r="C38" s="45" t="s">
        <v>67</v>
      </c>
      <c r="D38" s="69">
        <f>+G5</f>
        <v>0.48</v>
      </c>
    </row>
    <row r="39" spans="1:9" x14ac:dyDescent="0.25">
      <c r="A39" s="46" t="s">
        <v>57</v>
      </c>
      <c r="B39" s="573">
        <f>+CONSOLIDADO!P29</f>
        <v>31577976046</v>
      </c>
      <c r="C39" s="573"/>
      <c r="E39" s="45" t="s">
        <v>64</v>
      </c>
      <c r="H39" s="70">
        <f>+B39/B40</f>
        <v>9.4747329560332858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+CONSOLIDADO!Q29</f>
        <v>3332861854</v>
      </c>
      <c r="C40" s="573"/>
      <c r="E40" s="45" t="s">
        <v>63</v>
      </c>
      <c r="H40" s="68">
        <f>+B41/B42</f>
        <v>0.10332504642037502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+CONSOLIDADO!R29</f>
        <v>3482861854</v>
      </c>
      <c r="C41" s="573"/>
      <c r="E41" s="45" t="s">
        <v>62</v>
      </c>
      <c r="G41" s="71">
        <f>+B43*0.3</f>
        <v>1692900000</v>
      </c>
      <c r="H41" s="71">
        <f>(+B39-B40)</f>
        <v>28245114192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73">
        <f>+CONSOLIDADO!S29</f>
        <v>33707817946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CORPORACIÓN COLOMBIA CRECE</v>
      </c>
      <c r="C46" s="45" t="s">
        <v>67</v>
      </c>
      <c r="D46" s="69">
        <f>+G6</f>
        <v>0.04</v>
      </c>
    </row>
    <row r="47" spans="1:9" x14ac:dyDescent="0.25">
      <c r="A47" s="46" t="s">
        <v>57</v>
      </c>
      <c r="B47" s="573">
        <f>+CONSOLIDADO!P30</f>
        <v>0</v>
      </c>
      <c r="C47" s="573"/>
      <c r="E47" s="45" t="s">
        <v>64</v>
      </c>
      <c r="H47" s="523">
        <v>0</v>
      </c>
      <c r="I47" s="45" t="str">
        <f>IF(H47&gt;=1.2,"HABILITA","NO HABILITA")</f>
        <v>NO HABILITA</v>
      </c>
    </row>
    <row r="48" spans="1:9" x14ac:dyDescent="0.25">
      <c r="A48" s="46" t="s">
        <v>58</v>
      </c>
      <c r="B48" s="573">
        <f>+CONSOLIDADO!Q30</f>
        <v>0</v>
      </c>
      <c r="C48" s="573"/>
      <c r="E48" s="45" t="s">
        <v>63</v>
      </c>
      <c r="H48" s="68">
        <f>+B49/B50</f>
        <v>0.99781179098911477</v>
      </c>
      <c r="I48" s="45" t="str">
        <f>IF(H48&lt;=70%,"HABILITA","NO HABILITA")</f>
        <v>NO HABILITA</v>
      </c>
    </row>
    <row r="49" spans="1:9" x14ac:dyDescent="0.25">
      <c r="A49" s="46" t="s">
        <v>59</v>
      </c>
      <c r="B49" s="573">
        <f>+CONSOLIDADO!R30</f>
        <v>150044612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+CONSOLIDADO!S30</f>
        <v>150373661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3</v>
      </c>
    </row>
  </sheetData>
  <sheetProtection algorithmName="SHA-512" hashValue="HOIZkmwZ/kWMCc6JyIW6vjIrzT3a0uq5CwCs5a7ic5SJywilb4BvKJsDeIr2ksqTVHGlLQaEDdRv8xGP5m1K8g==" saltValue="D9DBkJtwSUm4oVrECSlgBw==" spinCount="100000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6" orientation="portrait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A10" sqref="A10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+CONSOLIDADO!A31</f>
        <v>CONSORCIO INFRAESTRUCTURA SIERRA NEVADA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4</v>
      </c>
    </row>
    <row r="4" spans="1:14" x14ac:dyDescent="0.25">
      <c r="A4" s="46" t="s">
        <v>32</v>
      </c>
      <c r="B4" s="50" t="str">
        <f>+CONSOLIDADO!C32</f>
        <v>CADSA SAS</v>
      </c>
      <c r="C4" s="50"/>
      <c r="D4" s="50"/>
      <c r="E4" s="18"/>
      <c r="F4" s="76" t="s">
        <v>67</v>
      </c>
      <c r="G4" s="73">
        <f>+CONSOLIDADO!D32</f>
        <v>0.5</v>
      </c>
      <c r="H4" s="1"/>
      <c r="I4" s="46" t="s">
        <v>50</v>
      </c>
      <c r="J4" s="45">
        <f>COUNTIF(K9:K20,"NO")</f>
        <v>4</v>
      </c>
    </row>
    <row r="5" spans="1:14" x14ac:dyDescent="0.25">
      <c r="A5" s="46" t="s">
        <v>33</v>
      </c>
      <c r="B5" s="50" t="str">
        <f>+CONSOLIDADO!C33</f>
        <v>CORPORACIÓN SELVA HÚMEDA ONG</v>
      </c>
      <c r="C5" s="50"/>
      <c r="D5" s="50"/>
      <c r="E5" s="1"/>
      <c r="F5" s="77" t="s">
        <v>67</v>
      </c>
      <c r="G5" s="73">
        <f>+CONSOLIDADO!D33</f>
        <v>0.25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+CONSOLIDADO!C34</f>
        <v>MODEPCA LTDA</v>
      </c>
      <c r="C6" s="50"/>
      <c r="D6" s="50"/>
      <c r="E6" s="16"/>
      <c r="F6" s="78" t="s">
        <v>67</v>
      </c>
      <c r="G6" s="73">
        <f>+CONSOLIDADO!D34</f>
        <v>0.25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4" ht="117" customHeight="1" x14ac:dyDescent="0.25">
      <c r="A10" s="65" t="s">
        <v>52</v>
      </c>
      <c r="B10" s="61"/>
      <c r="C10" s="62" t="s">
        <v>35</v>
      </c>
      <c r="D10" s="63"/>
      <c r="E10" s="587" t="s">
        <v>256</v>
      </c>
      <c r="F10" s="588"/>
      <c r="G10" s="588"/>
      <c r="H10" s="588"/>
      <c r="I10" s="588"/>
      <c r="J10" s="589"/>
      <c r="K10" s="63" t="s">
        <v>207</v>
      </c>
    </row>
    <row r="11" spans="1:14" ht="84" customHeight="1" x14ac:dyDescent="0.25">
      <c r="A11" s="60" t="s">
        <v>53</v>
      </c>
      <c r="B11" s="61"/>
      <c r="C11" s="62" t="s">
        <v>35</v>
      </c>
      <c r="D11" s="63"/>
      <c r="E11" s="587" t="s">
        <v>257</v>
      </c>
      <c r="F11" s="588"/>
      <c r="G11" s="588"/>
      <c r="H11" s="588"/>
      <c r="I11" s="588"/>
      <c r="J11" s="589"/>
      <c r="K11" s="63" t="s">
        <v>207</v>
      </c>
    </row>
    <row r="12" spans="1:14" ht="92.25" customHeight="1" x14ac:dyDescent="0.25">
      <c r="A12" s="60" t="s">
        <v>106</v>
      </c>
      <c r="B12" s="61" t="s">
        <v>35</v>
      </c>
      <c r="C12" s="62"/>
      <c r="D12" s="63"/>
      <c r="E12" s="587" t="s">
        <v>258</v>
      </c>
      <c r="F12" s="588"/>
      <c r="G12" s="588"/>
      <c r="H12" s="588"/>
      <c r="I12" s="588"/>
      <c r="J12" s="589"/>
      <c r="K12" s="63" t="s">
        <v>48</v>
      </c>
    </row>
    <row r="13" spans="1:14" ht="107.25" customHeight="1" x14ac:dyDescent="0.25">
      <c r="A13" s="60" t="s">
        <v>107</v>
      </c>
      <c r="B13" s="61" t="s">
        <v>35</v>
      </c>
      <c r="C13" s="62"/>
      <c r="D13" s="63"/>
      <c r="E13" s="587" t="s">
        <v>259</v>
      </c>
      <c r="F13" s="588"/>
      <c r="G13" s="588"/>
      <c r="H13" s="588"/>
      <c r="I13" s="588"/>
      <c r="J13" s="589"/>
      <c r="K13" s="63" t="s">
        <v>48</v>
      </c>
    </row>
    <row r="14" spans="1:14" ht="75" customHeight="1" x14ac:dyDescent="0.25">
      <c r="A14" s="60" t="s">
        <v>145</v>
      </c>
      <c r="B14" s="61" t="s">
        <v>35</v>
      </c>
      <c r="C14" s="62"/>
      <c r="D14" s="63"/>
      <c r="E14" s="587" t="s">
        <v>260</v>
      </c>
      <c r="F14" s="590"/>
      <c r="G14" s="590"/>
      <c r="H14" s="590"/>
      <c r="I14" s="590"/>
      <c r="J14" s="591"/>
      <c r="K14" s="63" t="s">
        <v>48</v>
      </c>
    </row>
    <row r="15" spans="1:14" ht="66" customHeight="1" x14ac:dyDescent="0.25">
      <c r="A15" s="65" t="s">
        <v>146</v>
      </c>
      <c r="B15" s="61" t="s">
        <v>35</v>
      </c>
      <c r="C15" s="62"/>
      <c r="D15" s="63"/>
      <c r="E15" s="587" t="s">
        <v>261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no</v>
      </c>
      <c r="I20" s="145"/>
      <c r="J20" s="146"/>
      <c r="K20" s="144" t="str">
        <f>IF(K30&gt;=2,"SI",IF(L30&gt;=2,"SI",IF(M30&gt;=2,"SI","NO")))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CONSORCIO INFRAESTRUCTURA SIERRA NEVADA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CADSA SAS</v>
      </c>
      <c r="L22" s="517" t="str">
        <f>+B5</f>
        <v>CORPORACIÓN SELVA HÚMEDA ONG</v>
      </c>
      <c r="M22" s="517" t="str">
        <f>+B6</f>
        <v>MODEPCA LTDA</v>
      </c>
    </row>
    <row r="23" spans="1:13" ht="17.25" x14ac:dyDescent="0.25">
      <c r="A23" s="80" t="s">
        <v>57</v>
      </c>
      <c r="B23" s="577">
        <f>+B31*D30+B39*D38+B47*D46</f>
        <v>921244743</v>
      </c>
      <c r="C23" s="577"/>
      <c r="D23" s="100"/>
      <c r="E23" s="81" t="s">
        <v>64</v>
      </c>
      <c r="F23" s="81"/>
      <c r="G23" s="81"/>
      <c r="H23" s="82">
        <f>+H31*D30+H39*D38+H47*D46</f>
        <v>17.283502456734006</v>
      </c>
      <c r="I23" s="83" t="str">
        <f>IF(H23&gt;=1.2,"HABILITA","NO HABILITA")</f>
        <v>HABILITA</v>
      </c>
      <c r="J23" s="518">
        <f>1.2/2</f>
        <v>0.6</v>
      </c>
      <c r="K23" s="518">
        <f>+H31*J22</f>
        <v>11.367731425219432</v>
      </c>
      <c r="L23" s="518">
        <f>+H39*J22</f>
        <v>9.6873513151174304</v>
      </c>
      <c r="M23" s="518">
        <f>+H47*J22</f>
        <v>2.1441907479117113</v>
      </c>
    </row>
    <row r="24" spans="1:13" ht="17.25" x14ac:dyDescent="0.25">
      <c r="A24" s="80" t="s">
        <v>58</v>
      </c>
      <c r="B24" s="577">
        <f>+B32*D30+B40*D38+B48*D46</f>
        <v>53378364.75</v>
      </c>
      <c r="C24" s="577"/>
      <c r="D24" s="101"/>
      <c r="E24" s="81" t="s">
        <v>63</v>
      </c>
      <c r="F24" s="81"/>
      <c r="G24" s="81"/>
      <c r="H24" s="84">
        <f>+H32*D30+H40*D38+H48*D46</f>
        <v>0.235918537507666</v>
      </c>
      <c r="I24" s="83" t="str">
        <f>IF(H24&lt;=70%,"HABILITA","NO HABILITA")</f>
        <v>HABILITA</v>
      </c>
      <c r="J24" s="519"/>
      <c r="K24" s="519"/>
      <c r="L24" s="519"/>
      <c r="M24" s="519"/>
    </row>
    <row r="25" spans="1:13" ht="17.25" x14ac:dyDescent="0.25">
      <c r="A25" s="80" t="s">
        <v>59</v>
      </c>
      <c r="B25" s="577">
        <f>+B33*D30+B41*D38+B49*D46</f>
        <v>312750382.5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867866378.25</v>
      </c>
      <c r="I25" s="83" t="str">
        <f>IF(H25&gt;=G25,"HABILITA","NO HABILITA")</f>
        <v>NO HABILITA</v>
      </c>
      <c r="J25" s="520">
        <f>+G25/2</f>
        <v>846450000</v>
      </c>
      <c r="K25" s="520">
        <f>+H33*J22</f>
        <v>503573474</v>
      </c>
      <c r="L25" s="520">
        <f>+H41*J22</f>
        <v>645404447.5</v>
      </c>
      <c r="M25" s="520">
        <f>+H49*J22</f>
        <v>83181361</v>
      </c>
    </row>
    <row r="26" spans="1:13" ht="17.25" x14ac:dyDescent="0.25">
      <c r="A26" s="80" t="s">
        <v>60</v>
      </c>
      <c r="B26" s="577">
        <f>+B34*D30+B42*D38+B50*D46</f>
        <v>1205724413.75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2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OK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J28" s="513"/>
      <c r="K28" s="514"/>
      <c r="L28" s="514"/>
      <c r="M28" s="514"/>
    </row>
    <row r="29" spans="1:13" x14ac:dyDescent="0.25">
      <c r="J29" s="513"/>
      <c r="K29" s="514" t="str">
        <f>IF(K25&gt;=$J$25,"OK","N/A")</f>
        <v>N/A</v>
      </c>
      <c r="L29" s="514" t="str">
        <f>IF(L25&gt;=$J$25,"OK","N/A")</f>
        <v>N/A</v>
      </c>
      <c r="M29" s="514" t="str">
        <f>IF(M25&gt;=$J$25,"OK","N/A")</f>
        <v>N/A</v>
      </c>
    </row>
    <row r="30" spans="1:13" x14ac:dyDescent="0.25">
      <c r="A30" s="46" t="str">
        <f>+A4</f>
        <v>INTEGRANTE 1</v>
      </c>
      <c r="B30" s="44" t="str">
        <f>+B4</f>
        <v>CADSA SAS</v>
      </c>
      <c r="C30" s="45" t="s">
        <v>67</v>
      </c>
      <c r="D30" s="69">
        <f>+G4</f>
        <v>0.5</v>
      </c>
      <c r="J30" s="513"/>
      <c r="K30" s="514">
        <f>COUNTIF(K27:K29,"OK")</f>
        <v>1</v>
      </c>
      <c r="L30" s="514">
        <f>COUNTIF(L27:L29,"OK")</f>
        <v>1</v>
      </c>
      <c r="M30" s="514">
        <f>COUNTIF(M27:M29,"OK")</f>
        <v>1</v>
      </c>
    </row>
    <row r="31" spans="1:13" x14ac:dyDescent="0.25">
      <c r="A31" s="46" t="s">
        <v>57</v>
      </c>
      <c r="B31" s="573">
        <f>+CONSOLIDADO!P32</f>
        <v>1053483525</v>
      </c>
      <c r="C31" s="573"/>
      <c r="E31" s="45" t="s">
        <v>64</v>
      </c>
      <c r="H31" s="70">
        <f>+B31/B32</f>
        <v>22.735462850438864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b">
        <f>IF(L30=2,L22)</f>
        <v>0</v>
      </c>
      <c r="M31" s="514" t="b">
        <f>IF(M30=2,M22)</f>
        <v>0</v>
      </c>
    </row>
    <row r="32" spans="1:13" x14ac:dyDescent="0.25">
      <c r="A32" s="46" t="s">
        <v>58</v>
      </c>
      <c r="B32" s="573">
        <f>+CONSOLIDADO!Q32</f>
        <v>46336577</v>
      </c>
      <c r="C32" s="573"/>
      <c r="E32" s="45" t="s">
        <v>63</v>
      </c>
      <c r="H32" s="68">
        <f>+B33/B34</f>
        <v>0.14918332592524849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+CONSOLIDADO!R32</f>
        <v>207878247</v>
      </c>
      <c r="C33" s="573"/>
      <c r="E33" s="45" t="s">
        <v>62</v>
      </c>
      <c r="G33" s="71">
        <f>+B35*0.3</f>
        <v>1692900000</v>
      </c>
      <c r="H33" s="71">
        <f>(+B31-B32)</f>
        <v>1007146948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+CONSOLIDADO!S32</f>
        <v>1393441564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CORPORACIÓN SELVA HÚMEDA ONG</v>
      </c>
      <c r="C38" s="45" t="s">
        <v>67</v>
      </c>
      <c r="D38" s="69">
        <f>+G5</f>
        <v>0.25</v>
      </c>
    </row>
    <row r="39" spans="1:9" x14ac:dyDescent="0.25">
      <c r="A39" s="46" t="s">
        <v>57</v>
      </c>
      <c r="B39" s="573">
        <f>+CONSOLIDADO!P33</f>
        <v>1361058135</v>
      </c>
      <c r="C39" s="573"/>
      <c r="E39" s="45" t="s">
        <v>64</v>
      </c>
      <c r="H39" s="70">
        <f>+B39/B40</f>
        <v>19.374702630234861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+CONSOLIDADO!Q33</f>
        <v>70249240</v>
      </c>
      <c r="C40" s="573"/>
      <c r="E40" s="45" t="s">
        <v>63</v>
      </c>
      <c r="H40" s="68">
        <f>+B41/B42</f>
        <v>0.43781878740572494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+CONSOLIDADO!R33</f>
        <v>784653971</v>
      </c>
      <c r="C41" s="573"/>
      <c r="E41" s="45" t="s">
        <v>62</v>
      </c>
      <c r="G41" s="71">
        <f>+B43*0.3</f>
        <v>1692900000</v>
      </c>
      <c r="H41" s="71">
        <f>(+B39-B40)</f>
        <v>1290808895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+CONSOLIDADO!S33</f>
        <v>1792188900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MODEPCA LTDA</v>
      </c>
      <c r="C46" s="45" t="s">
        <v>67</v>
      </c>
      <c r="D46" s="69">
        <f>+G6</f>
        <v>0.25</v>
      </c>
    </row>
    <row r="47" spans="1:9" x14ac:dyDescent="0.25">
      <c r="A47" s="46" t="s">
        <v>57</v>
      </c>
      <c r="B47" s="573">
        <f>+CONSOLIDADO!P34</f>
        <v>216953787</v>
      </c>
      <c r="C47" s="573"/>
      <c r="E47" s="45" t="s">
        <v>64</v>
      </c>
      <c r="H47" s="70">
        <f>+B47/B48</f>
        <v>4.2883814958234225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73">
        <f>+CONSOLIDADO!Q34</f>
        <v>50591065</v>
      </c>
      <c r="C48" s="573"/>
      <c r="E48" s="45" t="s">
        <v>63</v>
      </c>
      <c r="H48" s="68">
        <f>+B49/B50</f>
        <v>0.20748871077444209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+CONSOLIDADO!R34</f>
        <v>50591065</v>
      </c>
      <c r="C49" s="573"/>
      <c r="E49" s="45" t="s">
        <v>62</v>
      </c>
      <c r="G49" s="71">
        <f>+B51*0.3</f>
        <v>1692900000</v>
      </c>
      <c r="H49" s="71">
        <f>(+B47-B48)</f>
        <v>166362722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+CONSOLIDADO!S34</f>
        <v>243825627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2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password="CCE3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27" activePane="bottomRight" state="frozen"/>
      <selection pane="topRight" activeCell="C1" sqref="C1"/>
      <selection pane="bottomLeft" activeCell="A9" sqref="A9"/>
      <selection pane="bottomRight" activeCell="H40" sqref="H40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21.710937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+CONSOLIDADO!A35</f>
        <v>UNION TEMPORAL PARA EL FORTALECIMIENTO COMUNITARIO EN LOS TERRITORIOS 2017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7</v>
      </c>
    </row>
    <row r="4" spans="1:14" x14ac:dyDescent="0.25">
      <c r="A4" s="46" t="s">
        <v>32</v>
      </c>
      <c r="B4" s="50" t="str">
        <f>+CONSOLIDADO!C36</f>
        <v>CORPORACIÓN MULTIACTIVAEMPRENDER ORGANIZACIÓN NO GUBERNAMENTAL</v>
      </c>
      <c r="C4" s="50"/>
      <c r="D4" s="50"/>
      <c r="E4" s="18"/>
      <c r="F4" s="76" t="s">
        <v>67</v>
      </c>
      <c r="G4" s="73">
        <f>+CONSOLIDADO!D36</f>
        <v>0.5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 t="str">
        <f>+CONSOLIDADO!C37</f>
        <v>FUNDACIÓN INNOVA CARIBE</v>
      </c>
      <c r="C5" s="50"/>
      <c r="D5" s="50"/>
      <c r="E5" s="1"/>
      <c r="F5" s="77" t="s">
        <v>67</v>
      </c>
      <c r="G5" s="73">
        <f>+CONSOLIDADO!D37</f>
        <v>0.5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+CONSOLIDADO!C38</f>
        <v>0</v>
      </c>
      <c r="C6" s="50"/>
      <c r="D6" s="50"/>
      <c r="E6" s="16"/>
      <c r="F6" s="78" t="s">
        <v>67</v>
      </c>
      <c r="G6" s="73">
        <f>+CONSOLIDADO!D38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 t="s">
        <v>35</v>
      </c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ht="78.75" customHeight="1" x14ac:dyDescent="0.25">
      <c r="A10" s="65" t="s">
        <v>52</v>
      </c>
      <c r="B10" s="61" t="s">
        <v>35</v>
      </c>
      <c r="C10" s="62"/>
      <c r="D10" s="63"/>
      <c r="E10" s="587" t="s">
        <v>268</v>
      </c>
      <c r="F10" s="588"/>
      <c r="G10" s="588"/>
      <c r="H10" s="588"/>
      <c r="I10" s="588"/>
      <c r="J10" s="589"/>
      <c r="K10" s="63" t="s">
        <v>28</v>
      </c>
    </row>
    <row r="11" spans="1:14" ht="90" customHeight="1" x14ac:dyDescent="0.25">
      <c r="A11" s="60" t="s">
        <v>53</v>
      </c>
      <c r="B11" s="61"/>
      <c r="C11" s="62" t="s">
        <v>35</v>
      </c>
      <c r="D11" s="63"/>
      <c r="E11" s="587" t="s">
        <v>269</v>
      </c>
      <c r="F11" s="588"/>
      <c r="G11" s="588"/>
      <c r="H11" s="588"/>
      <c r="I11" s="588"/>
      <c r="J11" s="589"/>
      <c r="K11" s="63" t="s">
        <v>207</v>
      </c>
    </row>
    <row r="12" spans="1:14" ht="103.5" customHeight="1" x14ac:dyDescent="0.25">
      <c r="A12" s="60" t="s">
        <v>106</v>
      </c>
      <c r="B12" s="61"/>
      <c r="C12" s="62" t="s">
        <v>35</v>
      </c>
      <c r="D12" s="63"/>
      <c r="E12" s="587" t="s">
        <v>270</v>
      </c>
      <c r="F12" s="588"/>
      <c r="G12" s="588"/>
      <c r="H12" s="588"/>
      <c r="I12" s="588"/>
      <c r="J12" s="589"/>
      <c r="K12" s="63" t="s">
        <v>207</v>
      </c>
    </row>
    <row r="13" spans="1:14" ht="112.5" customHeight="1" x14ac:dyDescent="0.25">
      <c r="A13" s="60" t="s">
        <v>107</v>
      </c>
      <c r="B13" s="61" t="s">
        <v>35</v>
      </c>
      <c r="C13" s="62"/>
      <c r="D13" s="63"/>
      <c r="E13" s="587" t="s">
        <v>271</v>
      </c>
      <c r="F13" s="588"/>
      <c r="G13" s="588"/>
      <c r="H13" s="588"/>
      <c r="I13" s="588"/>
      <c r="J13" s="589"/>
      <c r="K13" s="63" t="s">
        <v>48</v>
      </c>
    </row>
    <row r="14" spans="1:14" ht="99" customHeight="1" x14ac:dyDescent="0.25">
      <c r="A14" s="60" t="s">
        <v>145</v>
      </c>
      <c r="B14" s="61" t="s">
        <v>35</v>
      </c>
      <c r="C14" s="62"/>
      <c r="D14" s="63"/>
      <c r="E14" s="587" t="s">
        <v>272</v>
      </c>
      <c r="F14" s="590"/>
      <c r="G14" s="590"/>
      <c r="H14" s="590"/>
      <c r="I14" s="590"/>
      <c r="J14" s="591"/>
      <c r="K14" s="63" t="s">
        <v>48</v>
      </c>
    </row>
    <row r="15" spans="1:14" ht="69" customHeight="1" x14ac:dyDescent="0.25">
      <c r="A15" s="65" t="s">
        <v>146</v>
      </c>
      <c r="B15" s="61" t="s">
        <v>35</v>
      </c>
      <c r="C15" s="62"/>
      <c r="D15" s="63"/>
      <c r="E15" s="587" t="s">
        <v>273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CORPORACIÓN MULTIACTIVAEMPRENDER ORGANIZACIÓN NO GUBERNAMENTAL</v>
      </c>
      <c r="I20" s="145"/>
      <c r="J20" s="146"/>
      <c r="K20" s="144" t="str">
        <f>IF(K30&gt;=2,"SI",IF(L30&gt;=2,"SI",IF(M30&gt;=2,"SI","NO")))</f>
        <v>SI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UNION TEMPORAL PARA EL FORTALECIMIENTO COMUNITARIO EN LOS TERRITORIOS 2017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CORPORACIÓN MULTIACTIVAEMPRENDER ORGANIZACIÓN NO GUBERNAMENTAL</v>
      </c>
      <c r="L22" s="517" t="str">
        <f>+B5</f>
        <v>FUNDACIÓN INNOVA CARIBE</v>
      </c>
      <c r="M22" s="517">
        <f>+B6</f>
        <v>0</v>
      </c>
    </row>
    <row r="23" spans="1:13" ht="17.25" x14ac:dyDescent="0.25">
      <c r="A23" s="80" t="s">
        <v>57</v>
      </c>
      <c r="B23" s="577">
        <f>+B31*D30+B39*D38+B47*D46</f>
        <v>2909889215</v>
      </c>
      <c r="C23" s="577"/>
      <c r="D23" s="100"/>
      <c r="E23" s="81" t="s">
        <v>64</v>
      </c>
      <c r="F23" s="81"/>
      <c r="G23" s="81"/>
      <c r="H23" s="82">
        <f>+H31*D30+H39*D38</f>
        <v>7.4233907575546603</v>
      </c>
      <c r="I23" s="83" t="str">
        <f>IF(H23&gt;=1.2,"HABILITA","NO HABILITA")</f>
        <v>HABILITA</v>
      </c>
      <c r="J23" s="518">
        <f>1.2/2</f>
        <v>0.6</v>
      </c>
      <c r="K23" s="518">
        <f>+H31*J22</f>
        <v>7.4233907575546603</v>
      </c>
      <c r="L23" s="518">
        <f>+H39*J22</f>
        <v>0</v>
      </c>
      <c r="M23" s="518" t="e">
        <f>+H47*J22</f>
        <v>#DIV/0!</v>
      </c>
    </row>
    <row r="24" spans="1:13" ht="17.25" x14ac:dyDescent="0.25">
      <c r="A24" s="80" t="s">
        <v>58</v>
      </c>
      <c r="B24" s="577">
        <f>+B32*D30+B40*D38+B48*D46</f>
        <v>192108250</v>
      </c>
      <c r="C24" s="577"/>
      <c r="D24" s="101"/>
      <c r="E24" s="81" t="s">
        <v>63</v>
      </c>
      <c r="F24" s="81"/>
      <c r="G24" s="81"/>
      <c r="H24" s="84">
        <f>+H32*D30+H40*D38</f>
        <v>3.1513000197178266E-2</v>
      </c>
      <c r="I24" s="83" t="str">
        <f>IF(H24&lt;=70%,"HABILITA","NO HABILITA")</f>
        <v>HABILITA</v>
      </c>
      <c r="J24" s="519"/>
      <c r="K24" s="519"/>
      <c r="L24" s="519"/>
      <c r="M24" s="519"/>
    </row>
    <row r="25" spans="1:13" ht="17.25" x14ac:dyDescent="0.25">
      <c r="A25" s="80" t="s">
        <v>59</v>
      </c>
      <c r="B25" s="577">
        <f>+B33*D30+B41*D38+B49*D46</f>
        <v>192108250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</f>
        <v>2717780965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2660080965</v>
      </c>
      <c r="L25" s="520">
        <f>+H41*J22</f>
        <v>57700000</v>
      </c>
      <c r="M25" s="520">
        <f>+H49*J22</f>
        <v>0</v>
      </c>
    </row>
    <row r="26" spans="1:13" ht="17.25" x14ac:dyDescent="0.25">
      <c r="A26" s="80" t="s">
        <v>60</v>
      </c>
      <c r="B26" s="577">
        <f>+B34*D30+B42*D38+B50*D46</f>
        <v>3143720589.5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N/A</v>
      </c>
      <c r="M27" s="514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</row>
    <row r="29" spans="1:13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</row>
    <row r="30" spans="1:13" x14ac:dyDescent="0.25">
      <c r="A30" s="46" t="str">
        <f>+A4</f>
        <v>INTEGRANTE 1</v>
      </c>
      <c r="B30" s="44" t="str">
        <f>+B4</f>
        <v>CORPORACIÓN MULTIACTIVAEMPRENDER ORGANIZACIÓN NO GUBERNAMENTAL</v>
      </c>
      <c r="C30" s="45" t="s">
        <v>67</v>
      </c>
      <c r="D30" s="69">
        <f>+G4</f>
        <v>0.5</v>
      </c>
      <c r="J30" s="513"/>
      <c r="K30" s="514">
        <f>COUNTIF(K27:K29,"OK")</f>
        <v>2</v>
      </c>
      <c r="L30" s="514">
        <f>COUNTIF(L27:L29,"OK")</f>
        <v>0</v>
      </c>
      <c r="M30" s="514">
        <f>COUNTIF(M27:M29,"OK")</f>
        <v>0</v>
      </c>
    </row>
    <row r="31" spans="1:13" x14ac:dyDescent="0.25">
      <c r="A31" s="46" t="s">
        <v>57</v>
      </c>
      <c r="B31" s="573">
        <f>+CONSOLIDADO!P36</f>
        <v>5704378430</v>
      </c>
      <c r="C31" s="573"/>
      <c r="E31" s="45" t="s">
        <v>64</v>
      </c>
      <c r="H31" s="70">
        <f>+B31/B32</f>
        <v>14.846781515109321</v>
      </c>
      <c r="I31" s="45" t="str">
        <f>IF(H31&gt;=1.2,"HABILITA","NO HABILITA")</f>
        <v>HABILITA</v>
      </c>
      <c r="J31" s="513"/>
      <c r="K31" s="514" t="str">
        <f>IF(K30=2,K22)</f>
        <v>CORPORACIÓN MULTIACTIVAEMPRENDER ORGANIZACIÓN NO GUBERNAMENTAL</v>
      </c>
      <c r="L31" s="514" t="b">
        <f>IF(L30=2,L22)</f>
        <v>0</v>
      </c>
      <c r="M31" s="514" t="b">
        <f>IF(M30=2,M22)</f>
        <v>0</v>
      </c>
    </row>
    <row r="32" spans="1:13" x14ac:dyDescent="0.25">
      <c r="A32" s="46" t="s">
        <v>58</v>
      </c>
      <c r="B32" s="573">
        <f>+CONSOLIDADO!Q36</f>
        <v>384216500</v>
      </c>
      <c r="C32" s="573"/>
      <c r="E32" s="45" t="s">
        <v>63</v>
      </c>
      <c r="H32" s="68">
        <f>+B33/B34</f>
        <v>6.3026000394356532E-2</v>
      </c>
      <c r="I32" s="45" t="str">
        <f>IF(H32&lt;=70%,"HABILITA","NO HABILITA")</f>
        <v>HABILITA</v>
      </c>
      <c r="J32" s="513"/>
      <c r="K32" s="513"/>
      <c r="L32" s="513"/>
      <c r="M32" s="513"/>
    </row>
    <row r="33" spans="1:13" x14ac:dyDescent="0.25">
      <c r="A33" s="46" t="s">
        <v>59</v>
      </c>
      <c r="B33" s="573">
        <f>+CONSOLIDADO!R36</f>
        <v>384216500</v>
      </c>
      <c r="C33" s="573"/>
      <c r="E33" s="45" t="s">
        <v>62</v>
      </c>
      <c r="G33" s="71">
        <f>+B35*0.3</f>
        <v>1692900000</v>
      </c>
      <c r="H33" s="71">
        <f>(+B31-B32)</f>
        <v>5320161930</v>
      </c>
      <c r="I33" s="45" t="str">
        <f>IF(H33&gt;=G33,"HABILITA","NO HABILITA")</f>
        <v>HABILITA</v>
      </c>
      <c r="J33" s="513"/>
      <c r="K33" s="513"/>
      <c r="L33" s="513"/>
      <c r="M33" s="513"/>
    </row>
    <row r="34" spans="1:13" x14ac:dyDescent="0.25">
      <c r="A34" s="46" t="s">
        <v>60</v>
      </c>
      <c r="B34" s="573">
        <f>+CONSOLIDADO!S36</f>
        <v>6096158690</v>
      </c>
      <c r="C34" s="573"/>
      <c r="G34" s="69"/>
      <c r="J34" s="513"/>
      <c r="K34" s="513"/>
      <c r="L34" s="513"/>
      <c r="M34" s="513"/>
    </row>
    <row r="35" spans="1:13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</row>
    <row r="36" spans="1:13" x14ac:dyDescent="0.25">
      <c r="F36" s="66"/>
      <c r="G36" s="67"/>
      <c r="H36" s="46" t="s">
        <v>66</v>
      </c>
      <c r="I36" s="45">
        <f>COUNTIF(I31:I33,"NO HABILITA")</f>
        <v>0</v>
      </c>
    </row>
    <row r="38" spans="1:13" x14ac:dyDescent="0.25">
      <c r="A38" s="46" t="str">
        <f>+A5</f>
        <v>INTEGRANTE 2</v>
      </c>
      <c r="B38" s="44" t="str">
        <f>+B5</f>
        <v>FUNDACIÓN INNOVA CARIBE</v>
      </c>
      <c r="C38" s="45" t="s">
        <v>67</v>
      </c>
      <c r="D38" s="69">
        <f>+G5</f>
        <v>0.5</v>
      </c>
    </row>
    <row r="39" spans="1:13" x14ac:dyDescent="0.25">
      <c r="A39" s="46" t="s">
        <v>57</v>
      </c>
      <c r="B39" s="573">
        <f>+CONSOLIDADO!P37</f>
        <v>115400000</v>
      </c>
      <c r="C39" s="573"/>
      <c r="E39" s="45" t="s">
        <v>64</v>
      </c>
      <c r="H39" s="507">
        <v>0</v>
      </c>
      <c r="I39" s="45" t="str">
        <f>IF(H39&gt;=1.2,"HABILITA","NO HABILITA")</f>
        <v>NO HABILITA</v>
      </c>
    </row>
    <row r="40" spans="1:13" x14ac:dyDescent="0.25">
      <c r="A40" s="46" t="s">
        <v>58</v>
      </c>
      <c r="B40" s="573">
        <f>+CONSOLIDADO!Q37</f>
        <v>0</v>
      </c>
      <c r="C40" s="573"/>
      <c r="E40" s="45" t="s">
        <v>63</v>
      </c>
      <c r="H40" s="68">
        <f>+B41/B42</f>
        <v>0</v>
      </c>
      <c r="I40" s="45" t="str">
        <f>IF(H40&lt;=70%,"HABILITA","NO HABILITA")</f>
        <v>HABILITA</v>
      </c>
    </row>
    <row r="41" spans="1:13" x14ac:dyDescent="0.25">
      <c r="A41" s="46" t="s">
        <v>59</v>
      </c>
      <c r="B41" s="573">
        <f>+CONSOLIDADO!R37</f>
        <v>0</v>
      </c>
      <c r="C41" s="573"/>
      <c r="E41" s="45" t="s">
        <v>62</v>
      </c>
      <c r="G41" s="71">
        <f>+B43*0.3</f>
        <v>1692900000</v>
      </c>
      <c r="H41" s="71">
        <f>(+B39-B40)</f>
        <v>115400000</v>
      </c>
      <c r="I41" s="45" t="str">
        <f>IF(H41&gt;=G41,"HABILITA","NO HABILITA")</f>
        <v>NO HABILITA</v>
      </c>
    </row>
    <row r="42" spans="1:13" x14ac:dyDescent="0.25">
      <c r="A42" s="46" t="s">
        <v>60</v>
      </c>
      <c r="B42" s="573">
        <f>+CONSOLIDADO!S37</f>
        <v>191282489</v>
      </c>
      <c r="C42" s="573"/>
      <c r="G42" s="69"/>
    </row>
    <row r="43" spans="1:13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1</v>
      </c>
    </row>
    <row r="44" spans="1:13" x14ac:dyDescent="0.25">
      <c r="F44" s="66"/>
      <c r="G44" s="67"/>
      <c r="H44" s="46" t="s">
        <v>66</v>
      </c>
      <c r="I44" s="45">
        <f>COUNTIF(I39:I41,"NO HABILITA")</f>
        <v>2</v>
      </c>
    </row>
    <row r="46" spans="1:13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13" hidden="1" x14ac:dyDescent="0.25">
      <c r="A47" s="46" t="s">
        <v>57</v>
      </c>
      <c r="B47" s="573">
        <f>+CONSOLIDADO!P38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13" hidden="1" x14ac:dyDescent="0.25">
      <c r="A48" s="46" t="s">
        <v>58</v>
      </c>
      <c r="B48" s="573">
        <f>+CONSOLIDADO!Q38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hidden="1" x14ac:dyDescent="0.25">
      <c r="A49" s="46" t="s">
        <v>59</v>
      </c>
      <c r="B49" s="573">
        <f>+CONSOLIDADO!R38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73">
        <f>+CONSOLIDADO!S38</f>
        <v>0</v>
      </c>
      <c r="C50" s="573"/>
      <c r="G50" s="69"/>
    </row>
    <row r="51" spans="1:9" hidden="1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password="CCE3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12" activePane="bottomRight" state="frozen"/>
      <selection pane="topRight" activeCell="C1" sqref="C1"/>
      <selection pane="bottomLeft" activeCell="A9" sqref="A9"/>
      <selection pane="bottomRight" activeCell="E11" sqref="E11:J1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21.7109375" style="45" bestFit="1" customWidth="1"/>
    <col min="9" max="9" width="13.140625" style="45" bestFit="1" customWidth="1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+CONSOLIDADO!A39</f>
        <v>UNION TEMPORAL RENACER 2017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+CONSOLIDADO!C40</f>
        <v>DISCEP SAS</v>
      </c>
      <c r="C4" s="50"/>
      <c r="D4" s="50"/>
      <c r="E4" s="18"/>
      <c r="F4" s="76" t="s">
        <v>67</v>
      </c>
      <c r="G4" s="73">
        <f>+CONSOLIDADO!D40</f>
        <v>0.95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+CONSOLIDADO!C41</f>
        <v>FUNDACIÓN PARA EL DESARROLLO DE LA JAGUA</v>
      </c>
      <c r="C5" s="50"/>
      <c r="D5" s="50"/>
      <c r="E5" s="1"/>
      <c r="F5" s="77" t="s">
        <v>67</v>
      </c>
      <c r="G5" s="73">
        <f>+CONSOLIDADO!D41</f>
        <v>0.05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+CONSOLIDADO!C42</f>
        <v>0</v>
      </c>
      <c r="C6" s="50"/>
      <c r="D6" s="50"/>
      <c r="E6" s="16"/>
      <c r="F6" s="78" t="s">
        <v>67</v>
      </c>
      <c r="G6" s="73">
        <f>+CONSOLIDADO!D42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4" ht="81.75" customHeight="1" x14ac:dyDescent="0.25">
      <c r="A10" s="65" t="s">
        <v>52</v>
      </c>
      <c r="B10" s="61"/>
      <c r="C10" s="62" t="s">
        <v>35</v>
      </c>
      <c r="D10" s="63"/>
      <c r="E10" s="587" t="s">
        <v>304</v>
      </c>
      <c r="F10" s="588"/>
      <c r="G10" s="588"/>
      <c r="H10" s="588"/>
      <c r="I10" s="588"/>
      <c r="J10" s="589"/>
      <c r="K10" s="63" t="s">
        <v>28</v>
      </c>
    </row>
    <row r="11" spans="1:14" ht="93" customHeight="1" x14ac:dyDescent="0.25">
      <c r="A11" s="60" t="s">
        <v>53</v>
      </c>
      <c r="B11" s="61" t="s">
        <v>35</v>
      </c>
      <c r="C11" s="62"/>
      <c r="D11" s="63"/>
      <c r="E11" s="587" t="s">
        <v>274</v>
      </c>
      <c r="F11" s="588"/>
      <c r="G11" s="588"/>
      <c r="H11" s="588"/>
      <c r="I11" s="588"/>
      <c r="J11" s="589"/>
      <c r="K11" s="63" t="s">
        <v>28</v>
      </c>
    </row>
    <row r="12" spans="1:14" ht="81.75" customHeight="1" x14ac:dyDescent="0.25">
      <c r="A12" s="60" t="s">
        <v>106</v>
      </c>
      <c r="B12" s="61" t="s">
        <v>35</v>
      </c>
      <c r="C12" s="62"/>
      <c r="D12" s="63"/>
      <c r="E12" s="587" t="s">
        <v>275</v>
      </c>
      <c r="F12" s="588"/>
      <c r="G12" s="588"/>
      <c r="H12" s="588"/>
      <c r="I12" s="588"/>
      <c r="J12" s="589"/>
      <c r="K12" s="63" t="s">
        <v>48</v>
      </c>
    </row>
    <row r="13" spans="1:14" ht="90" customHeight="1" x14ac:dyDescent="0.25">
      <c r="A13" s="60" t="s">
        <v>107</v>
      </c>
      <c r="B13" s="61" t="s">
        <v>35</v>
      </c>
      <c r="C13" s="62"/>
      <c r="D13" s="63"/>
      <c r="E13" s="587" t="s">
        <v>276</v>
      </c>
      <c r="F13" s="588"/>
      <c r="G13" s="588"/>
      <c r="H13" s="588"/>
      <c r="I13" s="588"/>
      <c r="J13" s="589"/>
      <c r="K13" s="63" t="s">
        <v>48</v>
      </c>
    </row>
    <row r="14" spans="1:14" ht="81.75" customHeight="1" x14ac:dyDescent="0.25">
      <c r="A14" s="60" t="s">
        <v>145</v>
      </c>
      <c r="B14" s="61" t="s">
        <v>35</v>
      </c>
      <c r="C14" s="62"/>
      <c r="D14" s="63"/>
      <c r="E14" s="587" t="s">
        <v>277</v>
      </c>
      <c r="F14" s="590"/>
      <c r="G14" s="590"/>
      <c r="H14" s="590"/>
      <c r="I14" s="590"/>
      <c r="J14" s="591"/>
      <c r="K14" s="63" t="s">
        <v>48</v>
      </c>
    </row>
    <row r="15" spans="1:14" ht="81.75" customHeight="1" x14ac:dyDescent="0.25">
      <c r="A15" s="65" t="s">
        <v>146</v>
      </c>
      <c r="B15" s="61" t="s">
        <v>35</v>
      </c>
      <c r="C15" s="62"/>
      <c r="D15" s="63"/>
      <c r="E15" s="587" t="s">
        <v>278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DISCEP SAS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UNION TEMPORAL RENACER 2017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DISCEP SAS</v>
      </c>
      <c r="L22" s="517" t="str">
        <f>+B5</f>
        <v>FUNDACIÓN PARA EL DESARROLLO DE LA JAGUA</v>
      </c>
      <c r="M22" s="517">
        <f>+B6</f>
        <v>0</v>
      </c>
      <c r="N22" s="521"/>
    </row>
    <row r="23" spans="1:14" ht="17.25" x14ac:dyDescent="0.25">
      <c r="A23" s="80" t="s">
        <v>57</v>
      </c>
      <c r="B23" s="577">
        <f>+B31*D30+B39*D38+B47*D46</f>
        <v>6081280899.5</v>
      </c>
      <c r="C23" s="577"/>
      <c r="D23" s="100"/>
      <c r="E23" s="81" t="s">
        <v>64</v>
      </c>
      <c r="F23" s="81"/>
      <c r="G23" s="81"/>
      <c r="H23" s="82">
        <f>+H31*D30+H39*D38</f>
        <v>34.996973846053258</v>
      </c>
      <c r="I23" s="83" t="str">
        <f>IF(H23&gt;=1.2,"HABILITA","NO HABILITA")</f>
        <v>HABILITA</v>
      </c>
      <c r="J23" s="518">
        <f>1.2/2</f>
        <v>0.6</v>
      </c>
      <c r="K23" s="518">
        <f>+H31*J22</f>
        <v>4.8057310593262779</v>
      </c>
      <c r="L23" s="518">
        <f>+H39*J22</f>
        <v>258.66084833333332</v>
      </c>
      <c r="M23" s="518" t="e">
        <f>+H47*J22</f>
        <v>#DIV/0!</v>
      </c>
      <c r="N23" s="521"/>
    </row>
    <row r="24" spans="1:14" ht="17.25" x14ac:dyDescent="0.25">
      <c r="A24" s="80" t="s">
        <v>58</v>
      </c>
      <c r="B24" s="577">
        <f>+B32*D30+B40*D38+B48*D46</f>
        <v>629541916.79999995</v>
      </c>
      <c r="C24" s="577"/>
      <c r="D24" s="101"/>
      <c r="E24" s="81" t="s">
        <v>63</v>
      </c>
      <c r="F24" s="81"/>
      <c r="G24" s="81"/>
      <c r="H24" s="84">
        <f>+H32*D30+H40*D38</f>
        <v>0.3703940842928436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3037716045.5999999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</f>
        <v>5451738982.6999998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2853031411</v>
      </c>
      <c r="L25" s="520">
        <f>+H41*J22</f>
        <v>309793018</v>
      </c>
      <c r="M25" s="520">
        <f>+H49*J22</f>
        <v>0</v>
      </c>
      <c r="N25" s="521"/>
    </row>
    <row r="26" spans="1:14" ht="17.25" x14ac:dyDescent="0.25">
      <c r="A26" s="80" t="s">
        <v>60</v>
      </c>
      <c r="B26" s="577">
        <f>+B34*D30+B42*D38+B50*D46</f>
        <v>8592194351.5499992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e">
        <f>IF(M23&gt;=$J$23,"OK","N/A")</f>
        <v>#DIV/0!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  <c r="N29" s="521"/>
    </row>
    <row r="30" spans="1:14" x14ac:dyDescent="0.25">
      <c r="A30" s="46" t="str">
        <f>+A4</f>
        <v>INTEGRANTE 1</v>
      </c>
      <c r="B30" s="44" t="str">
        <f>+B4</f>
        <v>DISCEP SAS</v>
      </c>
      <c r="C30" s="45" t="s">
        <v>67</v>
      </c>
      <c r="D30" s="69">
        <f>+G4</f>
        <v>0.95</v>
      </c>
      <c r="J30" s="513"/>
      <c r="K30" s="514">
        <f>COUNTIF(K27:K29,"OK")</f>
        <v>2</v>
      </c>
      <c r="L30" s="514">
        <f>COUNTIF(L27:L29,"OK")</f>
        <v>1</v>
      </c>
      <c r="M30" s="514">
        <f>COUNTIF(M27:M29,"OK")</f>
        <v>0</v>
      </c>
      <c r="N30" s="521"/>
    </row>
    <row r="31" spans="1:14" x14ac:dyDescent="0.25">
      <c r="A31" s="46" t="s">
        <v>57</v>
      </c>
      <c r="B31" s="573">
        <f>+CONSOLIDADO!P40</f>
        <v>6368675366</v>
      </c>
      <c r="C31" s="573"/>
      <c r="E31" s="45" t="s">
        <v>64</v>
      </c>
      <c r="H31" s="70">
        <f>+B31/B32</f>
        <v>9.6114621186525557</v>
      </c>
      <c r="I31" s="45" t="str">
        <f>IF(H31&gt;=1.2,"HABILITA","NO HABILITA")</f>
        <v>HABILITA</v>
      </c>
      <c r="J31" s="513"/>
      <c r="K31" s="514" t="str">
        <f>IF(K30=2,K22)</f>
        <v>DISCEP SAS</v>
      </c>
      <c r="L31" s="514" t="b">
        <f>IF(L30=2,L22)</f>
        <v>0</v>
      </c>
      <c r="M31" s="514" t="b">
        <f>IF(M30=2,M22)</f>
        <v>0</v>
      </c>
      <c r="N31" s="521"/>
    </row>
    <row r="32" spans="1:14" x14ac:dyDescent="0.25">
      <c r="A32" s="46" t="s">
        <v>58</v>
      </c>
      <c r="B32" s="573">
        <f>+CONSOLIDADO!Q40</f>
        <v>662612544</v>
      </c>
      <c r="C32" s="573"/>
      <c r="E32" s="45" t="s">
        <v>63</v>
      </c>
      <c r="H32" s="68">
        <f>+B33/B34</f>
        <v>0.35213597229935806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+CONSOLIDADO!R40</f>
        <v>3172586158</v>
      </c>
      <c r="C33" s="573"/>
      <c r="E33" s="45" t="s">
        <v>62</v>
      </c>
      <c r="G33" s="71">
        <f>+B35*0.3</f>
        <v>1692900000</v>
      </c>
      <c r="H33" s="71">
        <f>(+B31-B32)</f>
        <v>5706062822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73">
        <f>+CONSOLIDADO!S40</f>
        <v>9009548605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FUNDACIÓN PARA EL DESARROLLO DE LA JAGUA</v>
      </c>
      <c r="C38" s="45" t="s">
        <v>67</v>
      </c>
      <c r="D38" s="69">
        <f>+G5</f>
        <v>0.05</v>
      </c>
    </row>
    <row r="39" spans="1:9" x14ac:dyDescent="0.25">
      <c r="A39" s="46" t="s">
        <v>57</v>
      </c>
      <c r="B39" s="573">
        <f>+CONSOLIDADO!P41</f>
        <v>620786036</v>
      </c>
      <c r="C39" s="573"/>
      <c r="E39" s="45" t="s">
        <v>64</v>
      </c>
      <c r="H39" s="70">
        <f>+B39/B40</f>
        <v>517.32169666666664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+CONSOLIDADO!Q41</f>
        <v>1200000</v>
      </c>
      <c r="C40" s="573"/>
      <c r="E40" s="45" t="s">
        <v>63</v>
      </c>
      <c r="H40" s="68">
        <f>+B41/B42</f>
        <v>0.71729821216906953</v>
      </c>
      <c r="I40" s="45" t="str">
        <f>IF(H40&lt;=70%,"HABILITA","NO HABILITA")</f>
        <v>NO HABILITA</v>
      </c>
    </row>
    <row r="41" spans="1:9" x14ac:dyDescent="0.25">
      <c r="A41" s="46" t="s">
        <v>59</v>
      </c>
      <c r="B41" s="573">
        <f>+CONSOLIDADO!R41</f>
        <v>475183910</v>
      </c>
      <c r="C41" s="573"/>
      <c r="E41" s="45" t="s">
        <v>62</v>
      </c>
      <c r="G41" s="71">
        <f>+B43*0.3</f>
        <v>1692900000</v>
      </c>
      <c r="H41" s="71">
        <f>(+B39-B40)</f>
        <v>619586036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+CONSOLIDADO!S41</f>
        <v>662463536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1</v>
      </c>
    </row>
    <row r="44" spans="1:9" x14ac:dyDescent="0.25">
      <c r="F44" s="66"/>
      <c r="G44" s="67"/>
      <c r="H44" s="46" t="s">
        <v>66</v>
      </c>
      <c r="I44" s="45">
        <f>COUNTIF(I39:I41,"NO HABILITA")</f>
        <v>2</v>
      </c>
    </row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73">
        <f>+CONSOLIDADO!P42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hidden="1" x14ac:dyDescent="0.25">
      <c r="A48" s="46" t="s">
        <v>58</v>
      </c>
      <c r="B48" s="573">
        <f>+CONSOLIDADO!Q42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hidden="1" x14ac:dyDescent="0.25">
      <c r="A49" s="46" t="s">
        <v>59</v>
      </c>
      <c r="B49" s="573">
        <f>+CONSOLIDADO!R42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73">
        <f>+CONSOLIDADO!S42</f>
        <v>0</v>
      </c>
      <c r="C50" s="573"/>
      <c r="G50" s="69"/>
    </row>
    <row r="51" spans="1:9" hidden="1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algorithmName="SHA-512" hashValue="UIt6VLf/8MHdgtv5gbSlxe26usHmF/3RrpBCq18FFnGIPAsD5YvIWDKsykVIlwcptfSoGvJmELK6jrYgoRjx3w==" saltValue="9gCurkNV7LslbIIJh26PVA==" spinCount="100000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N69" sqref="N69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+CONSOLIDADO!A43</f>
        <v>WILLIAM ARTURO DAZA FLOREZ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+CONSOLIDADO!C44</f>
        <v>WILIAM ARTURO DAZA</v>
      </c>
      <c r="C4" s="50"/>
      <c r="D4" s="50"/>
      <c r="E4" s="18"/>
      <c r="F4" s="76" t="s">
        <v>67</v>
      </c>
      <c r="G4" s="73">
        <f>+CONSOLIDADO!D44</f>
        <v>1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>
        <f>+CONSOLIDADO!C45</f>
        <v>0</v>
      </c>
      <c r="C5" s="50"/>
      <c r="D5" s="50"/>
      <c r="E5" s="1"/>
      <c r="F5" s="77" t="s">
        <v>67</v>
      </c>
      <c r="G5" s="73">
        <f>+CONSOLIDADO!D45</f>
        <v>0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+CONSOLIDADO!C46</f>
        <v>0</v>
      </c>
      <c r="C6" s="50"/>
      <c r="D6" s="50"/>
      <c r="E6" s="16"/>
      <c r="F6" s="78" t="s">
        <v>67</v>
      </c>
      <c r="G6" s="73">
        <f>+CONSOLIDADO!D46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4" x14ac:dyDescent="0.25">
      <c r="A10" s="65" t="s">
        <v>52</v>
      </c>
      <c r="B10" s="61" t="s">
        <v>35</v>
      </c>
      <c r="C10" s="62"/>
      <c r="D10" s="63"/>
      <c r="E10" s="587" t="s">
        <v>281</v>
      </c>
      <c r="F10" s="588"/>
      <c r="G10" s="588"/>
      <c r="H10" s="588"/>
      <c r="I10" s="588"/>
      <c r="J10" s="589"/>
      <c r="K10" s="63" t="s">
        <v>28</v>
      </c>
    </row>
    <row r="11" spans="1:14" x14ac:dyDescent="0.25">
      <c r="A11" s="60" t="s">
        <v>53</v>
      </c>
      <c r="B11" s="61"/>
      <c r="C11" s="62"/>
      <c r="D11" s="63" t="s">
        <v>35</v>
      </c>
      <c r="E11" s="587" t="s">
        <v>282</v>
      </c>
      <c r="F11" s="588"/>
      <c r="G11" s="588"/>
      <c r="H11" s="588"/>
      <c r="I11" s="588"/>
      <c r="J11" s="589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87" t="s">
        <v>283</v>
      </c>
      <c r="F12" s="588"/>
      <c r="G12" s="588"/>
      <c r="H12" s="588"/>
      <c r="I12" s="588"/>
      <c r="J12" s="589"/>
      <c r="K12" s="63" t="s">
        <v>48</v>
      </c>
    </row>
    <row r="13" spans="1:14" ht="15" customHeight="1" x14ac:dyDescent="0.25">
      <c r="A13" s="60" t="s">
        <v>107</v>
      </c>
      <c r="B13" s="61"/>
      <c r="C13" s="62"/>
      <c r="D13" s="63" t="s">
        <v>35</v>
      </c>
      <c r="E13" s="587" t="s">
        <v>282</v>
      </c>
      <c r="F13" s="588"/>
      <c r="G13" s="588"/>
      <c r="H13" s="588"/>
      <c r="I13" s="588"/>
      <c r="J13" s="589"/>
      <c r="K13" s="63" t="s">
        <v>48</v>
      </c>
    </row>
    <row r="14" spans="1:14" ht="27" customHeight="1" x14ac:dyDescent="0.25">
      <c r="A14" s="60" t="s">
        <v>145</v>
      </c>
      <c r="B14" s="61" t="s">
        <v>35</v>
      </c>
      <c r="C14" s="62"/>
      <c r="D14" s="63"/>
      <c r="E14" s="587" t="s">
        <v>284</v>
      </c>
      <c r="F14" s="590"/>
      <c r="G14" s="590"/>
      <c r="H14" s="590"/>
      <c r="I14" s="590"/>
      <c r="J14" s="591"/>
      <c r="K14" s="63" t="s">
        <v>48</v>
      </c>
    </row>
    <row r="15" spans="1:14" ht="15" customHeight="1" x14ac:dyDescent="0.25">
      <c r="A15" s="65" t="s">
        <v>146</v>
      </c>
      <c r="B15" s="61"/>
      <c r="C15" s="62"/>
      <c r="D15" s="63" t="s">
        <v>35</v>
      </c>
      <c r="E15" s="587" t="s">
        <v>282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WILIAM ARTURO DAZA</v>
      </c>
      <c r="I20" s="145"/>
      <c r="J20" s="146"/>
      <c r="K20" s="144" t="str">
        <f>IF(K30&gt;=2,"SI",IF(L30&gt;=2,"SI",IF(M30&gt;=2,"SI","NO")))</f>
        <v>SI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WILLIAM ARTURO DAZA FLOREZ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WILIAM ARTURO DAZA</v>
      </c>
      <c r="L22" s="517">
        <f>+B5</f>
        <v>0</v>
      </c>
      <c r="M22" s="517">
        <f>+B6</f>
        <v>0</v>
      </c>
    </row>
    <row r="23" spans="1:13" ht="17.25" x14ac:dyDescent="0.25">
      <c r="A23" s="80" t="s">
        <v>57</v>
      </c>
      <c r="B23" s="577">
        <f>+B31*D30+B39*D38+B47*D46</f>
        <v>1761267621</v>
      </c>
      <c r="C23" s="577"/>
      <c r="D23" s="100"/>
      <c r="E23" s="81" t="s">
        <v>64</v>
      </c>
      <c r="F23" s="81"/>
      <c r="G23" s="81"/>
      <c r="H23" s="82">
        <f>+H31*D30</f>
        <v>43.876012946563975</v>
      </c>
      <c r="I23" s="83" t="str">
        <f>IF(H23&gt;=1.2,"HABILITA","NO HABILITA")</f>
        <v>HABILITA</v>
      </c>
      <c r="J23" s="518">
        <f>1.2/2</f>
        <v>0.6</v>
      </c>
      <c r="K23" s="518">
        <f>+H31*J22</f>
        <v>21.938006473281987</v>
      </c>
      <c r="L23" s="518" t="e">
        <f>+H39*J22</f>
        <v>#DIV/0!</v>
      </c>
      <c r="M23" s="518" t="e">
        <f>+H47*J22</f>
        <v>#DIV/0!</v>
      </c>
    </row>
    <row r="24" spans="1:13" ht="17.25" x14ac:dyDescent="0.25">
      <c r="A24" s="80" t="s">
        <v>58</v>
      </c>
      <c r="B24" s="577">
        <f>+B32*D30+B40*D38+B48*D46</f>
        <v>40141925</v>
      </c>
      <c r="C24" s="577"/>
      <c r="D24" s="101"/>
      <c r="E24" s="81" t="s">
        <v>63</v>
      </c>
      <c r="F24" s="81"/>
      <c r="G24" s="81"/>
      <c r="H24" s="84">
        <f>+H32*D30</f>
        <v>0.17054908235536281</v>
      </c>
      <c r="I24" s="83" t="str">
        <f>IF(H24&lt;=70%,"HABILITA","NO HABILITA")</f>
        <v>HABILITA</v>
      </c>
      <c r="J24" s="519"/>
      <c r="K24" s="519"/>
      <c r="L24" s="519"/>
      <c r="M24" s="519"/>
    </row>
    <row r="25" spans="1:13" ht="17.25" x14ac:dyDescent="0.25">
      <c r="A25" s="80" t="s">
        <v>59</v>
      </c>
      <c r="B25" s="577">
        <f>+B33*D30+B41*D38+B49*D46</f>
        <v>329778246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</f>
        <v>1721125696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860562848</v>
      </c>
      <c r="L25" s="520">
        <f>+H41*J22</f>
        <v>0</v>
      </c>
      <c r="M25" s="520">
        <f>+H49*J22</f>
        <v>0</v>
      </c>
    </row>
    <row r="26" spans="1:13" ht="17.25" x14ac:dyDescent="0.25">
      <c r="A26" s="80" t="s">
        <v>60</v>
      </c>
      <c r="B26" s="577">
        <f>+B34*D30+B42*D38+B50*D46</f>
        <v>1933626622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e">
        <f>IF(L23&gt;=$J$23,"OK","N/A")</f>
        <v>#DIV/0!</v>
      </c>
      <c r="M27" s="514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</row>
    <row r="29" spans="1:13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</row>
    <row r="30" spans="1:13" x14ac:dyDescent="0.25">
      <c r="A30" s="46" t="str">
        <f>+A4</f>
        <v>INTEGRANTE 1</v>
      </c>
      <c r="B30" s="44" t="str">
        <f>+B4</f>
        <v>WILIAM ARTURO DAZA</v>
      </c>
      <c r="C30" s="45" t="s">
        <v>67</v>
      </c>
      <c r="D30" s="69">
        <f>+G4</f>
        <v>1</v>
      </c>
      <c r="J30" s="513"/>
      <c r="K30" s="514">
        <f>COUNTIF(K27:K29,"OK")</f>
        <v>2</v>
      </c>
      <c r="L30" s="514">
        <f>COUNTIF(L27:L29,"OK")</f>
        <v>0</v>
      </c>
      <c r="M30" s="514">
        <f>COUNTIF(M27:M29,"OK")</f>
        <v>0</v>
      </c>
    </row>
    <row r="31" spans="1:13" x14ac:dyDescent="0.25">
      <c r="A31" s="46" t="s">
        <v>57</v>
      </c>
      <c r="B31" s="573">
        <f>+CONSOLIDADO!P44</f>
        <v>1761267621</v>
      </c>
      <c r="C31" s="573"/>
      <c r="E31" s="45" t="s">
        <v>64</v>
      </c>
      <c r="H31" s="70">
        <f>+B31/B32</f>
        <v>43.876012946563975</v>
      </c>
      <c r="I31" s="45" t="str">
        <f>IF(H31&gt;=1.2,"HABILITA","NO HABILITA")</f>
        <v>HABILITA</v>
      </c>
      <c r="J31" s="513"/>
      <c r="K31" s="514" t="str">
        <f>IF(K30=2,K22)</f>
        <v>WILIAM ARTURO DAZA</v>
      </c>
      <c r="L31" s="514" t="b">
        <f>IF(L30=2,L22)</f>
        <v>0</v>
      </c>
      <c r="M31" s="514" t="b">
        <f>IF(M30=2,M22)</f>
        <v>0</v>
      </c>
    </row>
    <row r="32" spans="1:13" x14ac:dyDescent="0.25">
      <c r="A32" s="46" t="s">
        <v>58</v>
      </c>
      <c r="B32" s="573">
        <f>+CONSOLIDADO!Q44</f>
        <v>40141925</v>
      </c>
      <c r="C32" s="573"/>
      <c r="E32" s="45" t="s">
        <v>63</v>
      </c>
      <c r="H32" s="68">
        <f>+B33/B34</f>
        <v>0.17054908235536281</v>
      </c>
      <c r="I32" s="45" t="str">
        <f>IF(H32&lt;=70%,"HABILITA","NO HABILITA")</f>
        <v>HABILITA</v>
      </c>
      <c r="J32" s="513"/>
      <c r="K32" s="513"/>
      <c r="L32" s="513"/>
      <c r="M32" s="513"/>
    </row>
    <row r="33" spans="1:13" x14ac:dyDescent="0.25">
      <c r="A33" s="46" t="s">
        <v>59</v>
      </c>
      <c r="B33" s="573">
        <f>+CONSOLIDADO!R44</f>
        <v>329778246</v>
      </c>
      <c r="C33" s="573"/>
      <c r="E33" s="45" t="s">
        <v>62</v>
      </c>
      <c r="G33" s="71">
        <f>+B35*0.3</f>
        <v>1692900000</v>
      </c>
      <c r="H33" s="71">
        <f>(+B31-B32)</f>
        <v>1721125696</v>
      </c>
      <c r="I33" s="45" t="str">
        <f>IF(H33&gt;=G33,"HABILITA","NO HABILITA")</f>
        <v>HABILITA</v>
      </c>
      <c r="J33" s="513"/>
      <c r="K33" s="513"/>
      <c r="L33" s="513"/>
      <c r="M33" s="513"/>
    </row>
    <row r="34" spans="1:13" x14ac:dyDescent="0.25">
      <c r="A34" s="46" t="s">
        <v>60</v>
      </c>
      <c r="B34" s="573">
        <f>+CONSOLIDADO!S44</f>
        <v>1933626622</v>
      </c>
      <c r="C34" s="573"/>
      <c r="G34" s="69"/>
      <c r="J34" s="513"/>
      <c r="K34" s="513"/>
      <c r="L34" s="513"/>
      <c r="M34" s="513"/>
    </row>
    <row r="35" spans="1:13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  <c r="J35" s="513"/>
      <c r="K35" s="513"/>
      <c r="L35" s="513"/>
      <c r="M35" s="513"/>
    </row>
    <row r="36" spans="1:13" x14ac:dyDescent="0.25">
      <c r="F36" s="66"/>
      <c r="G36" s="67"/>
      <c r="H36" s="46" t="s">
        <v>66</v>
      </c>
      <c r="I36" s="45">
        <f>COUNTIF(I31:I33,"NO HABILITA")</f>
        <v>0</v>
      </c>
    </row>
    <row r="38" spans="1:13" hidden="1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13" hidden="1" x14ac:dyDescent="0.25">
      <c r="A39" s="46" t="s">
        <v>57</v>
      </c>
      <c r="B39" s="573">
        <f>+CONSOLIDADO!P45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13" hidden="1" x14ac:dyDescent="0.25">
      <c r="A40" s="46" t="s">
        <v>58</v>
      </c>
      <c r="B40" s="573">
        <f>+CONSOLIDADO!Q45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13" hidden="1" x14ac:dyDescent="0.25">
      <c r="A41" s="46" t="s">
        <v>59</v>
      </c>
      <c r="B41" s="573">
        <f>+CONSOLIDADO!R45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13" hidden="1" x14ac:dyDescent="0.25">
      <c r="A42" s="46" t="s">
        <v>60</v>
      </c>
      <c r="B42" s="573">
        <f>+CONSOLIDADO!S45</f>
        <v>0</v>
      </c>
      <c r="C42" s="573"/>
      <c r="G42" s="69"/>
    </row>
    <row r="43" spans="1:13" hidden="1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13" hidden="1" x14ac:dyDescent="0.25">
      <c r="F44" s="66"/>
      <c r="G44" s="67"/>
      <c r="H44" s="46" t="s">
        <v>66</v>
      </c>
      <c r="I44" s="45">
        <f>COUNTIF(I39:I41,"NO HABILITA")</f>
        <v>1</v>
      </c>
    </row>
    <row r="45" spans="1:13" hidden="1" x14ac:dyDescent="0.25"/>
    <row r="46" spans="1:13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13" hidden="1" x14ac:dyDescent="0.25">
      <c r="A47" s="46" t="s">
        <v>57</v>
      </c>
      <c r="B47" s="573">
        <f>+CONSOLIDADO!P46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13" hidden="1" x14ac:dyDescent="0.25">
      <c r="A48" s="46" t="s">
        <v>58</v>
      </c>
      <c r="B48" s="573">
        <f>+CONSOLIDADO!Q46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hidden="1" x14ac:dyDescent="0.25">
      <c r="A49" s="46" t="s">
        <v>59</v>
      </c>
      <c r="B49" s="573">
        <f>+CONSOLIDADO!R46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73">
        <f>+CONSOLIDADO!S46</f>
        <v>0</v>
      </c>
      <c r="C50" s="573"/>
      <c r="G50" s="69"/>
    </row>
    <row r="51" spans="1:9" hidden="1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password="CCE3" sheet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K16" sqref="K1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21.28515625" style="45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+CONSOLIDADO!A47</f>
        <v>FEDERACIÓN NACIONAL DE CAFETEROS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+CONSOLIDADO!C48</f>
        <v>FEDERACION NACIONAL DE CAFETEROS</v>
      </c>
      <c r="C4" s="50"/>
      <c r="D4" s="50"/>
      <c r="E4" s="18"/>
      <c r="F4" s="76" t="s">
        <v>67</v>
      </c>
      <c r="G4" s="73">
        <f>+CONSOLIDADO!D48</f>
        <v>1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>
        <f>+CONSOLIDADO!C49</f>
        <v>0</v>
      </c>
      <c r="C5" s="50"/>
      <c r="D5" s="50"/>
      <c r="E5" s="1"/>
      <c r="F5" s="77" t="s">
        <v>67</v>
      </c>
      <c r="G5" s="73">
        <f>+CONSOLIDADO!D49</f>
        <v>0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>
        <f>+CONSOLIDADO!C50</f>
        <v>0</v>
      </c>
      <c r="C6" s="50"/>
      <c r="D6" s="50"/>
      <c r="E6" s="16"/>
      <c r="F6" s="78" t="s">
        <v>67</v>
      </c>
      <c r="G6" s="73">
        <f>+CONSOLIDADO!D50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4" x14ac:dyDescent="0.25">
      <c r="A10" s="65" t="s">
        <v>52</v>
      </c>
      <c r="B10" s="61" t="s">
        <v>35</v>
      </c>
      <c r="C10" s="62"/>
      <c r="D10" s="63"/>
      <c r="E10" s="587" t="s">
        <v>287</v>
      </c>
      <c r="F10" s="588"/>
      <c r="G10" s="588"/>
      <c r="H10" s="588"/>
      <c r="I10" s="588"/>
      <c r="J10" s="589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87" t="s">
        <v>288</v>
      </c>
      <c r="F11" s="588"/>
      <c r="G11" s="588"/>
      <c r="H11" s="588"/>
      <c r="I11" s="588"/>
      <c r="J11" s="589"/>
      <c r="K11" s="63" t="s">
        <v>28</v>
      </c>
    </row>
    <row r="12" spans="1:14" ht="69.75" customHeight="1" x14ac:dyDescent="0.25">
      <c r="A12" s="60" t="s">
        <v>106</v>
      </c>
      <c r="B12" s="61" t="s">
        <v>35</v>
      </c>
      <c r="C12" s="62"/>
      <c r="D12" s="63"/>
      <c r="E12" s="592" t="s">
        <v>289</v>
      </c>
      <c r="F12" s="593"/>
      <c r="G12" s="593"/>
      <c r="H12" s="593"/>
      <c r="I12" s="593"/>
      <c r="J12" s="594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87" t="s">
        <v>309</v>
      </c>
      <c r="F13" s="588"/>
      <c r="G13" s="588"/>
      <c r="H13" s="588"/>
      <c r="I13" s="588"/>
      <c r="J13" s="589"/>
      <c r="K13" s="63" t="s">
        <v>28</v>
      </c>
    </row>
    <row r="14" spans="1:14" x14ac:dyDescent="0.25">
      <c r="A14" s="60" t="s">
        <v>145</v>
      </c>
      <c r="B14" s="61" t="s">
        <v>35</v>
      </c>
      <c r="C14" s="62"/>
      <c r="D14" s="63"/>
      <c r="E14" s="587" t="s">
        <v>290</v>
      </c>
      <c r="F14" s="590"/>
      <c r="G14" s="590"/>
      <c r="H14" s="590"/>
      <c r="I14" s="590"/>
      <c r="J14" s="591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87" t="s">
        <v>309</v>
      </c>
      <c r="F15" s="588"/>
      <c r="G15" s="588"/>
      <c r="H15" s="588"/>
      <c r="I15" s="588"/>
      <c r="J15" s="589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FEDERACION NACIONAL DE CAFETEROS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FEDERACIÓN NACIONAL DE CAFETEROS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FEDERACION NACIONAL DE CAFETEROS</v>
      </c>
      <c r="L22" s="517">
        <f>+B5</f>
        <v>0</v>
      </c>
      <c r="M22" s="517">
        <f>+B6</f>
        <v>0</v>
      </c>
      <c r="N22" s="521"/>
    </row>
    <row r="23" spans="1:14" ht="17.25" x14ac:dyDescent="0.25">
      <c r="A23" s="80" t="s">
        <v>57</v>
      </c>
      <c r="B23" s="577">
        <f>+B31*D30+B39*D38+B47*D46</f>
        <v>184551595000</v>
      </c>
      <c r="C23" s="577"/>
      <c r="D23" s="100"/>
      <c r="E23" s="81" t="s">
        <v>64</v>
      </c>
      <c r="F23" s="81"/>
      <c r="G23" s="81"/>
      <c r="H23" s="82">
        <f>+H31*D30</f>
        <v>1.8725297951108897</v>
      </c>
      <c r="I23" s="83" t="str">
        <f>IF(H23&gt;=1.2,"HABILITA","NO HABILITA")</f>
        <v>HABILITA</v>
      </c>
      <c r="J23" s="518">
        <f>1.2/2</f>
        <v>0.6</v>
      </c>
      <c r="K23" s="518">
        <f>+H31*J22</f>
        <v>0.93626489755544484</v>
      </c>
      <c r="L23" s="518" t="e">
        <f>+H39*J22</f>
        <v>#DIV/0!</v>
      </c>
      <c r="M23" s="518" t="e">
        <f>+H47*J22</f>
        <v>#DIV/0!</v>
      </c>
      <c r="N23" s="521"/>
    </row>
    <row r="24" spans="1:14" ht="17.25" x14ac:dyDescent="0.25">
      <c r="A24" s="80" t="s">
        <v>58</v>
      </c>
      <c r="B24" s="577">
        <f>+B32*D30+B40*D38+B48*D46</f>
        <v>98557361000</v>
      </c>
      <c r="C24" s="577"/>
      <c r="D24" s="101"/>
      <c r="E24" s="81" t="s">
        <v>63</v>
      </c>
      <c r="F24" s="81"/>
      <c r="G24" s="81"/>
      <c r="H24" s="84">
        <f>+H32*D30</f>
        <v>0.33566345074645865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311505916000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</f>
        <v>85994234000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42997117000</v>
      </c>
      <c r="L25" s="520">
        <f>+H41*J22</f>
        <v>0</v>
      </c>
      <c r="M25" s="520">
        <f>+H49*J22</f>
        <v>0</v>
      </c>
      <c r="N25" s="521"/>
    </row>
    <row r="26" spans="1:14" ht="17.25" x14ac:dyDescent="0.25">
      <c r="A26" s="80" t="s">
        <v>60</v>
      </c>
      <c r="B26" s="577">
        <f>+B34*D30+B42*D38+B50*D46</f>
        <v>928030488000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e">
        <f>IF(L23&gt;=$J$23,"OK","N/A")</f>
        <v>#DIV/0!</v>
      </c>
      <c r="M27" s="514" t="e">
        <f>IF(M23&gt;=$J$23,"OK","N/A")</f>
        <v>#DIV/0!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  <c r="N29" s="521"/>
    </row>
    <row r="30" spans="1:14" x14ac:dyDescent="0.25">
      <c r="A30" s="46" t="str">
        <f>+A4</f>
        <v>INTEGRANTE 1</v>
      </c>
      <c r="B30" s="44" t="str">
        <f>+B4</f>
        <v>FEDERACION NACIONAL DE CAFETEROS</v>
      </c>
      <c r="C30" s="45" t="s">
        <v>67</v>
      </c>
      <c r="D30" s="69">
        <f>+G4</f>
        <v>1</v>
      </c>
      <c r="J30" s="513"/>
      <c r="K30" s="514">
        <f>COUNTIF(K27:K29,"OK")</f>
        <v>2</v>
      </c>
      <c r="L30" s="514">
        <f>COUNTIF(L27:L29,"OK")</f>
        <v>0</v>
      </c>
      <c r="M30" s="514">
        <f>COUNTIF(M27:M29,"OK")</f>
        <v>0</v>
      </c>
      <c r="N30" s="521"/>
    </row>
    <row r="31" spans="1:14" x14ac:dyDescent="0.25">
      <c r="A31" s="46" t="s">
        <v>57</v>
      </c>
      <c r="B31" s="573">
        <f>+CONSOLIDADO!P48</f>
        <v>184551595000</v>
      </c>
      <c r="C31" s="573"/>
      <c r="E31" s="45" t="s">
        <v>64</v>
      </c>
      <c r="H31" s="70">
        <f>+B31/B32</f>
        <v>1.8725297951108897</v>
      </c>
      <c r="I31" s="45" t="str">
        <f>IF(H31&gt;=1.2,"HABILITA","NO HABILITA")</f>
        <v>HABILITA</v>
      </c>
      <c r="J31" s="513"/>
      <c r="K31" s="514" t="str">
        <f>IF(K30=2,K22)</f>
        <v>FEDERACION NACIONAL DE CAFETEROS</v>
      </c>
      <c r="L31" s="514" t="b">
        <f>IF(L30=2,L22)</f>
        <v>0</v>
      </c>
      <c r="M31" s="514" t="b">
        <f>IF(M30=2,M22)</f>
        <v>0</v>
      </c>
      <c r="N31" s="521"/>
    </row>
    <row r="32" spans="1:14" x14ac:dyDescent="0.25">
      <c r="A32" s="46" t="s">
        <v>58</v>
      </c>
      <c r="B32" s="573">
        <f>+CONSOLIDADO!Q48</f>
        <v>98557361000</v>
      </c>
      <c r="C32" s="573"/>
      <c r="E32" s="45" t="s">
        <v>63</v>
      </c>
      <c r="H32" s="68">
        <f>+B33/B34</f>
        <v>0.33566345074645865</v>
      </c>
      <c r="I32" s="45" t="str">
        <f>IF(H32&lt;=70%,"HABILITA","NO HABILITA")</f>
        <v>HABILITA</v>
      </c>
      <c r="J32" s="513"/>
      <c r="K32" s="513"/>
      <c r="L32" s="513"/>
      <c r="M32" s="513"/>
      <c r="N32" s="521"/>
    </row>
    <row r="33" spans="1:9" x14ac:dyDescent="0.25">
      <c r="A33" s="46" t="s">
        <v>59</v>
      </c>
      <c r="B33" s="573">
        <f>+CONSOLIDADO!R48</f>
        <v>311505916000</v>
      </c>
      <c r="C33" s="573"/>
      <c r="E33" s="45" t="s">
        <v>62</v>
      </c>
      <c r="G33" s="71">
        <f>+B35*0.3</f>
        <v>1692900000</v>
      </c>
      <c r="H33" s="71">
        <f>(+B31-B32)</f>
        <v>85994234000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73">
        <f>+CONSOLIDADO!S48</f>
        <v>928030488000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7" spans="1:9" hidden="1" x14ac:dyDescent="0.25"/>
    <row r="38" spans="1:9" hidden="1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hidden="1" x14ac:dyDescent="0.25">
      <c r="A39" s="46" t="s">
        <v>57</v>
      </c>
      <c r="B39" s="573">
        <f>+CONSOLIDADO!P49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hidden="1" x14ac:dyDescent="0.25">
      <c r="A40" s="46" t="s">
        <v>58</v>
      </c>
      <c r="B40" s="573">
        <f>+CONSOLIDADO!Q49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hidden="1" x14ac:dyDescent="0.25">
      <c r="A41" s="46" t="s">
        <v>59</v>
      </c>
      <c r="B41" s="573">
        <f>+CONSOLIDADO!R49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9" hidden="1" x14ac:dyDescent="0.25">
      <c r="A42" s="46" t="s">
        <v>60</v>
      </c>
      <c r="B42" s="573">
        <f>+CONSOLIDADO!S49</f>
        <v>0</v>
      </c>
      <c r="C42" s="573"/>
      <c r="G42" s="69"/>
    </row>
    <row r="43" spans="1:9" hidden="1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9" hidden="1" x14ac:dyDescent="0.25">
      <c r="F44" s="66"/>
      <c r="G44" s="67"/>
      <c r="H44" s="46" t="s">
        <v>66</v>
      </c>
      <c r="I44" s="45">
        <f>COUNTIF(I39:I41,"NO HABILITA")</f>
        <v>1</v>
      </c>
    </row>
    <row r="45" spans="1:9" hidden="1" x14ac:dyDescent="0.25"/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73">
        <f>+CONSOLIDADO!P50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hidden="1" x14ac:dyDescent="0.25">
      <c r="A48" s="46" t="s">
        <v>58</v>
      </c>
      <c r="B48" s="573">
        <f>+CONSOLIDADO!Q50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hidden="1" x14ac:dyDescent="0.25">
      <c r="A49" s="46" t="s">
        <v>59</v>
      </c>
      <c r="B49" s="573">
        <f>+CONSOLIDADO!R50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73">
        <f>+CONSOLIDADO!S50</f>
        <v>0</v>
      </c>
      <c r="C50" s="573"/>
      <c r="G50" s="69"/>
    </row>
    <row r="51" spans="1:9" hidden="1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algorithmName="SHA-512" hashValue="niHxIQ7edKOSutQ/BaXNxc9e2hlOQLE/ymYXgT3FRi4sFZN3SFezhAhgupRqMfn/s+9ruKvs5qtw2JdsSMsz3A==" saltValue="6+cEnMv1oaW0m0lBsUZODg==" spinCount="100000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8" orientation="portrait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33" activePane="bottomRight" state="frozen"/>
      <selection pane="topRight" activeCell="C1" sqref="C1"/>
      <selection pane="bottomLeft" activeCell="A9" sqref="A9"/>
      <selection pane="bottomRight" activeCell="E12" sqref="E12:J12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+CONSOLIDADO!A51</f>
        <v>UNION TEMPORAL PROSPERIDAD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6</v>
      </c>
    </row>
    <row r="4" spans="1:14" x14ac:dyDescent="0.25">
      <c r="A4" s="46" t="s">
        <v>32</v>
      </c>
      <c r="B4" s="50" t="str">
        <f>+CONSOLIDADO!C52</f>
        <v>AGE INGENIERIA SAS</v>
      </c>
      <c r="C4" s="50"/>
      <c r="D4" s="50"/>
      <c r="E4" s="18"/>
      <c r="F4" s="76" t="s">
        <v>67</v>
      </c>
      <c r="G4" s="73">
        <f>+CONSOLIDADO!D52</f>
        <v>0.5</v>
      </c>
      <c r="H4" s="1"/>
      <c r="I4" s="46" t="s">
        <v>50</v>
      </c>
      <c r="J4" s="45">
        <f>COUNTIF(K9:K20,"NO")</f>
        <v>2</v>
      </c>
    </row>
    <row r="5" spans="1:14" x14ac:dyDescent="0.25">
      <c r="A5" s="46" t="s">
        <v>33</v>
      </c>
      <c r="B5" s="50" t="str">
        <f>+CONSOLIDADO!C53</f>
        <v>ASOCIACION AGROPECUARIA</v>
      </c>
      <c r="C5" s="50"/>
      <c r="D5" s="50"/>
      <c r="E5" s="1"/>
      <c r="F5" s="77" t="s">
        <v>67</v>
      </c>
      <c r="G5" s="73">
        <f>+CONSOLIDADO!D53</f>
        <v>0.3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+CONSOLIDADO!C54</f>
        <v>FABIÁN LEONARDO TORRADO</v>
      </c>
      <c r="C6" s="50"/>
      <c r="D6" s="50"/>
      <c r="E6" s="16"/>
      <c r="F6" s="78" t="s">
        <v>67</v>
      </c>
      <c r="G6" s="73">
        <f>+CONSOLIDADO!D54</f>
        <v>0.2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4" ht="67.5" customHeight="1" x14ac:dyDescent="0.25">
      <c r="A10" s="65" t="s">
        <v>52</v>
      </c>
      <c r="B10" s="61"/>
      <c r="C10" s="62" t="s">
        <v>35</v>
      </c>
      <c r="D10" s="63"/>
      <c r="E10" s="587" t="s">
        <v>295</v>
      </c>
      <c r="F10" s="588"/>
      <c r="G10" s="588"/>
      <c r="H10" s="588"/>
      <c r="I10" s="588"/>
      <c r="J10" s="589"/>
      <c r="K10" s="63" t="s">
        <v>207</v>
      </c>
    </row>
    <row r="11" spans="1:14" ht="58.5" customHeight="1" x14ac:dyDescent="0.25">
      <c r="A11" s="60" t="s">
        <v>53</v>
      </c>
      <c r="B11" s="61"/>
      <c r="C11" s="62" t="s">
        <v>35</v>
      </c>
      <c r="D11" s="63"/>
      <c r="E11" s="587" t="s">
        <v>296</v>
      </c>
      <c r="F11" s="588"/>
      <c r="G11" s="588"/>
      <c r="H11" s="588"/>
      <c r="I11" s="588"/>
      <c r="J11" s="589"/>
      <c r="K11" s="63" t="s">
        <v>207</v>
      </c>
    </row>
    <row r="12" spans="1:14" ht="99" customHeight="1" x14ac:dyDescent="0.25">
      <c r="A12" s="60" t="s">
        <v>106</v>
      </c>
      <c r="B12" s="61" t="s">
        <v>35</v>
      </c>
      <c r="C12" s="62"/>
      <c r="D12" s="63"/>
      <c r="E12" s="587" t="s">
        <v>297</v>
      </c>
      <c r="F12" s="588"/>
      <c r="G12" s="588"/>
      <c r="H12" s="588"/>
      <c r="I12" s="588"/>
      <c r="J12" s="589"/>
      <c r="K12" s="63" t="s">
        <v>48</v>
      </c>
    </row>
    <row r="13" spans="1:14" ht="73.5" customHeight="1" x14ac:dyDescent="0.25">
      <c r="A13" s="60" t="s">
        <v>107</v>
      </c>
      <c r="B13" s="61"/>
      <c r="C13" s="62" t="s">
        <v>35</v>
      </c>
      <c r="D13" s="63"/>
      <c r="E13" s="587" t="s">
        <v>308</v>
      </c>
      <c r="F13" s="588"/>
      <c r="G13" s="588"/>
      <c r="H13" s="588"/>
      <c r="I13" s="588"/>
      <c r="J13" s="589"/>
      <c r="K13" s="63" t="s">
        <v>48</v>
      </c>
    </row>
    <row r="14" spans="1:14" ht="73.5" customHeight="1" x14ac:dyDescent="0.25">
      <c r="A14" s="60" t="s">
        <v>145</v>
      </c>
      <c r="B14" s="61" t="s">
        <v>35</v>
      </c>
      <c r="C14" s="62"/>
      <c r="D14" s="63"/>
      <c r="E14" s="587" t="s">
        <v>298</v>
      </c>
      <c r="F14" s="590"/>
      <c r="G14" s="590"/>
      <c r="H14" s="590"/>
      <c r="I14" s="590"/>
      <c r="J14" s="591"/>
      <c r="K14" s="63" t="s">
        <v>48</v>
      </c>
    </row>
    <row r="15" spans="1:14" ht="73.5" customHeight="1" x14ac:dyDescent="0.25">
      <c r="A15" s="65" t="s">
        <v>146</v>
      </c>
      <c r="B15" s="61"/>
      <c r="C15" s="62" t="s">
        <v>35</v>
      </c>
      <c r="D15" s="63"/>
      <c r="E15" s="587" t="s">
        <v>307</v>
      </c>
      <c r="F15" s="588"/>
      <c r="G15" s="588"/>
      <c r="H15" s="588"/>
      <c r="I15" s="588"/>
      <c r="J15" s="589"/>
      <c r="K15" s="63" t="s">
        <v>48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AGE INGENIERIA SAS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UNION TEMPORAL PROSPERIDAD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AGE INGENIERIA SAS</v>
      </c>
      <c r="L22" s="517" t="str">
        <f>+B5</f>
        <v>ASOCIACION AGROPECUARIA</v>
      </c>
      <c r="M22" s="517" t="str">
        <f>+B6</f>
        <v>FABIÁN LEONARDO TORRADO</v>
      </c>
      <c r="N22" s="521"/>
    </row>
    <row r="23" spans="1:14" ht="17.25" x14ac:dyDescent="0.25">
      <c r="A23" s="80" t="s">
        <v>57</v>
      </c>
      <c r="B23" s="577">
        <f>+B31*D30+B39*D38+B47*D46</f>
        <v>2852946413.1999998</v>
      </c>
      <c r="C23" s="577"/>
      <c r="D23" s="100"/>
      <c r="E23" s="81" t="s">
        <v>64</v>
      </c>
      <c r="F23" s="81"/>
      <c r="G23" s="81"/>
      <c r="H23" s="82">
        <f>+H31*D30+H39*D38+H47*D46</f>
        <v>2.9453988884235027</v>
      </c>
      <c r="I23" s="83" t="str">
        <f>IF(H23&gt;=1.2,"HABILITA","NO HABILITA")</f>
        <v>HABILITA</v>
      </c>
      <c r="J23" s="518">
        <f>1.2/2</f>
        <v>0.6</v>
      </c>
      <c r="K23" s="518">
        <f>+H31*J22</f>
        <v>1.7345643444175427</v>
      </c>
      <c r="L23" s="518">
        <f>+H39*J22</f>
        <v>0.89174253466260356</v>
      </c>
      <c r="M23" s="518">
        <f>+H47*J22</f>
        <v>1.6894725580209942</v>
      </c>
      <c r="N23" s="521"/>
    </row>
    <row r="24" spans="1:14" ht="17.25" x14ac:dyDescent="0.25">
      <c r="A24" s="80" t="s">
        <v>58</v>
      </c>
      <c r="B24" s="577">
        <f>+B32*D30+B40*D38+B48*D46</f>
        <v>1070771589.8</v>
      </c>
      <c r="C24" s="577"/>
      <c r="D24" s="101"/>
      <c r="E24" s="81" t="s">
        <v>63</v>
      </c>
      <c r="F24" s="81"/>
      <c r="G24" s="81"/>
      <c r="H24" s="84">
        <f>+H32*D30+H40*D38+H48*D46</f>
        <v>0.67450452839910913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2403671811.8000002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1782174823.3999999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1087177592.5</v>
      </c>
      <c r="L25" s="520">
        <f>+H41*J22</f>
        <v>658723883.5</v>
      </c>
      <c r="M25" s="520">
        <f>+H49*J22</f>
        <v>749407252</v>
      </c>
      <c r="N25" s="521"/>
    </row>
    <row r="26" spans="1:14" ht="17.25" x14ac:dyDescent="0.25">
      <c r="A26" s="80" t="s">
        <v>60</v>
      </c>
      <c r="B26" s="577">
        <f>+B34*D30+B42*D38+B50*D46</f>
        <v>3672174141.2000003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OK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  <c r="N29" s="521"/>
    </row>
    <row r="30" spans="1:14" x14ac:dyDescent="0.25">
      <c r="A30" s="46" t="str">
        <f>+A4</f>
        <v>INTEGRANTE 1</v>
      </c>
      <c r="B30" s="44" t="str">
        <f>+B4</f>
        <v>AGE INGENIERIA SAS</v>
      </c>
      <c r="C30" s="45" t="s">
        <v>67</v>
      </c>
      <c r="D30" s="69">
        <f>+G4</f>
        <v>0.5</v>
      </c>
      <c r="J30" s="513"/>
      <c r="K30" s="514">
        <f>COUNTIF(K27:K29,"OK")</f>
        <v>2</v>
      </c>
      <c r="L30" s="514">
        <f>COUNTIF(L27:L29,"OK")</f>
        <v>1</v>
      </c>
      <c r="M30" s="514">
        <f>COUNTIF(M27:M29,"OK")</f>
        <v>1</v>
      </c>
      <c r="N30" s="521"/>
    </row>
    <row r="31" spans="1:14" x14ac:dyDescent="0.25">
      <c r="A31" s="46" t="s">
        <v>57</v>
      </c>
      <c r="B31" s="573">
        <f>+CONSOLIDADO!P52</f>
        <v>3054971572</v>
      </c>
      <c r="C31" s="573"/>
      <c r="E31" s="45" t="s">
        <v>64</v>
      </c>
      <c r="H31" s="70">
        <f>+B31/B32</f>
        <v>3.4691286888350854</v>
      </c>
      <c r="I31" s="45" t="str">
        <f>IF(H31&gt;=1.2,"HABILITA","NO HABILITA")</f>
        <v>HABILITA</v>
      </c>
      <c r="J31" s="513"/>
      <c r="K31" s="514" t="str">
        <f>IF(K30=2,K22)</f>
        <v>AGE INGENIERIA SAS</v>
      </c>
      <c r="L31" s="514" t="b">
        <f>IF(L30=2,L22)</f>
        <v>0</v>
      </c>
      <c r="M31" s="514" t="b">
        <f>IF(M30=2,M22)</f>
        <v>0</v>
      </c>
      <c r="N31" s="521"/>
    </row>
    <row r="32" spans="1:14" x14ac:dyDescent="0.25">
      <c r="A32" s="46" t="s">
        <v>58</v>
      </c>
      <c r="B32" s="573">
        <f>+CONSOLIDADO!Q52</f>
        <v>880616387</v>
      </c>
      <c r="C32" s="573"/>
      <c r="E32" s="45" t="s">
        <v>63</v>
      </c>
      <c r="H32" s="68">
        <f>+B33/B34</f>
        <v>0.68803136049827751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+CONSOLIDADO!R52</f>
        <v>2512665875</v>
      </c>
      <c r="C33" s="573"/>
      <c r="E33" s="45" t="s">
        <v>62</v>
      </c>
      <c r="G33" s="71">
        <f>+B35*0.3</f>
        <v>1692900000</v>
      </c>
      <c r="H33" s="71">
        <f>(+B31-B32)</f>
        <v>2174355185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73">
        <f>+CONSOLIDADO!S52</f>
        <v>3651964168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ASOCIACION AGROPECUARIA</v>
      </c>
      <c r="C38" s="45" t="s">
        <v>67</v>
      </c>
      <c r="D38" s="69">
        <f>+G5</f>
        <v>0.3</v>
      </c>
    </row>
    <row r="39" spans="1:9" x14ac:dyDescent="0.25">
      <c r="A39" s="46" t="s">
        <v>57</v>
      </c>
      <c r="B39" s="573">
        <f>+CONSOLIDADO!P53</f>
        <v>2998970260</v>
      </c>
      <c r="C39" s="573"/>
      <c r="E39" s="45" t="s">
        <v>64</v>
      </c>
      <c r="H39" s="70">
        <f>+B39/B40</f>
        <v>1.7834850693252071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+CONSOLIDADO!Q53</f>
        <v>1681522493</v>
      </c>
      <c r="C40" s="573"/>
      <c r="E40" s="45" t="s">
        <v>63</v>
      </c>
      <c r="H40" s="68">
        <f>+B41/B42</f>
        <v>0.83279009965851991</v>
      </c>
      <c r="I40" s="45" t="str">
        <f>IF(H40&lt;=70%,"HABILITA","NO HABILITA")</f>
        <v>NO HABILITA</v>
      </c>
    </row>
    <row r="41" spans="1:9" x14ac:dyDescent="0.25">
      <c r="A41" s="46" t="s">
        <v>59</v>
      </c>
      <c r="B41" s="573">
        <f>+CONSOLIDADO!R53</f>
        <v>2603501961</v>
      </c>
      <c r="C41" s="573"/>
      <c r="E41" s="45" t="s">
        <v>62</v>
      </c>
      <c r="G41" s="71">
        <f>+B43*0.3</f>
        <v>1692900000</v>
      </c>
      <c r="H41" s="71">
        <f>(+B39-B40)</f>
        <v>1317447767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+CONSOLIDADO!S53</f>
        <v>3126240288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1</v>
      </c>
    </row>
    <row r="44" spans="1:9" x14ac:dyDescent="0.25">
      <c r="F44" s="66"/>
      <c r="G44" s="67"/>
      <c r="H44" s="46" t="s">
        <v>66</v>
      </c>
      <c r="I44" s="45">
        <f>COUNTIF(I39:I41,"NO HABILITA")</f>
        <v>2</v>
      </c>
    </row>
    <row r="46" spans="1:9" x14ac:dyDescent="0.25">
      <c r="A46" s="46" t="str">
        <f>+A6</f>
        <v>INTEGRANTE 3</v>
      </c>
      <c r="B46" s="44" t="str">
        <f>+B6</f>
        <v>FABIÁN LEONARDO TORRADO</v>
      </c>
      <c r="C46" s="45" t="s">
        <v>67</v>
      </c>
      <c r="D46" s="69">
        <f>+G6</f>
        <v>0.2</v>
      </c>
    </row>
    <row r="47" spans="1:9" x14ac:dyDescent="0.25">
      <c r="A47" s="46" t="s">
        <v>57</v>
      </c>
      <c r="B47" s="573">
        <f>+CONSOLIDADO!P54</f>
        <v>2128847746</v>
      </c>
      <c r="C47" s="573"/>
      <c r="E47" s="45" t="s">
        <v>64</v>
      </c>
      <c r="H47" s="70">
        <f>+B47/B48</f>
        <v>3.3789451160419883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73">
        <f>+CONSOLIDADO!Q54</f>
        <v>630033242</v>
      </c>
      <c r="C48" s="573"/>
      <c r="E48" s="45" t="s">
        <v>63</v>
      </c>
      <c r="H48" s="68">
        <f>+B49/B50</f>
        <v>0.40325909126207227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+CONSOLIDADO!R54</f>
        <v>1831441430</v>
      </c>
      <c r="C49" s="573"/>
      <c r="E49" s="45" t="s">
        <v>62</v>
      </c>
      <c r="G49" s="71">
        <f>+B51*0.3</f>
        <v>1692900000</v>
      </c>
      <c r="H49" s="71">
        <f>(+B47-B48)</f>
        <v>1498814504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+CONSOLIDADO!S54</f>
        <v>4541599854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2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sheetProtection algorithmName="SHA-512" hashValue="o9e41Wc727JIWyrD7/Ph13cyUj1MCLRgAC7ewYtAk99sdy75bNkjUoMSiZtde+DMn8Od4WEi34x8zT/HL24Jpg==" saltValue="Y5vQkYrnouFqbhANKcrWcA==" spinCount="100000" sheet="1" objects="1" scenarios="1"/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scale="37" orientation="portrait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B51" sqref="B51:C5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>
        <f>+CONSOLIDADO!A55</f>
        <v>0</v>
      </c>
      <c r="C2" s="47"/>
      <c r="D2" s="47"/>
      <c r="E2" s="47"/>
      <c r="F2" s="47"/>
      <c r="G2" s="48"/>
      <c r="H2" s="564" t="s">
        <v>51</v>
      </c>
      <c r="I2" s="564"/>
      <c r="J2" s="49" t="str">
        <f ca="1"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 ca="1">COUNTIF(K9:K20,"SI")</f>
        <v>7</v>
      </c>
    </row>
    <row r="4" spans="1:14" x14ac:dyDescent="0.25">
      <c r="A4" s="46" t="s">
        <v>32</v>
      </c>
      <c r="B4" s="50">
        <f>+CONSOLIDADO!C56</f>
        <v>0</v>
      </c>
      <c r="C4" s="50"/>
      <c r="D4" s="50"/>
      <c r="E4" s="18"/>
      <c r="F4" s="76" t="s">
        <v>67</v>
      </c>
      <c r="G4" s="73">
        <f>+CONSOLIDADO!D56</f>
        <v>0</v>
      </c>
      <c r="H4" s="1"/>
      <c r="I4" s="46" t="s">
        <v>50</v>
      </c>
      <c r="J4" s="45">
        <f ca="1">COUNTIF(K9:K20,"NO")</f>
        <v>2</v>
      </c>
    </row>
    <row r="5" spans="1:14" x14ac:dyDescent="0.25">
      <c r="A5" s="46" t="s">
        <v>33</v>
      </c>
      <c r="B5" s="50">
        <f>+CONSOLIDADO!C57</f>
        <v>0</v>
      </c>
      <c r="C5" s="50"/>
      <c r="D5" s="50"/>
      <c r="E5" s="1"/>
      <c r="F5" s="77" t="s">
        <v>67</v>
      </c>
      <c r="G5" s="73">
        <f>+CONSOLIDADO!D57</f>
        <v>0</v>
      </c>
      <c r="H5" s="75">
        <f>SUM(G4:G6)</f>
        <v>0</v>
      </c>
      <c r="I5" s="46" t="s">
        <v>31</v>
      </c>
      <c r="J5" s="45">
        <f ca="1">COUNTIF(K9:K20,"N/A")</f>
        <v>3</v>
      </c>
    </row>
    <row r="6" spans="1:14" x14ac:dyDescent="0.25">
      <c r="A6" s="46" t="s">
        <v>34</v>
      </c>
      <c r="B6" s="50">
        <f>+CONSOLIDADO!C58</f>
        <v>0</v>
      </c>
      <c r="C6" s="50"/>
      <c r="D6" s="50"/>
      <c r="E6" s="16"/>
      <c r="F6" s="78" t="s">
        <v>67</v>
      </c>
      <c r="G6" s="73">
        <f>+CONSOLIDADO!D58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 t="s">
        <v>35</v>
      </c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61"/>
      <c r="F10" s="562"/>
      <c r="G10" s="562"/>
      <c r="H10" s="562"/>
      <c r="I10" s="562"/>
      <c r="J10" s="563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61"/>
      <c r="F11" s="562"/>
      <c r="G11" s="562"/>
      <c r="H11" s="562"/>
      <c r="I11" s="562"/>
      <c r="J11" s="563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55"/>
      <c r="F12" s="556"/>
      <c r="G12" s="556"/>
      <c r="H12" s="556"/>
      <c r="I12" s="556"/>
      <c r="J12" s="557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61"/>
      <c r="F13" s="562"/>
      <c r="G13" s="562"/>
      <c r="H13" s="562"/>
      <c r="I13" s="562"/>
      <c r="J13" s="563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55"/>
      <c r="F14" s="556"/>
      <c r="G14" s="556"/>
      <c r="H14" s="556"/>
      <c r="I14" s="556"/>
      <c r="J14" s="557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55"/>
      <c r="F15" s="556"/>
      <c r="G15" s="556"/>
      <c r="H15" s="556"/>
      <c r="I15" s="556"/>
      <c r="J15" s="557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e">
        <f ca="1">_xlfn.IFS(M30=2,M22,L30=2,L22,K30=2,K22)</f>
        <v>#NAME?</v>
      </c>
      <c r="I20" s="145"/>
      <c r="J20" s="146"/>
      <c r="K20" s="144" t="str">
        <f ca="1">IFERROR(_xlfn.IFS(K30=2,"SI",L30=2,"SI",M30=2,"SI"),"NO")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>
        <f>+B2</f>
        <v>0</v>
      </c>
      <c r="C22" s="105"/>
      <c r="D22" s="106">
        <f>+D30+D38+D46</f>
        <v>0</v>
      </c>
      <c r="E22" s="580" t="s">
        <v>68</v>
      </c>
      <c r="F22" s="580"/>
      <c r="G22" s="580"/>
      <c r="H22" s="580"/>
      <c r="I22" s="79"/>
      <c r="J22" s="96">
        <v>0.5</v>
      </c>
      <c r="K22" s="342">
        <f>+B4</f>
        <v>0</v>
      </c>
      <c r="L22" s="343">
        <f>+B5</f>
        <v>0</v>
      </c>
      <c r="M22" s="343">
        <f>+B6</f>
        <v>0</v>
      </c>
    </row>
    <row r="23" spans="1:13" ht="17.25" x14ac:dyDescent="0.25">
      <c r="A23" s="80" t="s">
        <v>57</v>
      </c>
      <c r="B23" s="577">
        <f>+B31*D30+B39*D38+B47*D46</f>
        <v>0</v>
      </c>
      <c r="C23" s="577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44" t="e">
        <f>+H31*J22</f>
        <v>#DIV/0!</v>
      </c>
      <c r="L23" s="344" t="e">
        <f>+H39*J22</f>
        <v>#DIV/0!</v>
      </c>
      <c r="M23" s="344" t="e">
        <f>+H47*J22</f>
        <v>#DIV/0!</v>
      </c>
    </row>
    <row r="24" spans="1:13" ht="17.25" x14ac:dyDescent="0.25">
      <c r="A24" s="80" t="s">
        <v>58</v>
      </c>
      <c r="B24" s="577">
        <f>+B32*D30+B40*D38+B48*D46</f>
        <v>0</v>
      </c>
      <c r="C24" s="577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45"/>
      <c r="L24" s="345"/>
      <c r="M24" s="345"/>
    </row>
    <row r="25" spans="1:13" ht="17.25" x14ac:dyDescent="0.25">
      <c r="A25" s="80" t="s">
        <v>59</v>
      </c>
      <c r="B25" s="577">
        <f>+B33*D30+B41*D38+B49*D46</f>
        <v>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846450000</v>
      </c>
      <c r="K25" s="346">
        <f>+H33*J22</f>
        <v>0</v>
      </c>
      <c r="L25" s="346">
        <f>+H41*J22</f>
        <v>0</v>
      </c>
      <c r="M25" s="346">
        <f>+H49*J22</f>
        <v>0</v>
      </c>
    </row>
    <row r="26" spans="1:13" ht="17.25" x14ac:dyDescent="0.25">
      <c r="A26" s="80" t="s">
        <v>60</v>
      </c>
      <c r="B26" s="577">
        <f>+B34*D30+B42*D38+B50*D46</f>
        <v>0</v>
      </c>
      <c r="C26" s="577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73">
        <f>+CONSOLIDADO!P56</f>
        <v>0</v>
      </c>
      <c r="C31" s="573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73">
        <f>+CONSOLIDADO!Q56</f>
        <v>0</v>
      </c>
      <c r="C32" s="573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73">
        <f>+CONSOLIDADO!R56</f>
        <v>0</v>
      </c>
      <c r="C33" s="573"/>
      <c r="E33" s="45" t="s">
        <v>62</v>
      </c>
      <c r="G33" s="71">
        <f>+B35*0.3</f>
        <v>1692900000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+CONSOLIDADO!S56</f>
        <v>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73">
        <f>+CONSOLIDADO!P57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73">
        <f>+CONSOLIDADO!Q57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73">
        <f>+CONSOLIDADO!R57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+CONSOLIDADO!S57</f>
        <v>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73">
        <f>+CONSOLIDADO!P58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73">
        <f>+CONSOLIDADO!Q58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73">
        <f>+CONSOLIDADO!R58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+CONSOLIDADO!S58</f>
        <v>0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36" activePane="bottomRight" state="frozen"/>
      <selection pane="topRight" activeCell="C1" sqref="C1"/>
      <selection pane="bottomLeft" activeCell="A9" sqref="A9"/>
      <selection pane="bottomRight" activeCell="B51" sqref="B51:C5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>
        <f>+CONSOLIDADO!A59</f>
        <v>0</v>
      </c>
      <c r="C2" s="47"/>
      <c r="D2" s="47"/>
      <c r="E2" s="47"/>
      <c r="F2" s="47"/>
      <c r="G2" s="48"/>
      <c r="H2" s="564" t="s">
        <v>51</v>
      </c>
      <c r="I2" s="564"/>
      <c r="J2" s="49" t="str">
        <f ca="1"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 ca="1">COUNTIF(K9:K20,"SI")</f>
        <v>7</v>
      </c>
    </row>
    <row r="4" spans="1:14" x14ac:dyDescent="0.25">
      <c r="A4" s="46" t="s">
        <v>32</v>
      </c>
      <c r="B4" s="50">
        <f>+CONSOLIDADO!C60</f>
        <v>0</v>
      </c>
      <c r="C4" s="50"/>
      <c r="D4" s="50"/>
      <c r="E4" s="18"/>
      <c r="F4" s="76" t="s">
        <v>67</v>
      </c>
      <c r="G4" s="73">
        <f>+CONSOLIDADO!D60</f>
        <v>0</v>
      </c>
      <c r="H4" s="1"/>
      <c r="I4" s="46" t="s">
        <v>50</v>
      </c>
      <c r="J4" s="45">
        <f ca="1">COUNTIF(K9:K20,"NO")</f>
        <v>2</v>
      </c>
    </row>
    <row r="5" spans="1:14" x14ac:dyDescent="0.25">
      <c r="A5" s="46" t="s">
        <v>33</v>
      </c>
      <c r="B5" s="50">
        <f>+CONSOLIDADO!C61</f>
        <v>0</v>
      </c>
      <c r="C5" s="50"/>
      <c r="D5" s="50"/>
      <c r="E5" s="1"/>
      <c r="F5" s="77" t="s">
        <v>67</v>
      </c>
      <c r="G5" s="73">
        <f>+CONSOLIDADO!D61</f>
        <v>0</v>
      </c>
      <c r="H5" s="75">
        <f>SUM(G4:G6)</f>
        <v>0</v>
      </c>
      <c r="I5" s="46" t="s">
        <v>31</v>
      </c>
      <c r="J5" s="45">
        <f ca="1">COUNTIF(K9:K20,"N/A")</f>
        <v>3</v>
      </c>
    </row>
    <row r="6" spans="1:14" x14ac:dyDescent="0.25">
      <c r="A6" s="46" t="s">
        <v>34</v>
      </c>
      <c r="B6" s="50">
        <f>+CONSOLIDADO!C62</f>
        <v>0</v>
      </c>
      <c r="C6" s="50"/>
      <c r="D6" s="50"/>
      <c r="E6" s="16"/>
      <c r="F6" s="78" t="s">
        <v>67</v>
      </c>
      <c r="G6" s="73">
        <f>+CONSOLIDADO!D62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 t="s">
        <v>35</v>
      </c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61"/>
      <c r="F10" s="562"/>
      <c r="G10" s="562"/>
      <c r="H10" s="562"/>
      <c r="I10" s="562"/>
      <c r="J10" s="563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61"/>
      <c r="F11" s="562"/>
      <c r="G11" s="562"/>
      <c r="H11" s="562"/>
      <c r="I11" s="562"/>
      <c r="J11" s="563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55"/>
      <c r="F12" s="556"/>
      <c r="G12" s="556"/>
      <c r="H12" s="556"/>
      <c r="I12" s="556"/>
      <c r="J12" s="557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61"/>
      <c r="F13" s="562"/>
      <c r="G13" s="562"/>
      <c r="H13" s="562"/>
      <c r="I13" s="562"/>
      <c r="J13" s="563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55"/>
      <c r="F14" s="556"/>
      <c r="G14" s="556"/>
      <c r="H14" s="556"/>
      <c r="I14" s="556"/>
      <c r="J14" s="557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55"/>
      <c r="F15" s="556"/>
      <c r="G15" s="556"/>
      <c r="H15" s="556"/>
      <c r="I15" s="556"/>
      <c r="J15" s="557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e">
        <f ca="1">_xlfn.IFS(M30=2,M22,L30=2,L22,K30=2,K22)</f>
        <v>#NAME?</v>
      </c>
      <c r="I20" s="145"/>
      <c r="J20" s="146"/>
      <c r="K20" s="144" t="str">
        <f ca="1">IFERROR(_xlfn.IFS(K30=2,"SI",L30=2,"SI",M30=2,"SI"),"NO")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>
        <f>+B2</f>
        <v>0</v>
      </c>
      <c r="C22" s="105"/>
      <c r="D22" s="106">
        <f>+D30+D38+D46</f>
        <v>0</v>
      </c>
      <c r="E22" s="580" t="s">
        <v>68</v>
      </c>
      <c r="F22" s="580"/>
      <c r="G22" s="580"/>
      <c r="H22" s="580"/>
      <c r="I22" s="79"/>
      <c r="J22" s="96">
        <v>0.5</v>
      </c>
      <c r="K22" s="342">
        <f>+B4</f>
        <v>0</v>
      </c>
      <c r="L22" s="343">
        <f>+B5</f>
        <v>0</v>
      </c>
      <c r="M22" s="343">
        <f>+B6</f>
        <v>0</v>
      </c>
    </row>
    <row r="23" spans="1:13" ht="17.25" x14ac:dyDescent="0.25">
      <c r="A23" s="80" t="s">
        <v>57</v>
      </c>
      <c r="B23" s="577">
        <f>+B31*D30+B39*D38+B47*D46</f>
        <v>0</v>
      </c>
      <c r="C23" s="577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44" t="e">
        <f>+H31*J22</f>
        <v>#DIV/0!</v>
      </c>
      <c r="L23" s="344" t="e">
        <f>+H39*J22</f>
        <v>#DIV/0!</v>
      </c>
      <c r="M23" s="344" t="e">
        <f>+H47*J22</f>
        <v>#DIV/0!</v>
      </c>
    </row>
    <row r="24" spans="1:13" ht="17.25" x14ac:dyDescent="0.25">
      <c r="A24" s="80" t="s">
        <v>58</v>
      </c>
      <c r="B24" s="577">
        <f>+B32*D30+B40*D38+B48*D46</f>
        <v>0</v>
      </c>
      <c r="C24" s="577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45"/>
      <c r="L24" s="345"/>
      <c r="M24" s="345"/>
    </row>
    <row r="25" spans="1:13" ht="17.25" x14ac:dyDescent="0.25">
      <c r="A25" s="80" t="s">
        <v>59</v>
      </c>
      <c r="B25" s="577">
        <f>+B33*D30+B41*D38+B49*D46</f>
        <v>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846450000</v>
      </c>
      <c r="K25" s="346">
        <f>+H33*J22</f>
        <v>0</v>
      </c>
      <c r="L25" s="346">
        <f>+H41*J22</f>
        <v>0</v>
      </c>
      <c r="M25" s="346">
        <f>+H49*J22</f>
        <v>0</v>
      </c>
    </row>
    <row r="26" spans="1:13" ht="17.25" x14ac:dyDescent="0.25">
      <c r="A26" s="80" t="s">
        <v>60</v>
      </c>
      <c r="B26" s="577">
        <f>+B34*D30+B42*D38+B50*D46</f>
        <v>0</v>
      </c>
      <c r="C26" s="577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73">
        <f>+CONSOLIDADO!P60</f>
        <v>0</v>
      </c>
      <c r="C31" s="573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73">
        <f>+CONSOLIDADO!Q60</f>
        <v>0</v>
      </c>
      <c r="C32" s="573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73">
        <f>+CONSOLIDADO!R60</f>
        <v>0</v>
      </c>
      <c r="C33" s="573"/>
      <c r="E33" s="45" t="s">
        <v>62</v>
      </c>
      <c r="G33" s="71">
        <f>+B35*0.3</f>
        <v>1692900000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+CONSOLIDADO!S60</f>
        <v>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73">
        <f>+CONSOLIDADO!P61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73">
        <f>+CONSOLIDADO!Q61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73">
        <f>+CONSOLIDADO!R61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+CONSOLIDADO!S61</f>
        <v>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73">
        <f>+CONSOLIDADO!P62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73">
        <f>+CONSOLIDADO!Q62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73">
        <f>+CONSOLIDADO!R62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+CONSOLIDADO!S62</f>
        <v>0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41" activePane="bottomRight" state="frozen"/>
      <selection pane="topRight" activeCell="C1" sqref="C1"/>
      <selection pane="bottomLeft" activeCell="A9" sqref="A9"/>
      <selection pane="bottomRight" activeCell="B51" sqref="B51:C5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>
        <f>+CONSOLIDADO!A63</f>
        <v>0</v>
      </c>
      <c r="C2" s="47"/>
      <c r="D2" s="47"/>
      <c r="E2" s="47"/>
      <c r="F2" s="47"/>
      <c r="G2" s="48"/>
      <c r="H2" s="564" t="s">
        <v>51</v>
      </c>
      <c r="I2" s="564"/>
      <c r="J2" s="49" t="str">
        <f ca="1"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 ca="1">COUNTIF(K9:K20,"SI")</f>
        <v>7</v>
      </c>
    </row>
    <row r="4" spans="1:14" x14ac:dyDescent="0.25">
      <c r="A4" s="46" t="s">
        <v>32</v>
      </c>
      <c r="B4" s="50">
        <f>+CONSOLIDADO!C64</f>
        <v>0</v>
      </c>
      <c r="C4" s="50"/>
      <c r="D4" s="50"/>
      <c r="E4" s="18"/>
      <c r="F4" s="76" t="s">
        <v>67</v>
      </c>
      <c r="G4" s="73">
        <f>+CONSOLIDADO!D64</f>
        <v>0</v>
      </c>
      <c r="H4" s="1"/>
      <c r="I4" s="46" t="s">
        <v>50</v>
      </c>
      <c r="J4" s="45">
        <f ca="1">COUNTIF(K9:K20,"NO")</f>
        <v>2</v>
      </c>
    </row>
    <row r="5" spans="1:14" x14ac:dyDescent="0.25">
      <c r="A5" s="46" t="s">
        <v>33</v>
      </c>
      <c r="B5" s="50">
        <f>+CONSOLIDADO!C65</f>
        <v>0</v>
      </c>
      <c r="C5" s="50"/>
      <c r="D5" s="50"/>
      <c r="E5" s="1"/>
      <c r="F5" s="77" t="s">
        <v>67</v>
      </c>
      <c r="G5" s="73">
        <f>+CONSOLIDADO!D65</f>
        <v>0</v>
      </c>
      <c r="H5" s="75">
        <f>SUM(G4:G6)</f>
        <v>0</v>
      </c>
      <c r="I5" s="46" t="s">
        <v>31</v>
      </c>
      <c r="J5" s="45">
        <f ca="1">COUNTIF(K9:K20,"N/A")</f>
        <v>3</v>
      </c>
    </row>
    <row r="6" spans="1:14" x14ac:dyDescent="0.25">
      <c r="A6" s="46" t="s">
        <v>34</v>
      </c>
      <c r="B6" s="50">
        <f>+CONSOLIDADO!C66</f>
        <v>0</v>
      </c>
      <c r="C6" s="50"/>
      <c r="D6" s="50"/>
      <c r="E6" s="16"/>
      <c r="F6" s="78" t="s">
        <v>67</v>
      </c>
      <c r="G6" s="74">
        <f>+CONSOLIDADO!D66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 t="s">
        <v>35</v>
      </c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61"/>
      <c r="F10" s="562"/>
      <c r="G10" s="562"/>
      <c r="H10" s="562"/>
      <c r="I10" s="562"/>
      <c r="J10" s="563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61"/>
      <c r="F11" s="562"/>
      <c r="G11" s="562"/>
      <c r="H11" s="562"/>
      <c r="I11" s="562"/>
      <c r="J11" s="563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55"/>
      <c r="F12" s="556"/>
      <c r="G12" s="556"/>
      <c r="H12" s="556"/>
      <c r="I12" s="556"/>
      <c r="J12" s="557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61"/>
      <c r="F13" s="562"/>
      <c r="G13" s="562"/>
      <c r="H13" s="562"/>
      <c r="I13" s="562"/>
      <c r="J13" s="563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55"/>
      <c r="F14" s="556"/>
      <c r="G14" s="556"/>
      <c r="H14" s="556"/>
      <c r="I14" s="556"/>
      <c r="J14" s="557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55"/>
      <c r="F15" s="556"/>
      <c r="G15" s="556"/>
      <c r="H15" s="556"/>
      <c r="I15" s="556"/>
      <c r="J15" s="557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e">
        <f ca="1">_xlfn.IFS(M30=2,M22,L30=2,L22,K30=2,K22)</f>
        <v>#NAME?</v>
      </c>
      <c r="I20" s="145"/>
      <c r="J20" s="146"/>
      <c r="K20" s="144" t="str">
        <f ca="1">IFERROR(_xlfn.IFS(K30=2,"SI",L30=2,"SI",M30=2,"SI"),"NO")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>
        <f>+B2</f>
        <v>0</v>
      </c>
      <c r="C22" s="105"/>
      <c r="D22" s="106">
        <f>+D30+D38+D46</f>
        <v>0</v>
      </c>
      <c r="E22" s="580" t="s">
        <v>68</v>
      </c>
      <c r="F22" s="580"/>
      <c r="G22" s="580"/>
      <c r="H22" s="580"/>
      <c r="I22" s="79"/>
      <c r="J22" s="96">
        <v>0.5</v>
      </c>
      <c r="K22" s="342">
        <f>+B4</f>
        <v>0</v>
      </c>
      <c r="L22" s="343">
        <f>+B5</f>
        <v>0</v>
      </c>
      <c r="M22" s="343">
        <f>+B6</f>
        <v>0</v>
      </c>
    </row>
    <row r="23" spans="1:13" ht="17.25" x14ac:dyDescent="0.25">
      <c r="A23" s="80" t="s">
        <v>57</v>
      </c>
      <c r="B23" s="577">
        <f>+B31*D30+B39*D38+B47*D46</f>
        <v>0</v>
      </c>
      <c r="C23" s="577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44" t="e">
        <f>+H31*J22</f>
        <v>#DIV/0!</v>
      </c>
      <c r="L23" s="344" t="e">
        <f>+H39*J22</f>
        <v>#DIV/0!</v>
      </c>
      <c r="M23" s="344" t="e">
        <f>+H47*J22</f>
        <v>#DIV/0!</v>
      </c>
    </row>
    <row r="24" spans="1:13" ht="17.25" x14ac:dyDescent="0.25">
      <c r="A24" s="80" t="s">
        <v>58</v>
      </c>
      <c r="B24" s="577">
        <f>+B32*D30+B40*D38+B48*D46</f>
        <v>0</v>
      </c>
      <c r="C24" s="577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45"/>
      <c r="L24" s="345"/>
      <c r="M24" s="345"/>
    </row>
    <row r="25" spans="1:13" ht="17.25" x14ac:dyDescent="0.25">
      <c r="A25" s="80" t="s">
        <v>59</v>
      </c>
      <c r="B25" s="577">
        <f>+B33*D30+B41*D38+B49*D46</f>
        <v>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846450000</v>
      </c>
      <c r="K25" s="346">
        <f>+H33*J22</f>
        <v>0</v>
      </c>
      <c r="L25" s="346">
        <f>+H41*J22</f>
        <v>0</v>
      </c>
      <c r="M25" s="346">
        <f>+H49*J22</f>
        <v>0</v>
      </c>
    </row>
    <row r="26" spans="1:13" ht="17.25" x14ac:dyDescent="0.25">
      <c r="A26" s="80" t="s">
        <v>60</v>
      </c>
      <c r="B26" s="577">
        <f>+B34*D30+B42*D38+B50*D46</f>
        <v>0</v>
      </c>
      <c r="C26" s="577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73">
        <f>+CONSOLIDADO!P64</f>
        <v>0</v>
      </c>
      <c r="C31" s="573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73">
        <f>+CONSOLIDADO!Q64</f>
        <v>0</v>
      </c>
      <c r="C32" s="573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73">
        <f>+CONSOLIDADO!R64</f>
        <v>0</v>
      </c>
      <c r="C33" s="573"/>
      <c r="E33" s="45" t="s">
        <v>62</v>
      </c>
      <c r="G33" s="71">
        <f>+B35*0.3</f>
        <v>1692900000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+CONSOLIDADO!S64</f>
        <v>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73">
        <f>+CONSOLIDADO!P65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73">
        <f>+CONSOLIDADO!Q65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73">
        <f>+CONSOLIDADO!R65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+CONSOLIDADO!S65</f>
        <v>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73">
        <f>+CONSOLIDADO!P66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73">
        <f>+CONSOLIDADO!Q66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73">
        <f>+CONSOLIDADO!R66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+CONSOLIDADO!S66</f>
        <v>0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5"/>
  <sheetViews>
    <sheetView workbookViewId="0">
      <selection activeCell="C34" sqref="C34"/>
    </sheetView>
  </sheetViews>
  <sheetFormatPr baseColWidth="10" defaultRowHeight="15" x14ac:dyDescent="0.25"/>
  <cols>
    <col min="1" max="1" width="18.42578125" style="13" customWidth="1"/>
    <col min="2" max="2" width="16.7109375" style="13" bestFit="1" customWidth="1"/>
    <col min="3" max="3" width="11.42578125" style="13"/>
    <col min="4" max="4" width="4.42578125" style="13" customWidth="1"/>
    <col min="5" max="16384" width="11.42578125" style="13"/>
  </cols>
  <sheetData>
    <row r="1" spans="1:9" x14ac:dyDescent="0.25">
      <c r="A1" s="12" t="s">
        <v>88</v>
      </c>
      <c r="B1" s="208">
        <v>737717</v>
      </c>
      <c r="D1" s="368" t="s">
        <v>183</v>
      </c>
      <c r="E1" s="368"/>
      <c r="F1" s="368"/>
      <c r="G1" s="377">
        <v>43090</v>
      </c>
      <c r="H1" s="532" t="s">
        <v>185</v>
      </c>
    </row>
    <row r="2" spans="1:9" x14ac:dyDescent="0.25">
      <c r="A2" s="12"/>
      <c r="B2" s="208"/>
      <c r="D2" s="368" t="s">
        <v>184</v>
      </c>
      <c r="E2" s="368"/>
      <c r="F2" s="368"/>
      <c r="G2" s="377">
        <v>43210</v>
      </c>
      <c r="H2" s="532"/>
    </row>
    <row r="3" spans="1:9" x14ac:dyDescent="0.25">
      <c r="A3" s="349" t="str">
        <f>+CONSOLIDADO!T5</f>
        <v>GRUPO 1</v>
      </c>
      <c r="B3" s="531" t="str">
        <f>+CONSOLIDADO!T1</f>
        <v>SIERRA NEVADA-PERIJÁ-ZONA BANANERA</v>
      </c>
      <c r="C3" s="531"/>
      <c r="D3" s="531"/>
      <c r="E3" s="531"/>
    </row>
    <row r="4" spans="1:9" x14ac:dyDescent="0.25">
      <c r="A4" s="349" t="s">
        <v>169</v>
      </c>
      <c r="B4" s="350">
        <f>+CONSOLIDADO!T2</f>
        <v>5643000000</v>
      </c>
    </row>
    <row r="5" spans="1:9" x14ac:dyDescent="0.25">
      <c r="A5" s="13" t="s">
        <v>170</v>
      </c>
      <c r="B5" s="351">
        <f>+B10</f>
        <v>6119</v>
      </c>
      <c r="C5" s="13" t="s">
        <v>172</v>
      </c>
    </row>
    <row r="6" spans="1:9" x14ac:dyDescent="0.25">
      <c r="A6" s="13" t="s">
        <v>171</v>
      </c>
      <c r="B6" s="351">
        <f>+C10</f>
        <v>2295</v>
      </c>
      <c r="C6" s="13" t="s">
        <v>172</v>
      </c>
    </row>
    <row r="7" spans="1:9" ht="15.75" thickBot="1" x14ac:dyDescent="0.3"/>
    <row r="8" spans="1:9" ht="24" customHeight="1" thickBot="1" x14ac:dyDescent="0.3">
      <c r="A8" s="526" t="s">
        <v>155</v>
      </c>
      <c r="B8" s="524" t="s">
        <v>156</v>
      </c>
      <c r="C8" s="525"/>
      <c r="E8" s="528" t="s">
        <v>178</v>
      </c>
      <c r="F8" s="529"/>
      <c r="G8" s="530"/>
    </row>
    <row r="9" spans="1:9" ht="16.5" thickTop="1" thickBot="1" x14ac:dyDescent="0.3">
      <c r="A9" s="527"/>
      <c r="B9" s="274" t="s">
        <v>153</v>
      </c>
      <c r="C9" s="275" t="s">
        <v>154</v>
      </c>
      <c r="E9" s="156" t="s">
        <v>24</v>
      </c>
      <c r="F9" s="157" t="s">
        <v>25</v>
      </c>
      <c r="G9" s="158" t="s">
        <v>23</v>
      </c>
      <c r="H9" s="390" t="s">
        <v>188</v>
      </c>
      <c r="I9" s="391" t="str">
        <f>+A3</f>
        <v>GRUPO 1</v>
      </c>
    </row>
    <row r="10" spans="1:9" ht="16.5" thickTop="1" x14ac:dyDescent="0.25">
      <c r="A10" s="110">
        <v>1</v>
      </c>
      <c r="B10" s="450">
        <v>6119</v>
      </c>
      <c r="C10" s="500">
        <v>2295</v>
      </c>
      <c r="E10" s="491">
        <f>+'CALIFICACION PRECIO'!L5</f>
        <v>208</v>
      </c>
      <c r="F10" s="492">
        <f>+'CALIFICACION PRECIO'!M5</f>
        <v>354</v>
      </c>
      <c r="G10" s="493" t="e">
        <f>+'CALIFICACION PRECIO'!N5</f>
        <v>#NUM!</v>
      </c>
      <c r="H10" s="503" t="str">
        <f>+CONSOLIDADO!A7</f>
        <v>CONSORCIO DESARROLLO DEL CESAR</v>
      </c>
      <c r="I10" s="389">
        <v>0.18</v>
      </c>
    </row>
    <row r="11" spans="1:9" ht="15.75" x14ac:dyDescent="0.25">
      <c r="A11" s="108">
        <f t="shared" ref="A11:A20" si="0">+A10+1</f>
        <v>2</v>
      </c>
      <c r="B11" s="451">
        <v>1360</v>
      </c>
      <c r="C11" s="501">
        <v>510</v>
      </c>
      <c r="E11" s="494">
        <f>+'CALIFICACION PRECIO'!L6</f>
        <v>126</v>
      </c>
      <c r="F11" s="495">
        <f>+'CALIFICACION PRECIO'!M6</f>
        <v>284</v>
      </c>
      <c r="G11" s="496" t="e">
        <f>+'CALIFICACION PRECIO'!N6</f>
        <v>#NUM!</v>
      </c>
      <c r="H11" s="504" t="str">
        <f>+CONSOLIDADO!A11</f>
        <v>CONSORCIO OBRAS EN PAZ</v>
      </c>
      <c r="I11" s="387">
        <v>0.22500000000000001</v>
      </c>
    </row>
    <row r="12" spans="1:9" ht="15.75" x14ac:dyDescent="0.25">
      <c r="A12" s="108">
        <f t="shared" si="0"/>
        <v>3</v>
      </c>
      <c r="B12" s="451">
        <v>16318</v>
      </c>
      <c r="C12" s="501">
        <v>6119</v>
      </c>
      <c r="E12" s="494">
        <f>+'CALIFICACION PRECIO'!L7</f>
        <v>132</v>
      </c>
      <c r="F12" s="495">
        <f>+'CALIFICACION PRECIO'!M7</f>
        <v>289</v>
      </c>
      <c r="G12" s="496" t="e">
        <f>+'CALIFICACION PRECIO'!N7</f>
        <v>#NUM!</v>
      </c>
      <c r="H12" s="504" t="str">
        <f>+CONSOLIDADO!A15</f>
        <v>CONSORCIO PIC SIERRA NEVADA</v>
      </c>
      <c r="I12" s="387">
        <v>0.23</v>
      </c>
    </row>
    <row r="13" spans="1:9" ht="15.75" x14ac:dyDescent="0.25">
      <c r="A13" s="108">
        <f t="shared" si="0"/>
        <v>4</v>
      </c>
      <c r="B13" s="451">
        <v>4080</v>
      </c>
      <c r="C13" s="501">
        <v>1530</v>
      </c>
      <c r="E13" s="494">
        <f>+'CALIFICACION PRECIO'!L8</f>
        <v>131</v>
      </c>
      <c r="F13" s="495">
        <f>+'CALIFICACION PRECIO'!M8</f>
        <v>287</v>
      </c>
      <c r="G13" s="496" t="e">
        <f>+'CALIFICACION PRECIO'!N8</f>
        <v>#NUM!</v>
      </c>
      <c r="H13" s="504" t="str">
        <f>+CONSOLIDADO!A19</f>
        <v>CONSORCIO LV PERIJÁ</v>
      </c>
      <c r="I13" s="387">
        <v>0.24</v>
      </c>
    </row>
    <row r="14" spans="1:9" ht="16.5" thickBot="1" x14ac:dyDescent="0.3">
      <c r="A14" s="108">
        <f t="shared" si="0"/>
        <v>5</v>
      </c>
      <c r="B14" s="451">
        <v>6119</v>
      </c>
      <c r="C14" s="501">
        <v>2295</v>
      </c>
      <c r="E14" s="497">
        <f>+'CALIFICACION PRECIO'!L9</f>
        <v>125</v>
      </c>
      <c r="F14" s="498">
        <f>+'CALIFICACION PRECIO'!M9</f>
        <v>283</v>
      </c>
      <c r="G14" s="499" t="e">
        <f>+'CALIFICACION PRECIO'!N9</f>
        <v>#NUM!</v>
      </c>
      <c r="H14" s="505" t="str">
        <f>+CONSOLIDADO!A23</f>
        <v>UNION TEMPORAL PERIJA 2017</v>
      </c>
      <c r="I14" s="388">
        <v>0.21299999999999999</v>
      </c>
    </row>
    <row r="15" spans="1:9" ht="16.5" thickBot="1" x14ac:dyDescent="0.3">
      <c r="A15" s="108">
        <f t="shared" si="0"/>
        <v>6</v>
      </c>
      <c r="B15" s="451">
        <v>2040</v>
      </c>
      <c r="C15" s="501">
        <v>765</v>
      </c>
      <c r="E15" s="497">
        <f>+'CALIFICACION PRECIO'!L10</f>
        <v>125</v>
      </c>
      <c r="F15" s="498">
        <f>+'CALIFICACION PRECIO'!M10</f>
        <v>283</v>
      </c>
      <c r="G15" s="499" t="e">
        <f>+'CALIFICACION PRECIO'!N10</f>
        <v>#NUM!</v>
      </c>
      <c r="H15" s="505" t="str">
        <f>+CONSOLIDADO!A27</f>
        <v>UNIÓN TEMPORAL OBRAS RENACER</v>
      </c>
      <c r="I15" s="388">
        <v>0.21299999999999999</v>
      </c>
    </row>
    <row r="16" spans="1:9" ht="16.5" thickBot="1" x14ac:dyDescent="0.3">
      <c r="A16" s="108">
        <f t="shared" si="0"/>
        <v>7</v>
      </c>
      <c r="B16" s="451">
        <v>18358</v>
      </c>
      <c r="C16" s="501">
        <v>6884</v>
      </c>
      <c r="E16" s="497">
        <f>+'CALIFICACION PRECIO'!L11</f>
        <v>125</v>
      </c>
      <c r="F16" s="498">
        <f>+'CALIFICACION PRECIO'!M11</f>
        <v>283</v>
      </c>
      <c r="G16" s="499" t="e">
        <f>+'CALIFICACION PRECIO'!N11</f>
        <v>#NUM!</v>
      </c>
      <c r="H16" s="505" t="str">
        <f>+CONSOLIDADO!A31</f>
        <v>CONSORCIO INFRAESTRUCTURA SIERRA NEVADA</v>
      </c>
      <c r="I16" s="388">
        <v>0.21299999999999999</v>
      </c>
    </row>
    <row r="17" spans="1:9" ht="16.5" thickBot="1" x14ac:dyDescent="0.3">
      <c r="A17" s="108">
        <f t="shared" si="0"/>
        <v>8</v>
      </c>
      <c r="B17" s="451">
        <v>8159</v>
      </c>
      <c r="C17" s="501">
        <v>3060</v>
      </c>
      <c r="E17" s="497">
        <f>+'CALIFICACION PRECIO'!L12</f>
        <v>125</v>
      </c>
      <c r="F17" s="498">
        <f>+'CALIFICACION PRECIO'!M12</f>
        <v>283</v>
      </c>
      <c r="G17" s="499" t="e">
        <f>+'CALIFICACION PRECIO'!N12</f>
        <v>#NUM!</v>
      </c>
      <c r="H17" s="505" t="str">
        <f>+CONSOLIDADO!A35</f>
        <v>UNION TEMPORAL PARA EL FORTALECIMIENTO COMUNITARIO EN LOS TERRITORIOS 2017</v>
      </c>
      <c r="I17" s="388">
        <v>0.21299999999999999</v>
      </c>
    </row>
    <row r="18" spans="1:9" ht="16.5" thickBot="1" x14ac:dyDescent="0.3">
      <c r="A18" s="108">
        <f t="shared" si="0"/>
        <v>9</v>
      </c>
      <c r="B18" s="451">
        <v>12239</v>
      </c>
      <c r="C18" s="501">
        <v>4590</v>
      </c>
      <c r="E18" s="497">
        <f>+'CALIFICACION PRECIO'!L13</f>
        <v>125</v>
      </c>
      <c r="F18" s="498">
        <f>+'CALIFICACION PRECIO'!M13</f>
        <v>283</v>
      </c>
      <c r="G18" s="499" t="e">
        <f>+'CALIFICACION PRECIO'!N13</f>
        <v>#NUM!</v>
      </c>
      <c r="H18" s="505" t="str">
        <f>+CONSOLIDADO!A39</f>
        <v>UNION TEMPORAL RENACER 2017</v>
      </c>
      <c r="I18" s="388">
        <v>0.21299999999999999</v>
      </c>
    </row>
    <row r="19" spans="1:9" ht="16.5" thickBot="1" x14ac:dyDescent="0.3">
      <c r="A19" s="108">
        <f t="shared" si="0"/>
        <v>10</v>
      </c>
      <c r="B19" s="451">
        <v>10199</v>
      </c>
      <c r="C19" s="501">
        <v>3825</v>
      </c>
      <c r="E19" s="497">
        <f>+'CALIFICACION PRECIO'!L14</f>
        <v>125</v>
      </c>
      <c r="F19" s="498">
        <f>+'CALIFICACION PRECIO'!M14</f>
        <v>283</v>
      </c>
      <c r="G19" s="499" t="e">
        <f>+'CALIFICACION PRECIO'!N14</f>
        <v>#NUM!</v>
      </c>
      <c r="H19" s="505" t="str">
        <f>+CONSOLIDADO!A43</f>
        <v>WILLIAM ARTURO DAZA FLOREZ</v>
      </c>
      <c r="I19" s="388">
        <v>0.21299999999999999</v>
      </c>
    </row>
    <row r="20" spans="1:9" ht="16.5" thickBot="1" x14ac:dyDescent="0.3">
      <c r="A20" s="109">
        <f t="shared" si="0"/>
        <v>11</v>
      </c>
      <c r="B20" s="406">
        <v>16318</v>
      </c>
      <c r="C20" s="502">
        <v>6119</v>
      </c>
      <c r="E20" s="497">
        <f>+'CALIFICACION PRECIO'!L15</f>
        <v>125</v>
      </c>
      <c r="F20" s="498">
        <f>+'CALIFICACION PRECIO'!M15</f>
        <v>283</v>
      </c>
      <c r="G20" s="499" t="e">
        <f>+'CALIFICACION PRECIO'!N15</f>
        <v>#NUM!</v>
      </c>
      <c r="H20" s="505" t="str">
        <f>+CONSOLIDADO!A47</f>
        <v>FEDERACIÓN NACIONAL DE CAFETEROS</v>
      </c>
      <c r="I20" s="388">
        <v>0.21299999999999999</v>
      </c>
    </row>
    <row r="21" spans="1:9" ht="16.5" thickBot="1" x14ac:dyDescent="0.3">
      <c r="E21" s="497">
        <f>+'CALIFICACION PRECIO'!L16</f>
        <v>125</v>
      </c>
      <c r="F21" s="498">
        <f>+'CALIFICACION PRECIO'!M16</f>
        <v>283</v>
      </c>
      <c r="G21" s="499" t="e">
        <f>+'CALIFICACION PRECIO'!N16</f>
        <v>#NUM!</v>
      </c>
      <c r="H21" s="505" t="str">
        <f>+CONSOLIDADO!A51</f>
        <v>UNION TEMPORAL PROSPERIDAD</v>
      </c>
      <c r="I21" s="388">
        <v>0.21299999999999999</v>
      </c>
    </row>
    <row r="22" spans="1:9" ht="16.5" thickBot="1" x14ac:dyDescent="0.3">
      <c r="E22" s="497">
        <f>+'CALIFICACION PRECIO'!L17</f>
        <v>0</v>
      </c>
      <c r="F22" s="498">
        <f>+'CALIFICACION PRECIO'!M17</f>
        <v>0</v>
      </c>
      <c r="G22" s="499" t="e">
        <f>+'CALIFICACION PRECIO'!N17</f>
        <v>#NUM!</v>
      </c>
      <c r="H22" s="505">
        <f>+CONSOLIDADO!A55</f>
        <v>0</v>
      </c>
      <c r="I22" s="388">
        <v>0.21299999999999999</v>
      </c>
    </row>
    <row r="23" spans="1:9" ht="16.5" thickBot="1" x14ac:dyDescent="0.3">
      <c r="E23" s="497">
        <f>+'CALIFICACION PRECIO'!L18</f>
        <v>0</v>
      </c>
      <c r="F23" s="498">
        <f>+'CALIFICACION PRECIO'!M18</f>
        <v>0</v>
      </c>
      <c r="G23" s="499" t="e">
        <f>+'CALIFICACION PRECIO'!N18</f>
        <v>#NUM!</v>
      </c>
      <c r="H23" s="505">
        <f>+CONSOLIDADO!A59</f>
        <v>0</v>
      </c>
      <c r="I23" s="388">
        <v>0.21299999999999999</v>
      </c>
    </row>
    <row r="24" spans="1:9" ht="16.5" thickBot="1" x14ac:dyDescent="0.3">
      <c r="E24" s="497">
        <f>+'CALIFICACION PRECIO'!L19</f>
        <v>0</v>
      </c>
      <c r="F24" s="498">
        <f>+'CALIFICACION PRECIO'!M19</f>
        <v>0</v>
      </c>
      <c r="G24" s="499" t="e">
        <f>+'CALIFICACION PRECIO'!N19</f>
        <v>#NUM!</v>
      </c>
      <c r="H24" s="505">
        <f>+CONSOLIDADO!A63</f>
        <v>0</v>
      </c>
      <c r="I24" s="388">
        <v>0.21299999999999999</v>
      </c>
    </row>
    <row r="25" spans="1:9" ht="16.5" thickBot="1" x14ac:dyDescent="0.3">
      <c r="E25" s="497">
        <f>+'CALIFICACION PRECIO'!L20</f>
        <v>0</v>
      </c>
      <c r="F25" s="498">
        <f>+'CALIFICACION PRECIO'!M20</f>
        <v>0</v>
      </c>
      <c r="G25" s="499" t="e">
        <f>+'CALIFICACION PRECIO'!N20</f>
        <v>#NUM!</v>
      </c>
      <c r="H25" s="505">
        <f>+CONSOLIDADO!A67</f>
        <v>0</v>
      </c>
      <c r="I25" s="388">
        <v>0.21299999999999999</v>
      </c>
    </row>
  </sheetData>
  <mergeCells count="5">
    <mergeCell ref="B8:C8"/>
    <mergeCell ref="A8:A9"/>
    <mergeCell ref="E8:G8"/>
    <mergeCell ref="B3:E3"/>
    <mergeCell ref="H1:H2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0" zoomScaleNormal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B51" sqref="B51:C51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>
        <f>+CONSOLIDADO!A67</f>
        <v>0</v>
      </c>
      <c r="C2" s="47"/>
      <c r="D2" s="47"/>
      <c r="E2" s="47"/>
      <c r="F2" s="47"/>
      <c r="G2" s="48"/>
      <c r="H2" s="564" t="s">
        <v>51</v>
      </c>
      <c r="I2" s="564"/>
      <c r="J2" s="49" t="str">
        <f ca="1"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 ca="1">COUNTIF(K9:K20,"SI")</f>
        <v>7</v>
      </c>
    </row>
    <row r="4" spans="1:14" x14ac:dyDescent="0.25">
      <c r="A4" s="46" t="s">
        <v>32</v>
      </c>
      <c r="B4" s="50">
        <f>+CONSOLIDADO!C68</f>
        <v>0</v>
      </c>
      <c r="C4" s="50"/>
      <c r="D4" s="50"/>
      <c r="E4" s="18"/>
      <c r="F4" s="76" t="s">
        <v>67</v>
      </c>
      <c r="G4" s="73">
        <f>+CONSOLIDADO!D68</f>
        <v>0</v>
      </c>
      <c r="H4" s="1"/>
      <c r="I4" s="46" t="s">
        <v>50</v>
      </c>
      <c r="J4" s="45">
        <f ca="1">COUNTIF(K9:K20,"NO")</f>
        <v>2</v>
      </c>
    </row>
    <row r="5" spans="1:14" x14ac:dyDescent="0.25">
      <c r="A5" s="46" t="s">
        <v>33</v>
      </c>
      <c r="B5" s="50">
        <f>+CONSOLIDADO!C69</f>
        <v>0</v>
      </c>
      <c r="C5" s="50"/>
      <c r="D5" s="50"/>
      <c r="E5" s="1"/>
      <c r="F5" s="77" t="s">
        <v>67</v>
      </c>
      <c r="G5" s="73">
        <f>+CONSOLIDADO!D69</f>
        <v>0</v>
      </c>
      <c r="H5" s="75">
        <f>SUM(G4:G6)</f>
        <v>0</v>
      </c>
      <c r="I5" s="46" t="s">
        <v>31</v>
      </c>
      <c r="J5" s="45">
        <f ca="1">COUNTIF(K9:K20,"N/A")</f>
        <v>3</v>
      </c>
    </row>
    <row r="6" spans="1:14" x14ac:dyDescent="0.25">
      <c r="A6" s="46" t="s">
        <v>34</v>
      </c>
      <c r="B6" s="50">
        <f>+CONSOLIDADO!C70</f>
        <v>0</v>
      </c>
      <c r="C6" s="50"/>
      <c r="D6" s="50"/>
      <c r="E6" s="16"/>
      <c r="F6" s="78" t="s">
        <v>67</v>
      </c>
      <c r="G6" s="74">
        <f>+CONSOLIDADO!D70</f>
        <v>0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459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 t="s">
        <v>35</v>
      </c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x14ac:dyDescent="0.25">
      <c r="A10" s="65" t="s">
        <v>52</v>
      </c>
      <c r="B10" s="61" t="s">
        <v>35</v>
      </c>
      <c r="C10" s="62"/>
      <c r="D10" s="63"/>
      <c r="E10" s="561"/>
      <c r="F10" s="562"/>
      <c r="G10" s="562"/>
      <c r="H10" s="562"/>
      <c r="I10" s="562"/>
      <c r="J10" s="563"/>
      <c r="K10" s="63" t="s">
        <v>28</v>
      </c>
    </row>
    <row r="11" spans="1:14" x14ac:dyDescent="0.25">
      <c r="A11" s="60" t="s">
        <v>53</v>
      </c>
      <c r="B11" s="61" t="s">
        <v>35</v>
      </c>
      <c r="C11" s="62"/>
      <c r="D11" s="63"/>
      <c r="E11" s="561"/>
      <c r="F11" s="562"/>
      <c r="G11" s="562"/>
      <c r="H11" s="562"/>
      <c r="I11" s="562"/>
      <c r="J11" s="563"/>
      <c r="K11" s="63" t="s">
        <v>28</v>
      </c>
    </row>
    <row r="12" spans="1:14" x14ac:dyDescent="0.25">
      <c r="A12" s="60" t="s">
        <v>106</v>
      </c>
      <c r="B12" s="61" t="s">
        <v>35</v>
      </c>
      <c r="C12" s="62"/>
      <c r="D12" s="63"/>
      <c r="E12" s="555"/>
      <c r="F12" s="556"/>
      <c r="G12" s="556"/>
      <c r="H12" s="556"/>
      <c r="I12" s="556"/>
      <c r="J12" s="557"/>
      <c r="K12" s="63" t="s">
        <v>48</v>
      </c>
    </row>
    <row r="13" spans="1:14" x14ac:dyDescent="0.25">
      <c r="A13" s="60" t="s">
        <v>107</v>
      </c>
      <c r="B13" s="61" t="s">
        <v>35</v>
      </c>
      <c r="C13" s="62"/>
      <c r="D13" s="63"/>
      <c r="E13" s="561"/>
      <c r="F13" s="562"/>
      <c r="G13" s="562"/>
      <c r="H13" s="562"/>
      <c r="I13" s="562"/>
      <c r="J13" s="563"/>
      <c r="K13" s="63" t="s">
        <v>48</v>
      </c>
    </row>
    <row r="14" spans="1:14" x14ac:dyDescent="0.25">
      <c r="A14" s="60" t="s">
        <v>145</v>
      </c>
      <c r="B14" s="61" t="s">
        <v>35</v>
      </c>
      <c r="C14" s="62"/>
      <c r="D14" s="63"/>
      <c r="E14" s="555"/>
      <c r="F14" s="556"/>
      <c r="G14" s="556"/>
      <c r="H14" s="556"/>
      <c r="I14" s="556"/>
      <c r="J14" s="557"/>
      <c r="K14" s="63" t="s">
        <v>48</v>
      </c>
    </row>
    <row r="15" spans="1:14" x14ac:dyDescent="0.25">
      <c r="A15" s="65" t="s">
        <v>146</v>
      </c>
      <c r="B15" s="61" t="s">
        <v>35</v>
      </c>
      <c r="C15" s="62"/>
      <c r="D15" s="63"/>
      <c r="E15" s="555"/>
      <c r="F15" s="556"/>
      <c r="G15" s="556"/>
      <c r="H15" s="556"/>
      <c r="I15" s="556"/>
      <c r="J15" s="557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e">
        <f ca="1">_xlfn.IFS(M30=2,M22,L30=2,L22,K30=2,K22)</f>
        <v>#NAME?</v>
      </c>
      <c r="I20" s="145"/>
      <c r="J20" s="146"/>
      <c r="K20" s="144" t="str">
        <f ca="1">IFERROR(_xlfn.IFS(K30=2,"SI",L30=2,"SI",M30=2,"SI"),"NO")</f>
        <v>NO</v>
      </c>
    </row>
    <row r="21" spans="1:13" ht="15.75" thickBot="1" x14ac:dyDescent="0.3"/>
    <row r="22" spans="1:13" x14ac:dyDescent="0.25">
      <c r="A22" s="104" t="str">
        <f>+A2</f>
        <v>PROPONENTE:</v>
      </c>
      <c r="B22" s="105">
        <f>+B2</f>
        <v>0</v>
      </c>
      <c r="C22" s="105"/>
      <c r="D22" s="106">
        <f>+D30+D38+D46</f>
        <v>0</v>
      </c>
      <c r="E22" s="580" t="s">
        <v>68</v>
      </c>
      <c r="F22" s="580"/>
      <c r="G22" s="580"/>
      <c r="H22" s="580"/>
      <c r="I22" s="79"/>
      <c r="J22" s="96">
        <v>0.5</v>
      </c>
      <c r="K22" s="342">
        <f>+B4</f>
        <v>0</v>
      </c>
      <c r="L22" s="343">
        <f>+B5</f>
        <v>0</v>
      </c>
      <c r="M22" s="343">
        <f>+B6</f>
        <v>0</v>
      </c>
    </row>
    <row r="23" spans="1:13" ht="17.25" x14ac:dyDescent="0.25">
      <c r="A23" s="80" t="s">
        <v>57</v>
      </c>
      <c r="B23" s="577">
        <f>+B31*D30+B39*D38+B47*D46</f>
        <v>0</v>
      </c>
      <c r="C23" s="577"/>
      <c r="D23" s="100"/>
      <c r="E23" s="81" t="s">
        <v>64</v>
      </c>
      <c r="F23" s="81"/>
      <c r="G23" s="81"/>
      <c r="H23" s="82" t="e">
        <f>+H31*D30+H39*D38+H47*D46</f>
        <v>#DIV/0!</v>
      </c>
      <c r="I23" s="83" t="e">
        <f>IF(H23&gt;=1.2,"HABILITA","NO HABILITA")</f>
        <v>#DIV/0!</v>
      </c>
      <c r="J23" s="97">
        <f>1.2/2</f>
        <v>0.6</v>
      </c>
      <c r="K23" s="344" t="e">
        <f>+H31*J22</f>
        <v>#DIV/0!</v>
      </c>
      <c r="L23" s="344" t="e">
        <f>+H39*J22</f>
        <v>#DIV/0!</v>
      </c>
      <c r="M23" s="344" t="e">
        <f>+H47*J22</f>
        <v>#DIV/0!</v>
      </c>
    </row>
    <row r="24" spans="1:13" ht="17.25" x14ac:dyDescent="0.25">
      <c r="A24" s="80" t="s">
        <v>58</v>
      </c>
      <c r="B24" s="577">
        <f>+B32*D30+B40*D38+B48*D46</f>
        <v>0</v>
      </c>
      <c r="C24" s="577"/>
      <c r="D24" s="101"/>
      <c r="E24" s="81" t="s">
        <v>63</v>
      </c>
      <c r="F24" s="81"/>
      <c r="G24" s="81"/>
      <c r="H24" s="84" t="e">
        <f>+H32*D30+H40*D38+H48*D46</f>
        <v>#DIV/0!</v>
      </c>
      <c r="I24" s="83" t="e">
        <f>IF(H24&lt;=70%,"HABILITA","NO HABILITA")</f>
        <v>#DIV/0!</v>
      </c>
      <c r="J24" s="98"/>
      <c r="K24" s="345"/>
      <c r="L24" s="345"/>
      <c r="M24" s="345"/>
    </row>
    <row r="25" spans="1:13" ht="17.25" x14ac:dyDescent="0.25">
      <c r="A25" s="80" t="s">
        <v>59</v>
      </c>
      <c r="B25" s="577">
        <f>+B33*D30+B41*D38+B49*D46</f>
        <v>0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0</v>
      </c>
      <c r="I25" s="83" t="str">
        <f>IF(H25&gt;=G25,"HABILITA","NO HABILITA")</f>
        <v>NO HABILITA</v>
      </c>
      <c r="J25" s="99">
        <f>+G25/2</f>
        <v>846450000</v>
      </c>
      <c r="K25" s="346">
        <f>+H33*J22</f>
        <v>0</v>
      </c>
      <c r="L25" s="346">
        <f>+H41*J22</f>
        <v>0</v>
      </c>
      <c r="M25" s="346">
        <f>+H49*J22</f>
        <v>0</v>
      </c>
    </row>
    <row r="26" spans="1:13" ht="17.25" x14ac:dyDescent="0.25">
      <c r="A26" s="80" t="s">
        <v>60</v>
      </c>
      <c r="B26" s="577">
        <f>+B34*D30+B42*D38+B50*D46</f>
        <v>0</v>
      </c>
      <c r="C26" s="577"/>
      <c r="D26" s="103"/>
      <c r="E26" s="81"/>
      <c r="F26" s="81"/>
      <c r="G26" s="86"/>
      <c r="H26" s="81"/>
      <c r="I26" s="8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0</v>
      </c>
      <c r="K27" s="107" t="e">
        <f>IF(K23&gt;=$J$23,"OK","N/A")</f>
        <v>#DIV/0!</v>
      </c>
      <c r="L27" s="107" t="e">
        <f>IF(L23&gt;=$J$23,"OK","N/A")</f>
        <v>#DIV/0!</v>
      </c>
      <c r="M27" s="107" t="e">
        <f>IF(M23&gt;=$J$23,"OK","N/A")</f>
        <v>#DIV/0!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K28" s="107"/>
      <c r="L28" s="107"/>
      <c r="M28" s="107"/>
    </row>
    <row r="29" spans="1:13" x14ac:dyDescent="0.25">
      <c r="K29" s="107" t="str">
        <f>IF(K25&gt;=$J$25,"OK","N/A")</f>
        <v>N/A</v>
      </c>
      <c r="L29" s="107" t="str">
        <f>IF(L25&gt;=$J$25,"OK","N/A")</f>
        <v>N/A</v>
      </c>
      <c r="M29" s="107" t="str">
        <f>IF(M25&gt;=$J$25,"OK","N/A")</f>
        <v>N/A</v>
      </c>
    </row>
    <row r="30" spans="1:13" x14ac:dyDescent="0.25">
      <c r="A30" s="46" t="str">
        <f>+A4</f>
        <v>INTEGRANTE 1</v>
      </c>
      <c r="B30" s="44">
        <f>+B4</f>
        <v>0</v>
      </c>
      <c r="C30" s="45" t="s">
        <v>67</v>
      </c>
      <c r="D30" s="69">
        <f>+G4</f>
        <v>0</v>
      </c>
      <c r="K30" s="107">
        <f>COUNTIF(K27:K29,"OK")</f>
        <v>0</v>
      </c>
      <c r="L30" s="107">
        <f>COUNTIF(L27:L29,"OK")</f>
        <v>0</v>
      </c>
      <c r="M30" s="107">
        <f>COUNTIF(M27:M29,"OK")</f>
        <v>0</v>
      </c>
    </row>
    <row r="31" spans="1:13" x14ac:dyDescent="0.25">
      <c r="A31" s="46" t="s">
        <v>57</v>
      </c>
      <c r="B31" s="573">
        <f>+CONSOLIDADO!P68</f>
        <v>0</v>
      </c>
      <c r="C31" s="573"/>
      <c r="E31" s="45" t="s">
        <v>64</v>
      </c>
      <c r="H31" s="70" t="e">
        <f>+B31/B32</f>
        <v>#DIV/0!</v>
      </c>
      <c r="I31" s="45" t="e">
        <f>IF(H31&gt;=1.2,"HABILITA","NO HABILITA")</f>
        <v>#DIV/0!</v>
      </c>
      <c r="K31" s="107" t="b">
        <f>IF(K30=2,K22)</f>
        <v>0</v>
      </c>
      <c r="L31" s="107" t="b">
        <f>IF(L30=2,L22)</f>
        <v>0</v>
      </c>
      <c r="M31" s="107" t="b">
        <f>IF(M30=2,M22)</f>
        <v>0</v>
      </c>
    </row>
    <row r="32" spans="1:13" x14ac:dyDescent="0.25">
      <c r="A32" s="46" t="s">
        <v>58</v>
      </c>
      <c r="B32" s="573">
        <f>+CONSOLIDADO!Q68</f>
        <v>0</v>
      </c>
      <c r="C32" s="573"/>
      <c r="E32" s="45" t="s">
        <v>63</v>
      </c>
      <c r="H32" s="68" t="e">
        <f>+B33/B34</f>
        <v>#DIV/0!</v>
      </c>
      <c r="I32" s="45" t="e">
        <f>IF(H32&lt;=70%,"HABILITA","NO HABILITA")</f>
        <v>#DIV/0!</v>
      </c>
    </row>
    <row r="33" spans="1:9" x14ac:dyDescent="0.25">
      <c r="A33" s="46" t="s">
        <v>59</v>
      </c>
      <c r="B33" s="573">
        <f>+CONSOLIDADO!R68</f>
        <v>0</v>
      </c>
      <c r="C33" s="573"/>
      <c r="E33" s="45" t="s">
        <v>62</v>
      </c>
      <c r="G33" s="71">
        <f>+B35*0.3</f>
        <v>1692900000</v>
      </c>
      <c r="H33" s="71">
        <f>(+B31-B32)</f>
        <v>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+CONSOLIDADO!S68</f>
        <v>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0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>
        <f>+B5</f>
        <v>0</v>
      </c>
      <c r="C38" s="45" t="s">
        <v>67</v>
      </c>
      <c r="D38" s="69">
        <f>+G5</f>
        <v>0</v>
      </c>
    </row>
    <row r="39" spans="1:9" x14ac:dyDescent="0.25">
      <c r="A39" s="46" t="s">
        <v>57</v>
      </c>
      <c r="B39" s="573">
        <f>+CONSOLIDADO!P69</f>
        <v>0</v>
      </c>
      <c r="C39" s="573"/>
      <c r="E39" s="45" t="s">
        <v>64</v>
      </c>
      <c r="H39" s="70" t="e">
        <f>+B39/B40</f>
        <v>#DIV/0!</v>
      </c>
      <c r="I39" s="45" t="e">
        <f>IF(H39&gt;=1.2,"HABILITA","NO HABILITA")</f>
        <v>#DIV/0!</v>
      </c>
    </row>
    <row r="40" spans="1:9" x14ac:dyDescent="0.25">
      <c r="A40" s="46" t="s">
        <v>58</v>
      </c>
      <c r="B40" s="573">
        <f>+CONSOLIDADO!Q69</f>
        <v>0</v>
      </c>
      <c r="C40" s="573"/>
      <c r="E40" s="45" t="s">
        <v>63</v>
      </c>
      <c r="H40" s="68" t="e">
        <f>+B41/B42</f>
        <v>#DIV/0!</v>
      </c>
      <c r="I40" s="45" t="e">
        <f>IF(H40&lt;=70%,"HABILITA","NO HABILITA")</f>
        <v>#DIV/0!</v>
      </c>
    </row>
    <row r="41" spans="1:9" x14ac:dyDescent="0.25">
      <c r="A41" s="46" t="s">
        <v>59</v>
      </c>
      <c r="B41" s="573">
        <f>+CONSOLIDADO!R69</f>
        <v>0</v>
      </c>
      <c r="C41" s="573"/>
      <c r="E41" s="45" t="s">
        <v>62</v>
      </c>
      <c r="G41" s="71">
        <f>+B43*0.3</f>
        <v>1692900000</v>
      </c>
      <c r="H41" s="71">
        <f>(+B39-B40)</f>
        <v>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+CONSOLIDADO!S69</f>
        <v>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0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x14ac:dyDescent="0.25">
      <c r="A47" s="46" t="s">
        <v>57</v>
      </c>
      <c r="B47" s="573">
        <f>+CONSOLIDADO!P70</f>
        <v>0</v>
      </c>
      <c r="C47" s="573"/>
      <c r="E47" s="45" t="s">
        <v>64</v>
      </c>
      <c r="H47" s="70" t="e">
        <f>+B47/B48</f>
        <v>#DIV/0!</v>
      </c>
      <c r="I47" s="45" t="e">
        <f>IF(H47&gt;=1.2,"HABILITA","NO HABILITA")</f>
        <v>#DIV/0!</v>
      </c>
    </row>
    <row r="48" spans="1:9" x14ac:dyDescent="0.25">
      <c r="A48" s="46" t="s">
        <v>58</v>
      </c>
      <c r="B48" s="573">
        <f>+CONSOLIDADO!Q70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x14ac:dyDescent="0.25">
      <c r="A49" s="46" t="s">
        <v>59</v>
      </c>
      <c r="B49" s="573">
        <f>+CONSOLIDADO!R70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+CONSOLIDADO!S70</f>
        <v>0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x14ac:dyDescent="0.25">
      <c r="F52" s="66"/>
      <c r="G52" s="67"/>
      <c r="H52" s="46" t="s">
        <v>66</v>
      </c>
      <c r="I52" s="45">
        <f>COUNTIF(I47:I49,"NO HABILITA")</f>
        <v>1</v>
      </c>
    </row>
  </sheetData>
  <mergeCells count="33">
    <mergeCell ref="B49:C49"/>
    <mergeCell ref="B50:C50"/>
    <mergeCell ref="B51:C51"/>
    <mergeCell ref="B40:C40"/>
    <mergeCell ref="B41:C41"/>
    <mergeCell ref="B42:C42"/>
    <mergeCell ref="B43:C43"/>
    <mergeCell ref="B47:C47"/>
    <mergeCell ref="B48:C48"/>
    <mergeCell ref="B39:C39"/>
    <mergeCell ref="E22:H22"/>
    <mergeCell ref="B23:C23"/>
    <mergeCell ref="B24:C24"/>
    <mergeCell ref="B25:C25"/>
    <mergeCell ref="B26:C26"/>
    <mergeCell ref="B27:C27"/>
    <mergeCell ref="B31:C31"/>
    <mergeCell ref="B32:C32"/>
    <mergeCell ref="B33:C33"/>
    <mergeCell ref="B34:C34"/>
    <mergeCell ref="B35:C35"/>
    <mergeCell ref="E18:J18"/>
    <mergeCell ref="H2:I2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</mergeCells>
  <pageMargins left="0.7" right="0.7" top="0.75" bottom="0.75" header="0.3" footer="0.3"/>
  <pageSetup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D26"/>
  <sheetViews>
    <sheetView showGridLines="0" topLeftCell="A2" workbookViewId="0">
      <selection activeCell="E6" sqref="E6"/>
    </sheetView>
  </sheetViews>
  <sheetFormatPr baseColWidth="10" defaultRowHeight="15" x14ac:dyDescent="0.25"/>
  <cols>
    <col min="2" max="2" width="79.5703125" customWidth="1"/>
  </cols>
  <sheetData>
    <row r="8" spans="2:4" x14ac:dyDescent="0.25">
      <c r="B8" s="597" t="s">
        <v>187</v>
      </c>
      <c r="C8" s="597"/>
      <c r="D8" s="597"/>
    </row>
    <row r="9" spans="2:4" ht="15.75" thickBot="1" x14ac:dyDescent="0.3"/>
    <row r="10" spans="2:4" ht="15.75" thickBot="1" x14ac:dyDescent="0.3">
      <c r="B10" s="376" t="s">
        <v>108</v>
      </c>
      <c r="C10" s="595" t="str">
        <f>+'DATOS BASE DEL GRUPO'!A3</f>
        <v>GRUPO 1</v>
      </c>
      <c r="D10" s="596"/>
    </row>
    <row r="11" spans="2:4" ht="15.75" thickTop="1" x14ac:dyDescent="0.25">
      <c r="B11" s="373" t="str">
        <f>+'HABILI FINANCIEROS CON_DES CESA'!B2</f>
        <v>CONSORCIO DESARROLLO DEL CESAR</v>
      </c>
      <c r="C11" s="384" t="str">
        <f>+'HABILI FINANCIEROS CON_DES CESA'!J2</f>
        <v>HABILITADO</v>
      </c>
      <c r="D11" s="385"/>
    </row>
    <row r="12" spans="2:4" x14ac:dyDescent="0.25">
      <c r="B12" s="369" t="str">
        <f>+'HABILI FINANCIEROS CON_OBRA EN '!B2</f>
        <v>CONSORCIO OBRAS EN PAZ</v>
      </c>
      <c r="C12" s="380" t="str">
        <f>+'HABILI FINANCIEROS CON_OBRA EN '!J2</f>
        <v>HABILITADO</v>
      </c>
      <c r="D12" s="381"/>
    </row>
    <row r="13" spans="2:4" x14ac:dyDescent="0.25">
      <c r="B13" s="369" t="str">
        <f>+'HABILI FINANCIEROS CON_PIC SIER'!B2</f>
        <v>CONSORCIO PIC SIERRA NEVADA</v>
      </c>
      <c r="C13" s="380" t="str">
        <f>+'HABILI FINANCIEROS CON_PIC SIER'!J2</f>
        <v>NO HABILITADO</v>
      </c>
      <c r="D13" s="381"/>
    </row>
    <row r="14" spans="2:4" x14ac:dyDescent="0.25">
      <c r="B14" s="369" t="str">
        <f>+'HABILI FINANCIEROS CON_LV PERIJ'!B2</f>
        <v>CONSORCIO LV PERIJÁ</v>
      </c>
      <c r="C14" s="380" t="str">
        <f>+'HABILI FINANCIEROS CON_LV PERIJ'!J2</f>
        <v>HABILITADO</v>
      </c>
      <c r="D14" s="381"/>
    </row>
    <row r="15" spans="2:4" x14ac:dyDescent="0.25">
      <c r="B15" s="369" t="str">
        <f>+'HABILI FINANCIEROS UT PERIJA 20'!B2</f>
        <v>UNION TEMPORAL PERIJA 2017</v>
      </c>
      <c r="C15" s="380" t="str">
        <f>+'HABILI FINANCIEROS UT PERIJA 20'!J2</f>
        <v>NO HABILITADO</v>
      </c>
      <c r="D15" s="381"/>
    </row>
    <row r="16" spans="2:4" x14ac:dyDescent="0.25">
      <c r="B16" s="369" t="str">
        <f>+'HABILI FINANCIEROS UT OBRAS REN'!B2</f>
        <v>UNIÓN TEMPORAL OBRAS RENACER</v>
      </c>
      <c r="C16" s="380" t="str">
        <f>+'HABILI FINANCIEROS UT OBRAS REN'!$J$2</f>
        <v>NO HABILITADO</v>
      </c>
      <c r="D16" s="381"/>
    </row>
    <row r="17" spans="2:4" x14ac:dyDescent="0.25">
      <c r="B17" s="369" t="str">
        <f>+'HABILI FINANCIEROS CON_INFRAEST'!B2</f>
        <v>CONSORCIO INFRAESTRUCTURA SIERRA NEVADA</v>
      </c>
      <c r="C17" s="380" t="str">
        <f>+'HABILI FINANCIEROS CON_INFRAEST'!$J$2</f>
        <v>NO HABILITADO</v>
      </c>
      <c r="D17" s="381"/>
    </row>
    <row r="18" spans="2:4" x14ac:dyDescent="0.25">
      <c r="B18" s="369" t="str">
        <f>+'HABILI FINANCIEROS UT FORT COMU'!$B$2</f>
        <v>UNION TEMPORAL PARA EL FORTALECIMIENTO COMUNITARIO EN LOS TERRITORIOS 2017</v>
      </c>
      <c r="C18" s="380" t="str">
        <f>+'HABILI FINANCIEROS UT FORT COMU'!$J$2</f>
        <v>NO HABILITADO</v>
      </c>
      <c r="D18" s="381"/>
    </row>
    <row r="19" spans="2:4" x14ac:dyDescent="0.25">
      <c r="B19" s="369" t="str">
        <f>+'HABILI FINANCIEROS UT RENACER'!$B$2</f>
        <v>UNION TEMPORAL RENACER 2017</v>
      </c>
      <c r="C19" s="380" t="str">
        <f>+'HABILI FINANCIEROS UT RENACER'!$J$2</f>
        <v>HABILITADO</v>
      </c>
      <c r="D19" s="381"/>
    </row>
    <row r="20" spans="2:4" x14ac:dyDescent="0.25">
      <c r="B20" s="369" t="str">
        <f>+'HABILI FINANCIEROS WILLIAM DAZA'!$B$2</f>
        <v>WILLIAM ARTURO DAZA FLOREZ</v>
      </c>
      <c r="C20" s="380" t="str">
        <f>+'HABILI FINANCIEROS WILLIAM DAZA'!$J$2</f>
        <v>HABILITADO</v>
      </c>
      <c r="D20" s="381"/>
    </row>
    <row r="21" spans="2:4" x14ac:dyDescent="0.25">
      <c r="B21" s="369" t="str">
        <f>+'HABILI FINANCIEROS FED NAL CAFE'!$B$2</f>
        <v>FEDERACIÓN NACIONAL DE CAFETEROS</v>
      </c>
      <c r="C21" s="380" t="str">
        <f>+'HABILI FINANCIEROS FED NAL CAFE'!$J$2</f>
        <v>HABILITADO</v>
      </c>
      <c r="D21" s="381"/>
    </row>
    <row r="22" spans="2:4" x14ac:dyDescent="0.25">
      <c r="B22" s="369" t="str">
        <f>+'HABILI FINANCIEROS UT PROSPERID'!$B$2</f>
        <v>UNION TEMPORAL PROSPERIDAD</v>
      </c>
      <c r="C22" s="380" t="str">
        <f>+'HABILI FINANCIEROS UT PROSPERID'!$J$2</f>
        <v>NO HABILITADO</v>
      </c>
      <c r="D22" s="381"/>
    </row>
    <row r="23" spans="2:4" hidden="1" x14ac:dyDescent="0.25">
      <c r="B23" s="369">
        <f>+'HABILI FINANCIEROS OFERENTE 13'!$B$2</f>
        <v>0</v>
      </c>
      <c r="C23" s="380" t="str">
        <f ca="1">+'HABILI FINANCIEROS OFERENTE 13'!$J$2</f>
        <v>NO HABILITADO</v>
      </c>
      <c r="D23" s="381"/>
    </row>
    <row r="24" spans="2:4" hidden="1" x14ac:dyDescent="0.25">
      <c r="B24" s="369">
        <f>+'HABILI FINANCIEROS OFERENTE 14'!$B$2</f>
        <v>0</v>
      </c>
      <c r="C24" s="380" t="str">
        <f ca="1">+'HABILI FINANCIEROS OFERENTE 14'!$J$2</f>
        <v>NO HABILITADO</v>
      </c>
      <c r="D24" s="381"/>
    </row>
    <row r="25" spans="2:4" hidden="1" x14ac:dyDescent="0.25">
      <c r="B25" s="369">
        <f>+'HABILI FINANCIEROS OFERENTE 15'!$B$2</f>
        <v>0</v>
      </c>
      <c r="C25" s="380" t="str">
        <f ca="1">+'HABILI FINANCIEROS OFERENTE 15'!$J$2</f>
        <v>NO HABILITADO</v>
      </c>
      <c r="D25" s="381"/>
    </row>
    <row r="26" spans="2:4" ht="15.75" hidden="1" thickBot="1" x14ac:dyDescent="0.3">
      <c r="B26" s="372">
        <f>+'HABILI FINANCIEROS OFERENTE 16'!$B$2</f>
        <v>0</v>
      </c>
      <c r="C26" s="382" t="str">
        <f ca="1">+'HABILI FINANCIEROS OFERENTE 16'!$J$2</f>
        <v>NO HABILITADO</v>
      </c>
      <c r="D26" s="383"/>
    </row>
  </sheetData>
  <sheetProtection algorithmName="SHA-512" hashValue="jOPKJgVC7lYvivQoMQKqbDZTPyUPzW+kR+GKhnLiGREuj8HcW5r+J4s6FC65WIctc14evbkO3nCNNTGA3S0HdQ==" saltValue="rR2fWzLil556g0Kxzwphjg==" spinCount="100000" sheet="1" objects="1" scenarios="1"/>
  <mergeCells count="2">
    <mergeCell ref="C10:D10"/>
    <mergeCell ref="B8:D8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2"/>
  <sheetViews>
    <sheetView zoomScaleNormal="100" workbookViewId="0"/>
  </sheetViews>
  <sheetFormatPr baseColWidth="10" defaultRowHeight="15" x14ac:dyDescent="0.25"/>
  <cols>
    <col min="1" max="1" width="59.140625" style="45" customWidth="1"/>
    <col min="2" max="4" width="10.7109375" style="45" customWidth="1"/>
    <col min="5" max="6" width="11.42578125" style="45"/>
    <col min="7" max="7" width="17" style="45" bestFit="1" customWidth="1"/>
    <col min="8" max="8" width="16.140625" style="45" bestFit="1" customWidth="1"/>
    <col min="9" max="9" width="16.85546875" style="45" bestFit="1" customWidth="1"/>
    <col min="10" max="10" width="15.5703125" style="45" bestFit="1" customWidth="1"/>
    <col min="11" max="11" width="14.85546875" style="45" bestFit="1" customWidth="1"/>
    <col min="12" max="12" width="5.5703125" style="45" customWidth="1"/>
    <col min="13" max="13" width="15.5703125" style="45" bestFit="1" customWidth="1"/>
    <col min="14" max="14" width="12.7109375" style="45" customWidth="1"/>
    <col min="15" max="16384" width="11.42578125" style="45"/>
  </cols>
  <sheetData>
    <row r="1" spans="1:25" s="44" customFormat="1" x14ac:dyDescent="0.25">
      <c r="A1" s="44" t="s">
        <v>147</v>
      </c>
      <c r="K1" s="45"/>
    </row>
    <row r="2" spans="1:25" ht="25.5" customHeight="1" x14ac:dyDescent="0.25">
      <c r="A2" s="46" t="s">
        <v>29</v>
      </c>
      <c r="B2" s="47" t="str">
        <f>+CONSOLIDADO!A7</f>
        <v>CONSORCIO DESARROLLO DEL CESAR</v>
      </c>
      <c r="C2" s="47"/>
      <c r="D2" s="47"/>
      <c r="E2" s="47"/>
      <c r="F2" s="47"/>
      <c r="G2" s="48"/>
      <c r="I2" s="394" t="s">
        <v>51</v>
      </c>
      <c r="J2" s="49" t="str">
        <f>IF(J4&gt;0,"NO HABILITADO","HABILITADO")</f>
        <v>HABILITADO</v>
      </c>
    </row>
    <row r="3" spans="1:25" x14ac:dyDescent="0.25">
      <c r="A3" s="46" t="str">
        <f>+'DATOS BASE DEL GRUPO'!A3</f>
        <v>GRUPO 1</v>
      </c>
      <c r="B3" s="293" t="str">
        <f>+'DATOS BASE DEL GRUPO'!B3</f>
        <v>SIERRA NEVADA-PERIJÁ-ZONA BANANERA</v>
      </c>
      <c r="C3" s="13"/>
      <c r="D3" s="50"/>
      <c r="E3" s="50"/>
      <c r="F3" s="50"/>
      <c r="G3" s="48"/>
      <c r="I3" s="46" t="s">
        <v>49</v>
      </c>
      <c r="J3" s="45">
        <f>COUNTIF(H9:H13,"SI")</f>
        <v>5</v>
      </c>
    </row>
    <row r="4" spans="1:25" x14ac:dyDescent="0.25">
      <c r="A4" s="46" t="s">
        <v>32</v>
      </c>
      <c r="B4" s="50" t="str">
        <f>+CONSOLIDADO!C8</f>
        <v>TECONOLOGIAS Y CONSULTORIAS AMBIENTALES Y DE GESTIÓN S.A.S.</v>
      </c>
      <c r="C4" s="50"/>
      <c r="D4" s="50"/>
      <c r="E4" s="18"/>
      <c r="F4" s="76"/>
      <c r="G4" s="73"/>
      <c r="H4" s="1"/>
      <c r="I4" s="46" t="s">
        <v>50</v>
      </c>
      <c r="J4" s="45">
        <f>COUNTIF(H9:H13,"NO")</f>
        <v>0</v>
      </c>
    </row>
    <row r="5" spans="1:25" x14ac:dyDescent="0.25">
      <c r="A5" s="46" t="s">
        <v>33</v>
      </c>
      <c r="B5" s="50" t="str">
        <f>+CONSOLIDADO!C9</f>
        <v>TECNICAS TERRITORIALES Y URBANAS SL-SUCURSAL COLOMBIA</v>
      </c>
      <c r="C5" s="50"/>
      <c r="D5" s="50"/>
      <c r="E5" s="1"/>
      <c r="F5" s="77"/>
      <c r="G5" s="73"/>
      <c r="H5" s="75"/>
      <c r="I5" s="46" t="s">
        <v>31</v>
      </c>
      <c r="J5" s="45">
        <f>COUNTIF(H9:H13,"N/A")</f>
        <v>0</v>
      </c>
    </row>
    <row r="6" spans="1:25" x14ac:dyDescent="0.25">
      <c r="A6" s="46" t="s">
        <v>34</v>
      </c>
      <c r="B6" s="50">
        <f>+CONSOLIDADO!C10</f>
        <v>0</v>
      </c>
      <c r="C6" s="50"/>
      <c r="D6" s="50"/>
      <c r="E6" s="1"/>
      <c r="F6" s="77"/>
      <c r="G6" s="73"/>
      <c r="H6" s="1"/>
      <c r="I6" s="48"/>
      <c r="J6" s="48"/>
      <c r="K6" s="48"/>
    </row>
    <row r="7" spans="1:25" ht="15.75" thickBot="1" x14ac:dyDescent="0.3">
      <c r="B7" s="51"/>
      <c r="C7" s="51"/>
      <c r="D7" s="51"/>
      <c r="E7" s="48"/>
      <c r="F7" s="48"/>
      <c r="G7" s="48"/>
      <c r="H7" s="48"/>
      <c r="I7" s="48"/>
      <c r="J7" s="48"/>
      <c r="K7" s="48"/>
    </row>
    <row r="8" spans="1:25" s="52" customFormat="1" ht="15.75" thickBot="1" x14ac:dyDescent="0.3">
      <c r="A8" s="447" t="s">
        <v>26</v>
      </c>
      <c r="B8" s="566" t="s">
        <v>42</v>
      </c>
      <c r="C8" s="566"/>
      <c r="D8" s="566"/>
      <c r="E8" s="566"/>
      <c r="F8" s="566"/>
      <c r="G8" s="566"/>
      <c r="H8" s="431" t="s">
        <v>47</v>
      </c>
    </row>
    <row r="9" spans="1:25" ht="30" customHeight="1" thickTop="1" x14ac:dyDescent="0.25">
      <c r="A9" s="445" t="s">
        <v>148</v>
      </c>
      <c r="B9" s="625" t="s">
        <v>73</v>
      </c>
      <c r="C9" s="625"/>
      <c r="D9" s="625"/>
      <c r="E9" s="625"/>
      <c r="F9" s="625"/>
      <c r="G9" s="625"/>
      <c r="H9" s="446" t="str">
        <f>+K16</f>
        <v>SI</v>
      </c>
    </row>
    <row r="10" spans="1:25" ht="45" customHeight="1" x14ac:dyDescent="0.25">
      <c r="A10" s="443" t="s">
        <v>149</v>
      </c>
      <c r="B10" s="626" t="s">
        <v>74</v>
      </c>
      <c r="C10" s="626"/>
      <c r="D10" s="626"/>
      <c r="E10" s="626"/>
      <c r="F10" s="626"/>
      <c r="G10" s="626"/>
      <c r="H10" s="442" t="str">
        <f>+K24</f>
        <v>SI</v>
      </c>
    </row>
    <row r="11" spans="1:25" ht="64.5" customHeight="1" x14ac:dyDescent="0.25">
      <c r="A11" s="443" t="s">
        <v>150</v>
      </c>
      <c r="B11" s="605" t="s">
        <v>75</v>
      </c>
      <c r="C11" s="605"/>
      <c r="D11" s="605"/>
      <c r="E11" s="605"/>
      <c r="F11" s="605"/>
      <c r="G11" s="605"/>
      <c r="H11" s="442" t="str">
        <f>+K27</f>
        <v>SI</v>
      </c>
    </row>
    <row r="12" spans="1:25" x14ac:dyDescent="0.25">
      <c r="A12" s="444" t="s">
        <v>70</v>
      </c>
      <c r="B12" s="606"/>
      <c r="C12" s="606"/>
      <c r="D12" s="606"/>
      <c r="E12" s="606"/>
      <c r="F12" s="606"/>
      <c r="G12" s="606"/>
      <c r="H12" s="448" t="s">
        <v>28</v>
      </c>
    </row>
    <row r="13" spans="1:25" ht="15.75" thickBot="1" x14ac:dyDescent="0.3">
      <c r="A13" s="403" t="s">
        <v>151</v>
      </c>
      <c r="B13" s="607"/>
      <c r="C13" s="607"/>
      <c r="D13" s="607"/>
      <c r="E13" s="607"/>
      <c r="F13" s="607"/>
      <c r="G13" s="607"/>
      <c r="H13" s="449" t="s">
        <v>28</v>
      </c>
    </row>
    <row r="14" spans="1:25" ht="15.75" thickBot="1" x14ac:dyDescent="0.3"/>
    <row r="15" spans="1:25" ht="45.75" thickBot="1" x14ac:dyDescent="0.3">
      <c r="A15" s="13"/>
      <c r="B15" s="13"/>
      <c r="C15" s="13"/>
      <c r="E15" s="111" t="s">
        <v>71</v>
      </c>
      <c r="F15" s="395" t="s">
        <v>190</v>
      </c>
      <c r="G15" s="395" t="s">
        <v>152</v>
      </c>
      <c r="H15" s="438" t="s">
        <v>196</v>
      </c>
      <c r="I15" s="114" t="s">
        <v>90</v>
      </c>
      <c r="J15" s="114" t="s">
        <v>89</v>
      </c>
      <c r="K15" s="396" t="s">
        <v>72</v>
      </c>
      <c r="M15" s="440" t="s">
        <v>195</v>
      </c>
      <c r="N15" s="598" t="s">
        <v>194</v>
      </c>
      <c r="O15" s="599"/>
      <c r="P15" s="599"/>
      <c r="Q15" s="599"/>
      <c r="R15" s="599"/>
      <c r="S15" s="599"/>
      <c r="T15" s="599"/>
      <c r="U15" s="599"/>
      <c r="V15" s="599"/>
      <c r="W15" s="599"/>
      <c r="X15" s="599"/>
      <c r="Y15" s="600"/>
    </row>
    <row r="16" spans="1:25" ht="15.75" thickTop="1" x14ac:dyDescent="0.25">
      <c r="A16" s="13"/>
      <c r="B16" s="13"/>
      <c r="C16" s="13"/>
      <c r="E16" s="110">
        <v>1</v>
      </c>
      <c r="F16" s="426" t="s">
        <v>28</v>
      </c>
      <c r="G16" s="616" t="s">
        <v>191</v>
      </c>
      <c r="H16" s="450">
        <f t="shared" ref="H16:H26" si="0">IF(F16="SI",M16,0)</f>
        <v>1535.8192911373874</v>
      </c>
      <c r="I16" s="610">
        <f>SUM(H16:H23)</f>
        <v>8007.135527580358</v>
      </c>
      <c r="J16" s="612">
        <f>+'DATOS BASE DEL GRUPO'!B5</f>
        <v>6119</v>
      </c>
      <c r="K16" s="608" t="str">
        <f>IF((I16-J16)&gt;0,"SI","NO")</f>
        <v>SI</v>
      </c>
      <c r="M16" s="455">
        <v>1535.8192911373874</v>
      </c>
      <c r="N16" s="601"/>
      <c r="O16" s="602"/>
      <c r="P16" s="602"/>
      <c r="Q16" s="602"/>
      <c r="R16" s="602"/>
      <c r="S16" s="602"/>
      <c r="T16" s="602"/>
      <c r="U16" s="602"/>
      <c r="V16" s="602"/>
      <c r="W16" s="602"/>
      <c r="X16" s="602"/>
      <c r="Y16" s="603"/>
    </row>
    <row r="17" spans="1:25" x14ac:dyDescent="0.25">
      <c r="A17" s="13"/>
      <c r="B17" s="13"/>
      <c r="C17" s="13"/>
      <c r="E17" s="108">
        <f>+E16+1</f>
        <v>2</v>
      </c>
      <c r="F17" s="427" t="s">
        <v>28</v>
      </c>
      <c r="G17" s="617"/>
      <c r="H17" s="451">
        <f t="shared" si="0"/>
        <v>1523.6194909430039</v>
      </c>
      <c r="I17" s="611"/>
      <c r="J17" s="613"/>
      <c r="K17" s="609"/>
      <c r="M17" s="456">
        <v>1523.6194909430039</v>
      </c>
      <c r="N17" s="604"/>
      <c r="O17" s="556"/>
      <c r="P17" s="556"/>
      <c r="Q17" s="556"/>
      <c r="R17" s="556"/>
      <c r="S17" s="556"/>
      <c r="T17" s="556"/>
      <c r="U17" s="556"/>
      <c r="V17" s="556"/>
      <c r="W17" s="556"/>
      <c r="X17" s="556"/>
      <c r="Y17" s="557"/>
    </row>
    <row r="18" spans="1:25" x14ac:dyDescent="0.25">
      <c r="A18" s="13"/>
      <c r="B18" s="13"/>
      <c r="C18" s="13"/>
      <c r="E18" s="108">
        <f t="shared" ref="E18:E23" si="1">+E17+1</f>
        <v>3</v>
      </c>
      <c r="F18" s="427" t="s">
        <v>28</v>
      </c>
      <c r="G18" s="617"/>
      <c r="H18" s="451">
        <f t="shared" si="0"/>
        <v>1491.0866904246479</v>
      </c>
      <c r="I18" s="611"/>
      <c r="J18" s="613"/>
      <c r="K18" s="609"/>
      <c r="M18" s="456">
        <v>1491.0866904246479</v>
      </c>
      <c r="N18" s="604"/>
      <c r="O18" s="556"/>
      <c r="P18" s="556"/>
      <c r="Q18" s="556"/>
      <c r="R18" s="556"/>
      <c r="S18" s="556"/>
      <c r="T18" s="556"/>
      <c r="U18" s="556"/>
      <c r="V18" s="556"/>
      <c r="W18" s="556"/>
      <c r="X18" s="556"/>
      <c r="Y18" s="557"/>
    </row>
    <row r="19" spans="1:25" x14ac:dyDescent="0.25">
      <c r="A19" s="13"/>
      <c r="B19" s="13"/>
      <c r="C19" s="13"/>
      <c r="E19" s="108">
        <f t="shared" si="1"/>
        <v>4</v>
      </c>
      <c r="F19" s="427" t="s">
        <v>28</v>
      </c>
      <c r="G19" s="617"/>
      <c r="H19" s="451">
        <f t="shared" si="0"/>
        <v>1694.4166936643726</v>
      </c>
      <c r="I19" s="611"/>
      <c r="J19" s="613"/>
      <c r="K19" s="609"/>
      <c r="M19" s="456">
        <v>1694.4166936643726</v>
      </c>
      <c r="N19" s="604"/>
      <c r="O19" s="556"/>
      <c r="P19" s="556"/>
      <c r="Q19" s="556"/>
      <c r="R19" s="556"/>
      <c r="S19" s="556"/>
      <c r="T19" s="556"/>
      <c r="U19" s="556"/>
      <c r="V19" s="556"/>
      <c r="W19" s="556"/>
      <c r="X19" s="556"/>
      <c r="Y19" s="557"/>
    </row>
    <row r="20" spans="1:25" x14ac:dyDescent="0.25">
      <c r="A20" s="13"/>
      <c r="B20" s="13"/>
      <c r="C20" s="13"/>
      <c r="E20" s="108">
        <f t="shared" si="1"/>
        <v>5</v>
      </c>
      <c r="F20" s="427" t="s">
        <v>28</v>
      </c>
      <c r="G20" s="617"/>
      <c r="H20" s="451">
        <f t="shared" si="0"/>
        <v>338.88333873287451</v>
      </c>
      <c r="I20" s="611"/>
      <c r="J20" s="613"/>
      <c r="K20" s="609"/>
      <c r="M20" s="456">
        <v>338.88333873287451</v>
      </c>
      <c r="N20" s="604"/>
      <c r="O20" s="556"/>
      <c r="P20" s="556"/>
      <c r="Q20" s="556"/>
      <c r="R20" s="556"/>
      <c r="S20" s="556"/>
      <c r="T20" s="556"/>
      <c r="U20" s="556"/>
      <c r="V20" s="556"/>
      <c r="W20" s="556"/>
      <c r="X20" s="556"/>
      <c r="Y20" s="557"/>
    </row>
    <row r="21" spans="1:25" x14ac:dyDescent="0.25">
      <c r="A21" s="13"/>
      <c r="B21" s="13"/>
      <c r="C21" s="13"/>
      <c r="E21" s="108">
        <f t="shared" si="1"/>
        <v>6</v>
      </c>
      <c r="F21" s="427" t="s">
        <v>27</v>
      </c>
      <c r="G21" s="617"/>
      <c r="H21" s="451">
        <f t="shared" si="0"/>
        <v>0</v>
      </c>
      <c r="I21" s="611"/>
      <c r="J21" s="613"/>
      <c r="K21" s="609"/>
      <c r="M21" s="456">
        <v>169.44166936643725</v>
      </c>
      <c r="N21" s="604"/>
      <c r="O21" s="556"/>
      <c r="P21" s="556"/>
      <c r="Q21" s="556"/>
      <c r="R21" s="556"/>
      <c r="S21" s="556"/>
      <c r="T21" s="556"/>
      <c r="U21" s="556"/>
      <c r="V21" s="556"/>
      <c r="W21" s="556"/>
      <c r="X21" s="556"/>
      <c r="Y21" s="557"/>
    </row>
    <row r="22" spans="1:25" x14ac:dyDescent="0.25">
      <c r="A22" s="13"/>
      <c r="B22" s="13"/>
      <c r="C22" s="13"/>
      <c r="E22" s="108">
        <f t="shared" si="1"/>
        <v>7</v>
      </c>
      <c r="F22" s="427" t="s">
        <v>27</v>
      </c>
      <c r="G22" s="617"/>
      <c r="H22" s="451">
        <f t="shared" si="0"/>
        <v>0</v>
      </c>
      <c r="I22" s="611"/>
      <c r="J22" s="613"/>
      <c r="K22" s="609"/>
      <c r="M22" s="456">
        <v>1321.6450210582107</v>
      </c>
      <c r="N22" s="604"/>
      <c r="O22" s="556"/>
      <c r="P22" s="556"/>
      <c r="Q22" s="556"/>
      <c r="R22" s="556"/>
      <c r="S22" s="556"/>
      <c r="T22" s="556"/>
      <c r="U22" s="556"/>
      <c r="V22" s="556"/>
      <c r="W22" s="556"/>
      <c r="X22" s="556"/>
      <c r="Y22" s="557"/>
    </row>
    <row r="23" spans="1:25" ht="15.75" thickBot="1" x14ac:dyDescent="0.3">
      <c r="A23" s="13"/>
      <c r="B23" s="13"/>
      <c r="C23" s="13"/>
      <c r="E23" s="399">
        <f t="shared" si="1"/>
        <v>8</v>
      </c>
      <c r="F23" s="428" t="s">
        <v>28</v>
      </c>
      <c r="G23" s="618"/>
      <c r="H23" s="452">
        <f t="shared" si="0"/>
        <v>1423.310022678073</v>
      </c>
      <c r="I23" s="611"/>
      <c r="J23" s="613"/>
      <c r="K23" s="609"/>
      <c r="M23" s="456">
        <v>1423.310022678073</v>
      </c>
      <c r="N23" s="604"/>
      <c r="O23" s="556"/>
      <c r="P23" s="556"/>
      <c r="Q23" s="556"/>
      <c r="R23" s="556"/>
      <c r="S23" s="556"/>
      <c r="T23" s="556"/>
      <c r="U23" s="556"/>
      <c r="V23" s="556"/>
      <c r="W23" s="556"/>
      <c r="X23" s="556"/>
      <c r="Y23" s="557"/>
    </row>
    <row r="24" spans="1:25" ht="15.75" customHeight="1" thickTop="1" x14ac:dyDescent="0.25">
      <c r="C24" s="52"/>
      <c r="D24" s="52"/>
      <c r="E24" s="421">
        <v>3</v>
      </c>
      <c r="F24" s="429" t="str">
        <f>IFERROR((LOOKUP(E24,E16:E23,F16:F23)),"NO")</f>
        <v>SI</v>
      </c>
      <c r="G24" s="616" t="s">
        <v>192</v>
      </c>
      <c r="H24" s="453">
        <f t="shared" si="0"/>
        <v>1491.0866904246479</v>
      </c>
      <c r="I24" s="610">
        <f>SUM(H24:H26)</f>
        <v>3185.5033840890205</v>
      </c>
      <c r="J24" s="612">
        <f>+'DATOS BASE DEL GRUPO'!B6</f>
        <v>2295</v>
      </c>
      <c r="K24" s="622" t="str">
        <f>IF((I24-J24)&gt;0,"SI","NO")</f>
        <v>SI</v>
      </c>
      <c r="M24" s="457">
        <f>IFERROR((LOOKUP(E24,E16:E23,H16:H23)),0)</f>
        <v>1491.0866904246479</v>
      </c>
      <c r="N24" s="604"/>
      <c r="O24" s="556"/>
      <c r="P24" s="556"/>
      <c r="Q24" s="556"/>
      <c r="R24" s="556"/>
      <c r="S24" s="556"/>
      <c r="T24" s="556"/>
      <c r="U24" s="556"/>
      <c r="V24" s="556"/>
      <c r="W24" s="556"/>
      <c r="X24" s="556"/>
      <c r="Y24" s="557"/>
    </row>
    <row r="25" spans="1:25" x14ac:dyDescent="0.25">
      <c r="E25" s="422">
        <v>4</v>
      </c>
      <c r="F25" s="62" t="str">
        <f>IFERROR((LOOKUP(E25,E16:E23,F16:F23)),"NO")</f>
        <v>SI</v>
      </c>
      <c r="G25" s="617"/>
      <c r="H25" s="452">
        <f t="shared" si="0"/>
        <v>1694.4166936643726</v>
      </c>
      <c r="I25" s="611"/>
      <c r="J25" s="613"/>
      <c r="K25" s="623"/>
      <c r="M25" s="457">
        <f>IFERROR((LOOKUP(E25,E16:E23,H16:H23)),0)</f>
        <v>1694.4166936643726</v>
      </c>
      <c r="N25" s="604"/>
      <c r="O25" s="556"/>
      <c r="P25" s="556"/>
      <c r="Q25" s="556"/>
      <c r="R25" s="556"/>
      <c r="S25" s="556"/>
      <c r="T25" s="556"/>
      <c r="U25" s="556"/>
      <c r="V25" s="556"/>
      <c r="W25" s="556"/>
      <c r="X25" s="556"/>
      <c r="Y25" s="557"/>
    </row>
    <row r="26" spans="1:25" ht="15.75" thickBot="1" x14ac:dyDescent="0.3">
      <c r="E26" s="423"/>
      <c r="F26" s="430" t="str">
        <f>IFERROR((LOOKUP(E26,E16:E23,F16:F23)),"NO")</f>
        <v>NO</v>
      </c>
      <c r="G26" s="618"/>
      <c r="H26" s="454">
        <f t="shared" si="0"/>
        <v>0</v>
      </c>
      <c r="I26" s="615"/>
      <c r="J26" s="614"/>
      <c r="K26" s="624"/>
      <c r="M26" s="457">
        <f>IFERROR((LOOKUP(E26,E16:E23,H16:H23)),0)</f>
        <v>0</v>
      </c>
      <c r="N26" s="604"/>
      <c r="O26" s="556"/>
      <c r="P26" s="556"/>
      <c r="Q26" s="556"/>
      <c r="R26" s="556"/>
      <c r="S26" s="556"/>
      <c r="T26" s="556"/>
      <c r="U26" s="556"/>
      <c r="V26" s="556"/>
      <c r="W26" s="556"/>
      <c r="X26" s="556"/>
      <c r="Y26" s="557"/>
    </row>
    <row r="27" spans="1:25" ht="46.5" thickTop="1" thickBot="1" x14ac:dyDescent="0.3">
      <c r="E27" s="400"/>
      <c r="F27" s="401"/>
      <c r="G27" s="402" t="s">
        <v>193</v>
      </c>
      <c r="H27" s="425">
        <v>2</v>
      </c>
      <c r="I27" s="397">
        <f>+H27</f>
        <v>2</v>
      </c>
      <c r="J27" s="397">
        <v>1</v>
      </c>
      <c r="K27" s="398" t="str">
        <f>IF((I27)&gt;=J27,"SI","NO")</f>
        <v>SI</v>
      </c>
      <c r="M27" s="439"/>
      <c r="N27" s="619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1"/>
    </row>
    <row r="29" spans="1:25" x14ac:dyDescent="0.25">
      <c r="A29" s="46" t="s">
        <v>29</v>
      </c>
      <c r="B29" s="47" t="str">
        <f>+CONSOLIDADO!A11</f>
        <v>CONSORCIO OBRAS EN PAZ</v>
      </c>
      <c r="C29" s="47"/>
      <c r="D29" s="47"/>
      <c r="E29" s="47"/>
      <c r="F29" s="47"/>
      <c r="G29" s="48"/>
      <c r="I29" s="394" t="s">
        <v>51</v>
      </c>
      <c r="J29" s="49" t="str">
        <f>IF(J31&gt;0,"NO HABILITADO","HABILITADO")</f>
        <v>HABILITADO</v>
      </c>
    </row>
    <row r="30" spans="1:25" x14ac:dyDescent="0.25">
      <c r="A30" s="46" t="str">
        <f>+A3</f>
        <v>GRUPO 1</v>
      </c>
      <c r="B30" s="292" t="str">
        <f>+B3</f>
        <v>SIERRA NEVADA-PERIJÁ-ZONA BANANERA</v>
      </c>
      <c r="C30" s="50"/>
      <c r="D30" s="50"/>
      <c r="E30" s="50"/>
      <c r="F30" s="50"/>
      <c r="G30" s="48"/>
      <c r="I30" s="46" t="s">
        <v>49</v>
      </c>
      <c r="J30" s="45">
        <f>COUNTIF(H36:H40,"SI")</f>
        <v>5</v>
      </c>
    </row>
    <row r="31" spans="1:25" x14ac:dyDescent="0.25">
      <c r="A31" s="46" t="s">
        <v>32</v>
      </c>
      <c r="B31" s="50" t="str">
        <f>+CONSOLIDADO!C12</f>
        <v>CARLOS ALBERTO GONZALEZ CAMARGO</v>
      </c>
      <c r="C31" s="50"/>
      <c r="D31" s="50"/>
      <c r="E31" s="18"/>
      <c r="F31" s="76"/>
      <c r="G31" s="73"/>
      <c r="H31" s="1"/>
      <c r="I31" s="46" t="s">
        <v>50</v>
      </c>
      <c r="J31" s="45">
        <f>COUNTIF(H36:H40,"NO")</f>
        <v>0</v>
      </c>
    </row>
    <row r="32" spans="1:25" x14ac:dyDescent="0.25">
      <c r="A32" s="46" t="s">
        <v>33</v>
      </c>
      <c r="B32" s="50" t="str">
        <f>+CONSOLIDADO!C13</f>
        <v>YOHAN FAHIR BERMUDEZ PARRA</v>
      </c>
      <c r="C32" s="50"/>
      <c r="D32" s="50"/>
      <c r="E32" s="1"/>
      <c r="F32" s="77"/>
      <c r="G32" s="73"/>
      <c r="H32" s="75"/>
      <c r="I32" s="46" t="s">
        <v>31</v>
      </c>
      <c r="J32" s="45">
        <f>COUNTIF(H36:H40,"N/A")</f>
        <v>0</v>
      </c>
    </row>
    <row r="33" spans="1:25" x14ac:dyDescent="0.25">
      <c r="A33" s="46" t="s">
        <v>34</v>
      </c>
      <c r="B33" s="50" t="str">
        <f>+CONSOLIDADO!C14</f>
        <v>JUAN CARLOS ARAGON PINZON</v>
      </c>
      <c r="C33" s="50"/>
      <c r="D33" s="50"/>
      <c r="E33" s="1"/>
      <c r="F33" s="77"/>
      <c r="G33" s="73"/>
      <c r="H33" s="1"/>
      <c r="I33" s="48"/>
      <c r="J33" s="48"/>
      <c r="K33" s="48"/>
    </row>
    <row r="34" spans="1:25" ht="15.75" thickBot="1" x14ac:dyDescent="0.3">
      <c r="B34" s="51"/>
      <c r="C34" s="51"/>
      <c r="D34" s="51"/>
      <c r="E34" s="48"/>
      <c r="F34" s="48"/>
      <c r="G34" s="48"/>
      <c r="H34" s="48"/>
      <c r="I34" s="48"/>
      <c r="J34" s="48"/>
      <c r="K34" s="48"/>
    </row>
    <row r="35" spans="1:25" s="52" customFormat="1" ht="15.75" thickBot="1" x14ac:dyDescent="0.3">
      <c r="A35" s="447" t="s">
        <v>26</v>
      </c>
      <c r="B35" s="566" t="s">
        <v>42</v>
      </c>
      <c r="C35" s="566"/>
      <c r="D35" s="566"/>
      <c r="E35" s="566"/>
      <c r="F35" s="566"/>
      <c r="G35" s="566"/>
      <c r="H35" s="431" t="s">
        <v>47</v>
      </c>
    </row>
    <row r="36" spans="1:25" ht="30" customHeight="1" thickTop="1" x14ac:dyDescent="0.25">
      <c r="A36" s="445" t="s">
        <v>148</v>
      </c>
      <c r="B36" s="625" t="s">
        <v>73</v>
      </c>
      <c r="C36" s="625"/>
      <c r="D36" s="625"/>
      <c r="E36" s="625"/>
      <c r="F36" s="625"/>
      <c r="G36" s="625"/>
      <c r="H36" s="446" t="str">
        <f>+K43</f>
        <v>SI</v>
      </c>
    </row>
    <row r="37" spans="1:25" ht="45" customHeight="1" x14ac:dyDescent="0.25">
      <c r="A37" s="443" t="s">
        <v>149</v>
      </c>
      <c r="B37" s="626" t="s">
        <v>74</v>
      </c>
      <c r="C37" s="626"/>
      <c r="D37" s="626"/>
      <c r="E37" s="626"/>
      <c r="F37" s="626"/>
      <c r="G37" s="626"/>
      <c r="H37" s="442" t="str">
        <f>+K51</f>
        <v>SI</v>
      </c>
    </row>
    <row r="38" spans="1:25" ht="64.5" customHeight="1" x14ac:dyDescent="0.25">
      <c r="A38" s="443" t="s">
        <v>150</v>
      </c>
      <c r="B38" s="605" t="s">
        <v>75</v>
      </c>
      <c r="C38" s="605"/>
      <c r="D38" s="605"/>
      <c r="E38" s="605"/>
      <c r="F38" s="605"/>
      <c r="G38" s="605"/>
      <c r="H38" s="442" t="str">
        <f>+K54</f>
        <v>SI</v>
      </c>
    </row>
    <row r="39" spans="1:25" x14ac:dyDescent="0.25">
      <c r="A39" s="444" t="s">
        <v>70</v>
      </c>
      <c r="B39" s="606"/>
      <c r="C39" s="606"/>
      <c r="D39" s="606"/>
      <c r="E39" s="606"/>
      <c r="F39" s="606"/>
      <c r="G39" s="606"/>
      <c r="H39" s="448" t="s">
        <v>28</v>
      </c>
    </row>
    <row r="40" spans="1:25" ht="15.75" thickBot="1" x14ac:dyDescent="0.3">
      <c r="A40" s="403" t="s">
        <v>151</v>
      </c>
      <c r="B40" s="607"/>
      <c r="C40" s="607"/>
      <c r="D40" s="607"/>
      <c r="E40" s="607"/>
      <c r="F40" s="607"/>
      <c r="G40" s="607"/>
      <c r="H40" s="449" t="s">
        <v>28</v>
      </c>
    </row>
    <row r="41" spans="1:25" ht="15.75" thickBot="1" x14ac:dyDescent="0.3"/>
    <row r="42" spans="1:25" ht="45.75" thickBot="1" x14ac:dyDescent="0.3">
      <c r="A42" s="13"/>
      <c r="B42" s="13"/>
      <c r="C42" s="13"/>
      <c r="E42" s="111" t="s">
        <v>71</v>
      </c>
      <c r="F42" s="395" t="s">
        <v>190</v>
      </c>
      <c r="G42" s="395" t="s">
        <v>152</v>
      </c>
      <c r="H42" s="438" t="s">
        <v>196</v>
      </c>
      <c r="I42" s="114" t="s">
        <v>90</v>
      </c>
      <c r="J42" s="114" t="s">
        <v>89</v>
      </c>
      <c r="K42" s="396" t="s">
        <v>72</v>
      </c>
      <c r="M42" s="440" t="s">
        <v>195</v>
      </c>
      <c r="N42" s="598" t="s">
        <v>194</v>
      </c>
      <c r="O42" s="599"/>
      <c r="P42" s="599"/>
      <c r="Q42" s="599"/>
      <c r="R42" s="599"/>
      <c r="S42" s="599"/>
      <c r="T42" s="599"/>
      <c r="U42" s="599"/>
      <c r="V42" s="599"/>
      <c r="W42" s="599"/>
      <c r="X42" s="599"/>
      <c r="Y42" s="600"/>
    </row>
    <row r="43" spans="1:25" ht="15.75" customHeight="1" thickTop="1" x14ac:dyDescent="0.25">
      <c r="A43" s="13"/>
      <c r="B43" s="13"/>
      <c r="C43" s="13"/>
      <c r="E43" s="110">
        <v>1</v>
      </c>
      <c r="F43" s="426" t="s">
        <v>28</v>
      </c>
      <c r="G43" s="616" t="s">
        <v>191</v>
      </c>
      <c r="H43" s="450">
        <f t="shared" ref="H43:H53" si="2">IF(F43="SI",M43,0)</f>
        <v>474.43667422602437</v>
      </c>
      <c r="I43" s="610">
        <f>SUM(H43:H50)</f>
        <v>6818.0042966568799</v>
      </c>
      <c r="J43" s="610">
        <f>+J16</f>
        <v>6119</v>
      </c>
      <c r="K43" s="608" t="str">
        <f>IF((I43-J43)&gt;0,"SI","NO")</f>
        <v>SI</v>
      </c>
      <c r="M43" s="455">
        <v>474.43667422602437</v>
      </c>
      <c r="N43" s="601"/>
      <c r="O43" s="602"/>
      <c r="P43" s="602"/>
      <c r="Q43" s="602"/>
      <c r="R43" s="602"/>
      <c r="S43" s="602"/>
      <c r="T43" s="602"/>
      <c r="U43" s="602"/>
      <c r="V43" s="602"/>
      <c r="W43" s="602"/>
      <c r="X43" s="602"/>
      <c r="Y43" s="603"/>
    </row>
    <row r="44" spans="1:25" x14ac:dyDescent="0.25">
      <c r="A44" s="13"/>
      <c r="B44" s="13"/>
      <c r="C44" s="13"/>
      <c r="E44" s="108">
        <f>+E43+1</f>
        <v>2</v>
      </c>
      <c r="F44" s="427" t="s">
        <v>28</v>
      </c>
      <c r="G44" s="617"/>
      <c r="H44" s="451">
        <f t="shared" si="2"/>
        <v>6343.5676224308554</v>
      </c>
      <c r="I44" s="611"/>
      <c r="J44" s="611"/>
      <c r="K44" s="609"/>
      <c r="M44" s="456">
        <v>6343.5676224308554</v>
      </c>
      <c r="N44" s="604"/>
      <c r="O44" s="556"/>
      <c r="P44" s="556"/>
      <c r="Q44" s="556"/>
      <c r="R44" s="556"/>
      <c r="S44" s="556"/>
      <c r="T44" s="556"/>
      <c r="U44" s="556"/>
      <c r="V44" s="556"/>
      <c r="W44" s="556"/>
      <c r="X44" s="556"/>
      <c r="Y44" s="557"/>
    </row>
    <row r="45" spans="1:25" x14ac:dyDescent="0.25">
      <c r="A45" s="13"/>
      <c r="B45" s="13"/>
      <c r="C45" s="13"/>
      <c r="E45" s="108">
        <f t="shared" ref="E45:E50" si="3">+E44+1</f>
        <v>3</v>
      </c>
      <c r="F45" s="427" t="s">
        <v>27</v>
      </c>
      <c r="G45" s="617"/>
      <c r="H45" s="451">
        <f t="shared" si="2"/>
        <v>0</v>
      </c>
      <c r="I45" s="611"/>
      <c r="J45" s="611"/>
      <c r="K45" s="609"/>
      <c r="M45" s="456">
        <v>7050.9209100758399</v>
      </c>
      <c r="N45" s="604"/>
      <c r="O45" s="556"/>
      <c r="P45" s="556"/>
      <c r="Q45" s="556"/>
      <c r="R45" s="556"/>
      <c r="S45" s="556"/>
      <c r="T45" s="556"/>
      <c r="U45" s="556"/>
      <c r="V45" s="556"/>
      <c r="W45" s="556"/>
      <c r="X45" s="556"/>
      <c r="Y45" s="557"/>
    </row>
    <row r="46" spans="1:25" x14ac:dyDescent="0.25">
      <c r="A46" s="13"/>
      <c r="B46" s="13"/>
      <c r="C46" s="13"/>
      <c r="E46" s="108">
        <f t="shared" si="3"/>
        <v>4</v>
      </c>
      <c r="F46" s="427" t="s">
        <v>27</v>
      </c>
      <c r="G46" s="617"/>
      <c r="H46" s="451">
        <f t="shared" si="2"/>
        <v>0</v>
      </c>
      <c r="I46" s="611"/>
      <c r="J46" s="611"/>
      <c r="K46" s="609"/>
      <c r="M46" s="456"/>
      <c r="N46" s="604"/>
      <c r="O46" s="556"/>
      <c r="P46" s="556"/>
      <c r="Q46" s="556"/>
      <c r="R46" s="556"/>
      <c r="S46" s="556"/>
      <c r="T46" s="556"/>
      <c r="U46" s="556"/>
      <c r="V46" s="556"/>
      <c r="W46" s="556"/>
      <c r="X46" s="556"/>
      <c r="Y46" s="557"/>
    </row>
    <row r="47" spans="1:25" x14ac:dyDescent="0.25">
      <c r="A47" s="13"/>
      <c r="B47" s="13"/>
      <c r="C47" s="13"/>
      <c r="E47" s="108">
        <f t="shared" si="3"/>
        <v>5</v>
      </c>
      <c r="F47" s="427" t="s">
        <v>27</v>
      </c>
      <c r="G47" s="617"/>
      <c r="H47" s="451">
        <f t="shared" si="2"/>
        <v>0</v>
      </c>
      <c r="I47" s="611"/>
      <c r="J47" s="611"/>
      <c r="K47" s="609"/>
      <c r="M47" s="456"/>
      <c r="N47" s="604"/>
      <c r="O47" s="556"/>
      <c r="P47" s="556"/>
      <c r="Q47" s="556"/>
      <c r="R47" s="556"/>
      <c r="S47" s="556"/>
      <c r="T47" s="556"/>
      <c r="U47" s="556"/>
      <c r="V47" s="556"/>
      <c r="W47" s="556"/>
      <c r="X47" s="556"/>
      <c r="Y47" s="557"/>
    </row>
    <row r="48" spans="1:25" x14ac:dyDescent="0.25">
      <c r="A48" s="13"/>
      <c r="B48" s="13"/>
      <c r="C48" s="13"/>
      <c r="E48" s="108">
        <f t="shared" si="3"/>
        <v>6</v>
      </c>
      <c r="F48" s="427" t="s">
        <v>27</v>
      </c>
      <c r="G48" s="617"/>
      <c r="H48" s="451">
        <f t="shared" si="2"/>
        <v>0</v>
      </c>
      <c r="I48" s="611"/>
      <c r="J48" s="611"/>
      <c r="K48" s="609"/>
      <c r="M48" s="456"/>
      <c r="N48" s="604"/>
      <c r="O48" s="556"/>
      <c r="P48" s="556"/>
      <c r="Q48" s="556"/>
      <c r="R48" s="556"/>
      <c r="S48" s="556"/>
      <c r="T48" s="556"/>
      <c r="U48" s="556"/>
      <c r="V48" s="556"/>
      <c r="W48" s="556"/>
      <c r="X48" s="556"/>
      <c r="Y48" s="557"/>
    </row>
    <row r="49" spans="1:25" x14ac:dyDescent="0.25">
      <c r="A49" s="13"/>
      <c r="B49" s="13"/>
      <c r="C49" s="13"/>
      <c r="E49" s="108">
        <f t="shared" si="3"/>
        <v>7</v>
      </c>
      <c r="F49" s="427" t="s">
        <v>27</v>
      </c>
      <c r="G49" s="617"/>
      <c r="H49" s="451">
        <f t="shared" si="2"/>
        <v>0</v>
      </c>
      <c r="I49" s="611"/>
      <c r="J49" s="611"/>
      <c r="K49" s="609"/>
      <c r="M49" s="456"/>
      <c r="N49" s="604"/>
      <c r="O49" s="556"/>
      <c r="P49" s="556"/>
      <c r="Q49" s="556"/>
      <c r="R49" s="556"/>
      <c r="S49" s="556"/>
      <c r="T49" s="556"/>
      <c r="U49" s="556"/>
      <c r="V49" s="556"/>
      <c r="W49" s="556"/>
      <c r="X49" s="556"/>
      <c r="Y49" s="557"/>
    </row>
    <row r="50" spans="1:25" ht="15.75" thickBot="1" x14ac:dyDescent="0.3">
      <c r="A50" s="13"/>
      <c r="B50" s="13"/>
      <c r="C50" s="13"/>
      <c r="E50" s="399">
        <f t="shared" si="3"/>
        <v>8</v>
      </c>
      <c r="F50" s="428" t="s">
        <v>27</v>
      </c>
      <c r="G50" s="618"/>
      <c r="H50" s="452">
        <f t="shared" si="2"/>
        <v>0</v>
      </c>
      <c r="I50" s="611"/>
      <c r="J50" s="611"/>
      <c r="K50" s="609"/>
      <c r="M50" s="456"/>
      <c r="N50" s="604"/>
      <c r="O50" s="556"/>
      <c r="P50" s="556"/>
      <c r="Q50" s="556"/>
      <c r="R50" s="556"/>
      <c r="S50" s="556"/>
      <c r="T50" s="556"/>
      <c r="U50" s="556"/>
      <c r="V50" s="556"/>
      <c r="W50" s="556"/>
      <c r="X50" s="556"/>
      <c r="Y50" s="557"/>
    </row>
    <row r="51" spans="1:25" ht="15.75" customHeight="1" thickTop="1" x14ac:dyDescent="0.25">
      <c r="C51" s="52"/>
      <c r="D51" s="52"/>
      <c r="E51" s="421">
        <v>2</v>
      </c>
      <c r="F51" s="429" t="str">
        <f>IFERROR((LOOKUP(E51,E43:E50,F43:F50)),"NO")</f>
        <v>SI</v>
      </c>
      <c r="G51" s="616" t="s">
        <v>192</v>
      </c>
      <c r="H51" s="453">
        <f t="shared" si="2"/>
        <v>6343.5676224308554</v>
      </c>
      <c r="I51" s="610">
        <f>SUM(H51:H53)</f>
        <v>6343.5676224308554</v>
      </c>
      <c r="J51" s="610">
        <f>+J24</f>
        <v>2295</v>
      </c>
      <c r="K51" s="622" t="str">
        <f>IF((I51-J51)&gt;0,"SI","NO")</f>
        <v>SI</v>
      </c>
      <c r="M51" s="457">
        <f>IFERROR((LOOKUP(E51,E43:E50,H43:H50)),0)</f>
        <v>6343.5676224308554</v>
      </c>
      <c r="N51" s="604"/>
      <c r="O51" s="556"/>
      <c r="P51" s="556"/>
      <c r="Q51" s="556"/>
      <c r="R51" s="556"/>
      <c r="S51" s="556"/>
      <c r="T51" s="556"/>
      <c r="U51" s="556"/>
      <c r="V51" s="556"/>
      <c r="W51" s="556"/>
      <c r="X51" s="556"/>
      <c r="Y51" s="557"/>
    </row>
    <row r="52" spans="1:25" x14ac:dyDescent="0.25">
      <c r="E52" s="422"/>
      <c r="F52" s="62" t="str">
        <f>IFERROR((LOOKUP(E52,E43:E50,F43:F50)),"NO")</f>
        <v>NO</v>
      </c>
      <c r="G52" s="617"/>
      <c r="H52" s="452">
        <f t="shared" si="2"/>
        <v>0</v>
      </c>
      <c r="I52" s="611"/>
      <c r="J52" s="611"/>
      <c r="K52" s="623"/>
      <c r="M52" s="457">
        <f>IFERROR((LOOKUP(E52,E43:E50,H43:H50)),0)</f>
        <v>0</v>
      </c>
      <c r="N52" s="604"/>
      <c r="O52" s="556"/>
      <c r="P52" s="556"/>
      <c r="Q52" s="556"/>
      <c r="R52" s="556"/>
      <c r="S52" s="556"/>
      <c r="T52" s="556"/>
      <c r="U52" s="556"/>
      <c r="V52" s="556"/>
      <c r="W52" s="556"/>
      <c r="X52" s="556"/>
      <c r="Y52" s="557"/>
    </row>
    <row r="53" spans="1:25" ht="15.75" thickBot="1" x14ac:dyDescent="0.3">
      <c r="E53" s="423"/>
      <c r="F53" s="430" t="str">
        <f>IFERROR((LOOKUP(E53,E43:E50,F43:F50)),"NO")</f>
        <v>NO</v>
      </c>
      <c r="G53" s="618"/>
      <c r="H53" s="454">
        <f t="shared" si="2"/>
        <v>0</v>
      </c>
      <c r="I53" s="615"/>
      <c r="J53" s="615"/>
      <c r="K53" s="624"/>
      <c r="M53" s="457">
        <f>IFERROR((LOOKUP(E53,E43:E50,H43:H50)),0)</f>
        <v>0</v>
      </c>
      <c r="N53" s="604"/>
      <c r="O53" s="556"/>
      <c r="P53" s="556"/>
      <c r="Q53" s="556"/>
      <c r="R53" s="556"/>
      <c r="S53" s="556"/>
      <c r="T53" s="556"/>
      <c r="U53" s="556"/>
      <c r="V53" s="556"/>
      <c r="W53" s="556"/>
      <c r="X53" s="556"/>
      <c r="Y53" s="557"/>
    </row>
    <row r="54" spans="1:25" ht="46.5" thickTop="1" thickBot="1" x14ac:dyDescent="0.3">
      <c r="E54" s="400"/>
      <c r="F54" s="401"/>
      <c r="G54" s="402" t="s">
        <v>193</v>
      </c>
      <c r="H54" s="425">
        <v>1</v>
      </c>
      <c r="I54" s="397">
        <f>+H54</f>
        <v>1</v>
      </c>
      <c r="J54" s="397">
        <f>+J27</f>
        <v>1</v>
      </c>
      <c r="K54" s="398" t="str">
        <f>IF((I54)&gt;=J54,"SI","NO")</f>
        <v>SI</v>
      </c>
      <c r="M54" s="424"/>
      <c r="N54" s="619"/>
      <c r="O54" s="620"/>
      <c r="P54" s="620"/>
      <c r="Q54" s="620"/>
      <c r="R54" s="620"/>
      <c r="S54" s="620"/>
      <c r="T54" s="620"/>
      <c r="U54" s="620"/>
      <c r="V54" s="620"/>
      <c r="W54" s="620"/>
      <c r="X54" s="620"/>
      <c r="Y54" s="621"/>
    </row>
    <row r="56" spans="1:25" x14ac:dyDescent="0.25">
      <c r="A56" s="46" t="s">
        <v>29</v>
      </c>
      <c r="B56" s="47" t="str">
        <f>+CONSOLIDADO!A15</f>
        <v>CONSORCIO PIC SIERRA NEVADA</v>
      </c>
      <c r="C56" s="47"/>
      <c r="D56" s="47"/>
      <c r="E56" s="47"/>
      <c r="F56" s="47"/>
      <c r="G56" s="48"/>
      <c r="I56" s="394" t="s">
        <v>51</v>
      </c>
      <c r="J56" s="49" t="str">
        <f>IF(J58&gt;0,"NO HABILITADO","HABILITADO")</f>
        <v>HABILITADO</v>
      </c>
    </row>
    <row r="57" spans="1:25" x14ac:dyDescent="0.25">
      <c r="A57" s="46" t="str">
        <f>+A30</f>
        <v>GRUPO 1</v>
      </c>
      <c r="B57" s="292" t="str">
        <f>+B30</f>
        <v>SIERRA NEVADA-PERIJÁ-ZONA BANANERA</v>
      </c>
      <c r="C57" s="292"/>
      <c r="D57" s="50"/>
      <c r="E57" s="50"/>
      <c r="F57" s="50"/>
      <c r="G57" s="48"/>
      <c r="I57" s="46" t="s">
        <v>49</v>
      </c>
      <c r="J57" s="45">
        <f>COUNTIF(H63:H67,"SI")</f>
        <v>5</v>
      </c>
    </row>
    <row r="58" spans="1:25" x14ac:dyDescent="0.25">
      <c r="A58" s="46" t="s">
        <v>32</v>
      </c>
      <c r="B58" s="50" t="str">
        <f>+CONSOLIDADO!C16</f>
        <v>ALBERTO SANTOS ACOSTA</v>
      </c>
      <c r="C58" s="50"/>
      <c r="D58" s="50"/>
      <c r="E58" s="18"/>
      <c r="F58" s="76"/>
      <c r="G58" s="73"/>
      <c r="H58" s="1"/>
      <c r="I58" s="46" t="s">
        <v>50</v>
      </c>
      <c r="J58" s="45">
        <f>COUNTIF(H63:H67,"NO")</f>
        <v>0</v>
      </c>
    </row>
    <row r="59" spans="1:25" x14ac:dyDescent="0.25">
      <c r="A59" s="46" t="s">
        <v>33</v>
      </c>
      <c r="B59" s="50" t="str">
        <f>+CONSOLIDADO!C17</f>
        <v>BERNARDO ENRIQUE BRAVO</v>
      </c>
      <c r="C59" s="50"/>
      <c r="D59" s="50"/>
      <c r="E59" s="1"/>
      <c r="F59" s="77"/>
      <c r="G59" s="73"/>
      <c r="H59" s="75"/>
      <c r="I59" s="46" t="s">
        <v>31</v>
      </c>
      <c r="J59" s="45">
        <f>COUNTIF(H63:H67,"N/A")</f>
        <v>0</v>
      </c>
    </row>
    <row r="60" spans="1:25" x14ac:dyDescent="0.25">
      <c r="A60" s="46" t="s">
        <v>34</v>
      </c>
      <c r="B60" s="50" t="str">
        <f>+CONSOLIDADO!C18</f>
        <v>SOCIOAMBIENTAL CONSULTORES</v>
      </c>
      <c r="C60" s="50"/>
      <c r="D60" s="50"/>
      <c r="E60" s="1"/>
      <c r="F60" s="77"/>
      <c r="G60" s="73"/>
      <c r="H60" s="1"/>
      <c r="I60" s="48"/>
      <c r="J60" s="48"/>
      <c r="K60" s="48"/>
    </row>
    <row r="61" spans="1:25" ht="15.75" thickBot="1" x14ac:dyDescent="0.3">
      <c r="B61" s="51"/>
      <c r="C61" s="51"/>
      <c r="D61" s="51"/>
      <c r="E61" s="48"/>
      <c r="F61" s="48"/>
      <c r="G61" s="48"/>
      <c r="H61" s="48"/>
      <c r="I61" s="48"/>
      <c r="J61" s="48"/>
      <c r="K61" s="48"/>
    </row>
    <row r="62" spans="1:25" s="52" customFormat="1" ht="15.75" thickBot="1" x14ac:dyDescent="0.3">
      <c r="A62" s="447" t="s">
        <v>26</v>
      </c>
      <c r="B62" s="566" t="s">
        <v>42</v>
      </c>
      <c r="C62" s="566"/>
      <c r="D62" s="566"/>
      <c r="E62" s="566"/>
      <c r="F62" s="566"/>
      <c r="G62" s="566"/>
      <c r="H62" s="431" t="s">
        <v>47</v>
      </c>
    </row>
    <row r="63" spans="1:25" ht="30" customHeight="1" thickTop="1" x14ac:dyDescent="0.25">
      <c r="A63" s="445" t="s">
        <v>148</v>
      </c>
      <c r="B63" s="625" t="s">
        <v>73</v>
      </c>
      <c r="C63" s="625"/>
      <c r="D63" s="625"/>
      <c r="E63" s="625"/>
      <c r="F63" s="625"/>
      <c r="G63" s="625"/>
      <c r="H63" s="446" t="str">
        <f>+K70</f>
        <v>SI</v>
      </c>
    </row>
    <row r="64" spans="1:25" ht="45" customHeight="1" x14ac:dyDescent="0.25">
      <c r="A64" s="443" t="s">
        <v>149</v>
      </c>
      <c r="B64" s="626" t="s">
        <v>74</v>
      </c>
      <c r="C64" s="626"/>
      <c r="D64" s="626"/>
      <c r="E64" s="626"/>
      <c r="F64" s="626"/>
      <c r="G64" s="626"/>
      <c r="H64" s="442" t="str">
        <f>+K78</f>
        <v>SI</v>
      </c>
    </row>
    <row r="65" spans="1:25" ht="64.5" customHeight="1" x14ac:dyDescent="0.25">
      <c r="A65" s="443" t="s">
        <v>150</v>
      </c>
      <c r="B65" s="605" t="s">
        <v>75</v>
      </c>
      <c r="C65" s="605"/>
      <c r="D65" s="605"/>
      <c r="E65" s="605"/>
      <c r="F65" s="605"/>
      <c r="G65" s="605"/>
      <c r="H65" s="442" t="str">
        <f>+K81</f>
        <v>SI</v>
      </c>
    </row>
    <row r="66" spans="1:25" x14ac:dyDescent="0.25">
      <c r="A66" s="444" t="s">
        <v>70</v>
      </c>
      <c r="B66" s="606"/>
      <c r="C66" s="606"/>
      <c r="D66" s="606"/>
      <c r="E66" s="606"/>
      <c r="F66" s="606"/>
      <c r="G66" s="606"/>
      <c r="H66" s="448" t="s">
        <v>28</v>
      </c>
    </row>
    <row r="67" spans="1:25" ht="15.75" thickBot="1" x14ac:dyDescent="0.3">
      <c r="A67" s="403" t="s">
        <v>151</v>
      </c>
      <c r="B67" s="607"/>
      <c r="C67" s="607"/>
      <c r="D67" s="607"/>
      <c r="E67" s="607"/>
      <c r="F67" s="607"/>
      <c r="G67" s="607"/>
      <c r="H67" s="449" t="s">
        <v>28</v>
      </c>
    </row>
    <row r="68" spans="1:25" ht="15.75" thickBot="1" x14ac:dyDescent="0.3"/>
    <row r="69" spans="1:25" ht="45.75" thickBot="1" x14ac:dyDescent="0.3">
      <c r="A69" s="13"/>
      <c r="B69" s="13"/>
      <c r="C69" s="13"/>
      <c r="E69" s="111" t="s">
        <v>71</v>
      </c>
      <c r="F69" s="395" t="s">
        <v>190</v>
      </c>
      <c r="G69" s="395" t="s">
        <v>152</v>
      </c>
      <c r="H69" s="438" t="s">
        <v>196</v>
      </c>
      <c r="I69" s="114" t="s">
        <v>90</v>
      </c>
      <c r="J69" s="114" t="s">
        <v>89</v>
      </c>
      <c r="K69" s="396" t="s">
        <v>72</v>
      </c>
      <c r="M69" s="440" t="s">
        <v>195</v>
      </c>
      <c r="N69" s="598" t="s">
        <v>194</v>
      </c>
      <c r="O69" s="599"/>
      <c r="P69" s="599"/>
      <c r="Q69" s="599"/>
      <c r="R69" s="599"/>
      <c r="S69" s="599"/>
      <c r="T69" s="599"/>
      <c r="U69" s="599"/>
      <c r="V69" s="599"/>
      <c r="W69" s="599"/>
      <c r="X69" s="599"/>
      <c r="Y69" s="600"/>
    </row>
    <row r="70" spans="1:25" ht="15.75" customHeight="1" thickTop="1" x14ac:dyDescent="0.25">
      <c r="A70" s="13"/>
      <c r="B70" s="13"/>
      <c r="C70" s="13"/>
      <c r="E70" s="110">
        <v>1</v>
      </c>
      <c r="F70" s="426" t="s">
        <v>28</v>
      </c>
      <c r="G70" s="616" t="s">
        <v>191</v>
      </c>
      <c r="H70" s="450">
        <f t="shared" ref="H70:H80" si="4">IF(F70="SI",M70,0)</f>
        <v>3788.7157270335374</v>
      </c>
      <c r="I70" s="610">
        <f>SUM(H70:H77)</f>
        <v>14295.45476110758</v>
      </c>
      <c r="J70" s="610">
        <f>+J43</f>
        <v>6119</v>
      </c>
      <c r="K70" s="608" t="str">
        <f>IF((I70-J70)&gt;0,"SI","NO")</f>
        <v>SI</v>
      </c>
      <c r="M70" s="455">
        <v>3788.7157270335374</v>
      </c>
      <c r="N70" s="601"/>
      <c r="O70" s="602"/>
      <c r="P70" s="602"/>
      <c r="Q70" s="602"/>
      <c r="R70" s="602"/>
      <c r="S70" s="602"/>
      <c r="T70" s="602"/>
      <c r="U70" s="602"/>
      <c r="V70" s="602"/>
      <c r="W70" s="602"/>
      <c r="X70" s="602"/>
      <c r="Y70" s="603"/>
    </row>
    <row r="71" spans="1:25" x14ac:dyDescent="0.25">
      <c r="A71" s="13"/>
      <c r="B71" s="13"/>
      <c r="C71" s="13"/>
      <c r="E71" s="108">
        <f>+E70+1</f>
        <v>2</v>
      </c>
      <c r="F71" s="427" t="s">
        <v>28</v>
      </c>
      <c r="G71" s="617"/>
      <c r="H71" s="451">
        <f t="shared" si="4"/>
        <v>1493.7977571345109</v>
      </c>
      <c r="I71" s="611"/>
      <c r="J71" s="611"/>
      <c r="K71" s="609"/>
      <c r="M71" s="456">
        <v>1493.7977571345109</v>
      </c>
      <c r="N71" s="604"/>
      <c r="O71" s="556"/>
      <c r="P71" s="556"/>
      <c r="Q71" s="556"/>
      <c r="R71" s="556"/>
      <c r="S71" s="556"/>
      <c r="T71" s="556"/>
      <c r="U71" s="556"/>
      <c r="V71" s="556"/>
      <c r="W71" s="556"/>
      <c r="X71" s="556"/>
      <c r="Y71" s="557"/>
    </row>
    <row r="72" spans="1:25" x14ac:dyDescent="0.25">
      <c r="A72" s="13"/>
      <c r="B72" s="13"/>
      <c r="C72" s="13"/>
      <c r="E72" s="108">
        <f t="shared" ref="E72:E77" si="5">+E71+1</f>
        <v>3</v>
      </c>
      <c r="F72" s="427" t="s">
        <v>28</v>
      </c>
      <c r="G72" s="617"/>
      <c r="H72" s="451">
        <f t="shared" si="4"/>
        <v>204.00776991719047</v>
      </c>
      <c r="I72" s="611"/>
      <c r="J72" s="611"/>
      <c r="K72" s="609"/>
      <c r="M72" s="456">
        <v>204.00776991719047</v>
      </c>
      <c r="N72" s="604"/>
      <c r="O72" s="556"/>
      <c r="P72" s="556"/>
      <c r="Q72" s="556"/>
      <c r="R72" s="556"/>
      <c r="S72" s="556"/>
      <c r="T72" s="556"/>
      <c r="U72" s="556"/>
      <c r="V72" s="556"/>
      <c r="W72" s="556"/>
      <c r="X72" s="556"/>
      <c r="Y72" s="557"/>
    </row>
    <row r="73" spans="1:25" x14ac:dyDescent="0.25">
      <c r="A73" s="13"/>
      <c r="B73" s="13"/>
      <c r="C73" s="13"/>
      <c r="E73" s="108">
        <f t="shared" si="5"/>
        <v>4</v>
      </c>
      <c r="F73" s="427" t="s">
        <v>28</v>
      </c>
      <c r="G73" s="617"/>
      <c r="H73" s="451">
        <f t="shared" si="4"/>
        <v>4229.9418340637403</v>
      </c>
      <c r="I73" s="611"/>
      <c r="J73" s="611"/>
      <c r="K73" s="609"/>
      <c r="M73" s="456">
        <v>4229.9418340637403</v>
      </c>
      <c r="N73" s="604"/>
      <c r="O73" s="556"/>
      <c r="P73" s="556"/>
      <c r="Q73" s="556"/>
      <c r="R73" s="556"/>
      <c r="S73" s="556"/>
      <c r="T73" s="556"/>
      <c r="U73" s="556"/>
      <c r="V73" s="556"/>
      <c r="W73" s="556"/>
      <c r="X73" s="556"/>
      <c r="Y73" s="557"/>
    </row>
    <row r="74" spans="1:25" x14ac:dyDescent="0.25">
      <c r="A74" s="13"/>
      <c r="B74" s="13"/>
      <c r="C74" s="13"/>
      <c r="E74" s="108">
        <f t="shared" si="5"/>
        <v>5</v>
      </c>
      <c r="F74" s="427" t="s">
        <v>28</v>
      </c>
      <c r="G74" s="617"/>
      <c r="H74" s="451">
        <f t="shared" si="4"/>
        <v>3060.7943154353229</v>
      </c>
      <c r="I74" s="611"/>
      <c r="J74" s="611"/>
      <c r="K74" s="609"/>
      <c r="M74" s="456">
        <v>3060.7943154353229</v>
      </c>
      <c r="N74" s="604"/>
      <c r="O74" s="556"/>
      <c r="P74" s="556"/>
      <c r="Q74" s="556"/>
      <c r="R74" s="556"/>
      <c r="S74" s="556"/>
      <c r="T74" s="556"/>
      <c r="U74" s="556"/>
      <c r="V74" s="556"/>
      <c r="W74" s="556"/>
      <c r="X74" s="556"/>
      <c r="Y74" s="557"/>
    </row>
    <row r="75" spans="1:25" x14ac:dyDescent="0.25">
      <c r="A75" s="13"/>
      <c r="B75" s="13"/>
      <c r="C75" s="13"/>
      <c r="E75" s="108">
        <f t="shared" si="5"/>
        <v>6</v>
      </c>
      <c r="F75" s="427" t="s">
        <v>27</v>
      </c>
      <c r="G75" s="617"/>
      <c r="H75" s="451">
        <f t="shared" si="4"/>
        <v>0</v>
      </c>
      <c r="I75" s="611"/>
      <c r="J75" s="611"/>
      <c r="K75" s="609"/>
      <c r="M75" s="456">
        <v>101.66500161986237</v>
      </c>
      <c r="N75" s="604"/>
      <c r="O75" s="556"/>
      <c r="P75" s="556"/>
      <c r="Q75" s="556"/>
      <c r="R75" s="556"/>
      <c r="S75" s="556"/>
      <c r="T75" s="556"/>
      <c r="U75" s="556"/>
      <c r="V75" s="556"/>
      <c r="W75" s="556"/>
      <c r="X75" s="556"/>
      <c r="Y75" s="557"/>
    </row>
    <row r="76" spans="1:25" x14ac:dyDescent="0.25">
      <c r="A76" s="13"/>
      <c r="B76" s="13"/>
      <c r="C76" s="13"/>
      <c r="E76" s="108">
        <f t="shared" si="5"/>
        <v>7</v>
      </c>
      <c r="F76" s="427" t="s">
        <v>28</v>
      </c>
      <c r="G76" s="617"/>
      <c r="H76" s="451">
        <f t="shared" si="4"/>
        <v>1518.1973575232778</v>
      </c>
      <c r="I76" s="611"/>
      <c r="J76" s="611"/>
      <c r="K76" s="609"/>
      <c r="M76" s="456">
        <v>1518.1973575232778</v>
      </c>
      <c r="N76" s="604"/>
      <c r="O76" s="556"/>
      <c r="P76" s="556"/>
      <c r="Q76" s="556"/>
      <c r="R76" s="556"/>
      <c r="S76" s="556"/>
      <c r="T76" s="556"/>
      <c r="U76" s="556"/>
      <c r="V76" s="556"/>
      <c r="W76" s="556"/>
      <c r="X76" s="556"/>
      <c r="Y76" s="557"/>
    </row>
    <row r="77" spans="1:25" ht="15.75" thickBot="1" x14ac:dyDescent="0.3">
      <c r="A77" s="13"/>
      <c r="B77" s="13"/>
      <c r="C77" s="13"/>
      <c r="E77" s="399">
        <f t="shared" si="5"/>
        <v>8</v>
      </c>
      <c r="F77" s="428" t="s">
        <v>27</v>
      </c>
      <c r="G77" s="618"/>
      <c r="H77" s="452">
        <f t="shared" si="4"/>
        <v>0</v>
      </c>
      <c r="I77" s="611"/>
      <c r="J77" s="611"/>
      <c r="K77" s="609"/>
      <c r="M77" s="456">
        <v>3639.6070579910725</v>
      </c>
      <c r="N77" s="604"/>
      <c r="O77" s="556"/>
      <c r="P77" s="556"/>
      <c r="Q77" s="556"/>
      <c r="R77" s="556"/>
      <c r="S77" s="556"/>
      <c r="T77" s="556"/>
      <c r="U77" s="556"/>
      <c r="V77" s="556"/>
      <c r="W77" s="556"/>
      <c r="X77" s="556"/>
      <c r="Y77" s="557"/>
    </row>
    <row r="78" spans="1:25" ht="15.75" customHeight="1" thickTop="1" x14ac:dyDescent="0.25">
      <c r="C78" s="52"/>
      <c r="D78" s="52"/>
      <c r="E78" s="421">
        <v>2</v>
      </c>
      <c r="F78" s="429" t="str">
        <f>IFERROR((LOOKUP(E78,E70:E77,F70:F77)),"NO")</f>
        <v>SI</v>
      </c>
      <c r="G78" s="616" t="s">
        <v>192</v>
      </c>
      <c r="H78" s="453">
        <f t="shared" si="4"/>
        <v>1493.7977571345109</v>
      </c>
      <c r="I78" s="610">
        <f>SUM(H78:H80)</f>
        <v>5723.7395911982512</v>
      </c>
      <c r="J78" s="610">
        <f>+J51</f>
        <v>2295</v>
      </c>
      <c r="K78" s="622" t="str">
        <f>IF((I78-J78)&gt;0,"SI","NO")</f>
        <v>SI</v>
      </c>
      <c r="M78" s="457">
        <f>IFERROR((LOOKUP(E78,E70:E77,H70:H77)),0)</f>
        <v>1493.7977571345109</v>
      </c>
      <c r="N78" s="604"/>
      <c r="O78" s="556"/>
      <c r="P78" s="556"/>
      <c r="Q78" s="556"/>
      <c r="R78" s="556"/>
      <c r="S78" s="556"/>
      <c r="T78" s="556"/>
      <c r="U78" s="556"/>
      <c r="V78" s="556"/>
      <c r="W78" s="556"/>
      <c r="X78" s="556"/>
      <c r="Y78" s="557"/>
    </row>
    <row r="79" spans="1:25" x14ac:dyDescent="0.25">
      <c r="E79" s="422">
        <v>4</v>
      </c>
      <c r="F79" s="62" t="str">
        <f>IFERROR((LOOKUP(E79,E70:E77,F70:F77)),"NO")</f>
        <v>SI</v>
      </c>
      <c r="G79" s="617"/>
      <c r="H79" s="452">
        <f t="shared" si="4"/>
        <v>4229.9418340637403</v>
      </c>
      <c r="I79" s="611"/>
      <c r="J79" s="611"/>
      <c r="K79" s="623"/>
      <c r="M79" s="457">
        <f>IFERROR((LOOKUP(E79,E70:E77,H70:H77)),0)</f>
        <v>4229.9418340637403</v>
      </c>
      <c r="N79" s="604"/>
      <c r="O79" s="556"/>
      <c r="P79" s="556"/>
      <c r="Q79" s="556"/>
      <c r="R79" s="556"/>
      <c r="S79" s="556"/>
      <c r="T79" s="556"/>
      <c r="U79" s="556"/>
      <c r="V79" s="556"/>
      <c r="W79" s="556"/>
      <c r="X79" s="556"/>
      <c r="Y79" s="557"/>
    </row>
    <row r="80" spans="1:25" ht="15.75" thickBot="1" x14ac:dyDescent="0.3">
      <c r="E80" s="423">
        <v>8</v>
      </c>
      <c r="F80" s="430" t="str">
        <f>IFERROR((LOOKUP(E80,E70:E77,F70:F77)),"NO")</f>
        <v>NO</v>
      </c>
      <c r="G80" s="618"/>
      <c r="H80" s="454">
        <f t="shared" si="4"/>
        <v>0</v>
      </c>
      <c r="I80" s="615"/>
      <c r="J80" s="615"/>
      <c r="K80" s="624"/>
      <c r="M80" s="457">
        <f>IFERROR((LOOKUP(E80,E70:E77,H70:H77)),0)</f>
        <v>0</v>
      </c>
      <c r="N80" s="604"/>
      <c r="O80" s="556"/>
      <c r="P80" s="556"/>
      <c r="Q80" s="556"/>
      <c r="R80" s="556"/>
      <c r="S80" s="556"/>
      <c r="T80" s="556"/>
      <c r="U80" s="556"/>
      <c r="V80" s="556"/>
      <c r="W80" s="556"/>
      <c r="X80" s="556"/>
      <c r="Y80" s="557"/>
    </row>
    <row r="81" spans="1:25" ht="46.5" thickTop="1" thickBot="1" x14ac:dyDescent="0.3">
      <c r="E81" s="400"/>
      <c r="F81" s="401"/>
      <c r="G81" s="402" t="s">
        <v>193</v>
      </c>
      <c r="H81" s="425">
        <v>3</v>
      </c>
      <c r="I81" s="397">
        <f>+H81</f>
        <v>3</v>
      </c>
      <c r="J81" s="397">
        <f>+J54</f>
        <v>1</v>
      </c>
      <c r="K81" s="398" t="str">
        <f>IF((I81)&gt;=J81,"SI","NO")</f>
        <v>SI</v>
      </c>
      <c r="M81" s="424"/>
      <c r="N81" s="619"/>
      <c r="O81" s="620"/>
      <c r="P81" s="620"/>
      <c r="Q81" s="620"/>
      <c r="R81" s="620"/>
      <c r="S81" s="620"/>
      <c r="T81" s="620"/>
      <c r="U81" s="620"/>
      <c r="V81" s="620"/>
      <c r="W81" s="620"/>
      <c r="X81" s="620"/>
      <c r="Y81" s="621"/>
    </row>
    <row r="83" spans="1:25" x14ac:dyDescent="0.25">
      <c r="A83" s="46" t="s">
        <v>29</v>
      </c>
      <c r="B83" s="47" t="str">
        <f>+CONSOLIDADO!A19</f>
        <v>CONSORCIO LV PERIJÁ</v>
      </c>
      <c r="C83" s="47"/>
      <c r="D83" s="47"/>
      <c r="E83" s="47"/>
      <c r="F83" s="47"/>
      <c r="G83" s="48"/>
      <c r="I83" s="394" t="s">
        <v>51</v>
      </c>
      <c r="J83" s="49" t="str">
        <f>IF(J85&gt;0,"NO HABILITADO","HABILITADO")</f>
        <v>HABILITADO</v>
      </c>
    </row>
    <row r="84" spans="1:25" x14ac:dyDescent="0.25">
      <c r="A84" s="46" t="str">
        <f>+A57</f>
        <v>GRUPO 1</v>
      </c>
      <c r="B84" s="292" t="str">
        <f>+B57</f>
        <v>SIERRA NEVADA-PERIJÁ-ZONA BANANERA</v>
      </c>
      <c r="C84" s="50"/>
      <c r="D84" s="50"/>
      <c r="E84" s="50"/>
      <c r="F84" s="50"/>
      <c r="G84" s="48"/>
      <c r="I84" s="46" t="s">
        <v>49</v>
      </c>
      <c r="J84" s="45">
        <f>COUNTIF(H90:H94,"SI")</f>
        <v>5</v>
      </c>
    </row>
    <row r="85" spans="1:25" x14ac:dyDescent="0.25">
      <c r="A85" s="46" t="s">
        <v>32</v>
      </c>
      <c r="B85" s="50" t="str">
        <f>+CONSOLIDADO!C20</f>
        <v>JAVIER ARTURO LEÓN HERAZO</v>
      </c>
      <c r="C85" s="50"/>
      <c r="D85" s="50"/>
      <c r="E85" s="18"/>
      <c r="F85" s="76"/>
      <c r="G85" s="73"/>
      <c r="H85" s="1"/>
      <c r="I85" s="46" t="s">
        <v>50</v>
      </c>
      <c r="J85" s="45">
        <f>COUNTIF(H90:H94,"NO")</f>
        <v>0</v>
      </c>
    </row>
    <row r="86" spans="1:25" x14ac:dyDescent="0.25">
      <c r="A86" s="46" t="s">
        <v>33</v>
      </c>
      <c r="B86" s="50" t="str">
        <f>+CONSOLIDADO!C21</f>
        <v>GERMÁN VILLANUEVA CALDERÓN</v>
      </c>
      <c r="C86" s="50"/>
      <c r="D86" s="50"/>
      <c r="E86" s="1"/>
      <c r="F86" s="77"/>
      <c r="G86" s="73"/>
      <c r="H86" s="75"/>
      <c r="I86" s="46" t="s">
        <v>31</v>
      </c>
      <c r="J86" s="45">
        <f>COUNTIF(H90:H94,"N/A")</f>
        <v>0</v>
      </c>
    </row>
    <row r="87" spans="1:25" x14ac:dyDescent="0.25">
      <c r="A87" s="46" t="s">
        <v>34</v>
      </c>
      <c r="B87" s="50" t="str">
        <f>+CONSOLIDADO!C22</f>
        <v>FRANCISCO RAMÓN RÍOS DANIES</v>
      </c>
      <c r="C87" s="50"/>
      <c r="D87" s="50"/>
      <c r="E87" s="1"/>
      <c r="F87" s="77"/>
      <c r="G87" s="73"/>
      <c r="H87" s="1"/>
      <c r="I87" s="48"/>
      <c r="J87" s="48"/>
      <c r="K87" s="48"/>
    </row>
    <row r="88" spans="1:25" ht="15.75" thickBot="1" x14ac:dyDescent="0.3">
      <c r="B88" s="51"/>
      <c r="C88" s="51"/>
      <c r="D88" s="51"/>
      <c r="E88" s="48"/>
      <c r="F88" s="48"/>
      <c r="G88" s="48"/>
      <c r="H88" s="48"/>
      <c r="I88" s="48"/>
      <c r="J88" s="48"/>
      <c r="K88" s="48"/>
    </row>
    <row r="89" spans="1:25" s="52" customFormat="1" ht="15.75" thickBot="1" x14ac:dyDescent="0.3">
      <c r="A89" s="447" t="s">
        <v>26</v>
      </c>
      <c r="B89" s="566" t="s">
        <v>42</v>
      </c>
      <c r="C89" s="566"/>
      <c r="D89" s="566"/>
      <c r="E89" s="566"/>
      <c r="F89" s="566"/>
      <c r="G89" s="566"/>
      <c r="H89" s="431" t="s">
        <v>47</v>
      </c>
    </row>
    <row r="90" spans="1:25" ht="30" customHeight="1" thickTop="1" x14ac:dyDescent="0.25">
      <c r="A90" s="445" t="s">
        <v>148</v>
      </c>
      <c r="B90" s="625" t="s">
        <v>73</v>
      </c>
      <c r="C90" s="625"/>
      <c r="D90" s="625"/>
      <c r="E90" s="625"/>
      <c r="F90" s="625"/>
      <c r="G90" s="625"/>
      <c r="H90" s="446" t="str">
        <f>+K97</f>
        <v>SI</v>
      </c>
    </row>
    <row r="91" spans="1:25" ht="45" customHeight="1" x14ac:dyDescent="0.25">
      <c r="A91" s="443" t="s">
        <v>149</v>
      </c>
      <c r="B91" s="626" t="s">
        <v>74</v>
      </c>
      <c r="C91" s="626"/>
      <c r="D91" s="626"/>
      <c r="E91" s="626"/>
      <c r="F91" s="626"/>
      <c r="G91" s="626"/>
      <c r="H91" s="442" t="str">
        <f>+K105</f>
        <v>SI</v>
      </c>
    </row>
    <row r="92" spans="1:25" ht="64.5" customHeight="1" x14ac:dyDescent="0.25">
      <c r="A92" s="443" t="s">
        <v>150</v>
      </c>
      <c r="B92" s="605" t="s">
        <v>75</v>
      </c>
      <c r="C92" s="605"/>
      <c r="D92" s="605"/>
      <c r="E92" s="605"/>
      <c r="F92" s="605"/>
      <c r="G92" s="605"/>
      <c r="H92" s="442" t="str">
        <f>+K108</f>
        <v>SI</v>
      </c>
    </row>
    <row r="93" spans="1:25" x14ac:dyDescent="0.25">
      <c r="A93" s="444" t="s">
        <v>70</v>
      </c>
      <c r="B93" s="606"/>
      <c r="C93" s="606"/>
      <c r="D93" s="606"/>
      <c r="E93" s="606"/>
      <c r="F93" s="606"/>
      <c r="G93" s="606"/>
      <c r="H93" s="448" t="s">
        <v>28</v>
      </c>
    </row>
    <row r="94" spans="1:25" ht="15.75" thickBot="1" x14ac:dyDescent="0.3">
      <c r="A94" s="403" t="s">
        <v>151</v>
      </c>
      <c r="B94" s="607"/>
      <c r="C94" s="607"/>
      <c r="D94" s="607"/>
      <c r="E94" s="607"/>
      <c r="F94" s="607"/>
      <c r="G94" s="607"/>
      <c r="H94" s="449" t="s">
        <v>28</v>
      </c>
    </row>
    <row r="95" spans="1:25" ht="15.75" thickBot="1" x14ac:dyDescent="0.3"/>
    <row r="96" spans="1:25" ht="45.75" thickBot="1" x14ac:dyDescent="0.3">
      <c r="A96" s="13"/>
      <c r="B96" s="13"/>
      <c r="C96" s="13"/>
      <c r="E96" s="111" t="s">
        <v>71</v>
      </c>
      <c r="F96" s="395" t="s">
        <v>190</v>
      </c>
      <c r="G96" s="395" t="s">
        <v>152</v>
      </c>
      <c r="H96" s="438" t="s">
        <v>196</v>
      </c>
      <c r="I96" s="114" t="s">
        <v>90</v>
      </c>
      <c r="J96" s="114" t="s">
        <v>89</v>
      </c>
      <c r="K96" s="396" t="s">
        <v>72</v>
      </c>
      <c r="M96" s="441" t="s">
        <v>195</v>
      </c>
      <c r="N96" s="598" t="s">
        <v>194</v>
      </c>
      <c r="O96" s="599"/>
      <c r="P96" s="599"/>
      <c r="Q96" s="599"/>
      <c r="R96" s="599"/>
      <c r="S96" s="599"/>
      <c r="T96" s="599"/>
      <c r="U96" s="599"/>
      <c r="V96" s="599"/>
      <c r="W96" s="599"/>
      <c r="X96" s="599"/>
      <c r="Y96" s="600"/>
    </row>
    <row r="97" spans="1:25" ht="15.75" thickTop="1" x14ac:dyDescent="0.25">
      <c r="A97" s="13"/>
      <c r="B97" s="13"/>
      <c r="C97" s="13"/>
      <c r="E97" s="110">
        <v>1</v>
      </c>
      <c r="F97" s="426" t="s">
        <v>28</v>
      </c>
      <c r="G97" s="616" t="s">
        <v>191</v>
      </c>
      <c r="H97" s="450">
        <f t="shared" ref="H97:H107" si="6">IF(F97="SI",M97,0)</f>
        <v>2582.2910411445041</v>
      </c>
      <c r="I97" s="610">
        <f>SUM(H97:H104)</f>
        <v>8153.5332722439634</v>
      </c>
      <c r="J97" s="610">
        <f>+J70</f>
        <v>6119</v>
      </c>
      <c r="K97" s="608" t="str">
        <f>IF((I97-J97)&gt;0,"SI","NO")</f>
        <v>SI</v>
      </c>
      <c r="M97" s="455">
        <v>2582.2910411445041</v>
      </c>
      <c r="N97" s="601"/>
      <c r="O97" s="602"/>
      <c r="P97" s="602"/>
      <c r="Q97" s="602"/>
      <c r="R97" s="602"/>
      <c r="S97" s="602"/>
      <c r="T97" s="602"/>
      <c r="U97" s="602"/>
      <c r="V97" s="602"/>
      <c r="W97" s="602"/>
      <c r="X97" s="602"/>
      <c r="Y97" s="603"/>
    </row>
    <row r="98" spans="1:25" x14ac:dyDescent="0.25">
      <c r="A98" s="13"/>
      <c r="B98" s="13"/>
      <c r="C98" s="13"/>
      <c r="E98" s="108">
        <f>+E97+1</f>
        <v>2</v>
      </c>
      <c r="F98" s="427" t="s">
        <v>28</v>
      </c>
      <c r="G98" s="617"/>
      <c r="H98" s="451">
        <f t="shared" si="6"/>
        <v>2578.2244492129093</v>
      </c>
      <c r="I98" s="611"/>
      <c r="J98" s="611"/>
      <c r="K98" s="609"/>
      <c r="M98" s="456">
        <v>2578.2244492129093</v>
      </c>
      <c r="N98" s="604"/>
      <c r="O98" s="556"/>
      <c r="P98" s="556"/>
      <c r="Q98" s="556"/>
      <c r="R98" s="556"/>
      <c r="S98" s="556"/>
      <c r="T98" s="556"/>
      <c r="U98" s="556"/>
      <c r="V98" s="556"/>
      <c r="W98" s="556"/>
      <c r="X98" s="556"/>
      <c r="Y98" s="557"/>
    </row>
    <row r="99" spans="1:25" x14ac:dyDescent="0.25">
      <c r="A99" s="13"/>
      <c r="B99" s="13"/>
      <c r="C99" s="13"/>
      <c r="E99" s="108">
        <f t="shared" ref="E99:E104" si="7">+E98+1</f>
        <v>3</v>
      </c>
      <c r="F99" s="427" t="s">
        <v>27</v>
      </c>
      <c r="G99" s="617"/>
      <c r="H99" s="451">
        <f t="shared" si="6"/>
        <v>0</v>
      </c>
      <c r="I99" s="611"/>
      <c r="J99" s="611"/>
      <c r="K99" s="609"/>
      <c r="M99" s="456">
        <v>684.54435101807337</v>
      </c>
      <c r="N99" s="604"/>
      <c r="O99" s="556"/>
      <c r="P99" s="556"/>
      <c r="Q99" s="556"/>
      <c r="R99" s="556"/>
      <c r="S99" s="556"/>
      <c r="T99" s="556"/>
      <c r="U99" s="556"/>
      <c r="V99" s="556"/>
      <c r="W99" s="556"/>
      <c r="X99" s="556"/>
      <c r="Y99" s="557"/>
    </row>
    <row r="100" spans="1:25" x14ac:dyDescent="0.25">
      <c r="A100" s="13"/>
      <c r="B100" s="13"/>
      <c r="C100" s="13"/>
      <c r="E100" s="108">
        <f t="shared" si="7"/>
        <v>4</v>
      </c>
      <c r="F100" s="427" t="s">
        <v>28</v>
      </c>
      <c r="G100" s="617"/>
      <c r="H100" s="451">
        <f t="shared" si="6"/>
        <v>2778.8435118073735</v>
      </c>
      <c r="I100" s="611"/>
      <c r="J100" s="611"/>
      <c r="K100" s="609"/>
      <c r="M100" s="456">
        <v>2778.8435118073735</v>
      </c>
      <c r="N100" s="604"/>
      <c r="O100" s="556"/>
      <c r="P100" s="556"/>
      <c r="Q100" s="556"/>
      <c r="R100" s="556"/>
      <c r="S100" s="556"/>
      <c r="T100" s="556"/>
      <c r="U100" s="556"/>
      <c r="V100" s="556"/>
      <c r="W100" s="556"/>
      <c r="X100" s="556"/>
      <c r="Y100" s="557"/>
    </row>
    <row r="101" spans="1:25" x14ac:dyDescent="0.25">
      <c r="A101" s="13"/>
      <c r="B101" s="13"/>
      <c r="C101" s="13"/>
      <c r="E101" s="108">
        <f t="shared" si="7"/>
        <v>5</v>
      </c>
      <c r="F101" s="427" t="s">
        <v>27</v>
      </c>
      <c r="G101" s="617"/>
      <c r="H101" s="451">
        <f t="shared" si="6"/>
        <v>0</v>
      </c>
      <c r="I101" s="611"/>
      <c r="J101" s="611"/>
      <c r="K101" s="609"/>
      <c r="M101" s="456">
        <v>45.18444471253882</v>
      </c>
      <c r="N101" s="604"/>
      <c r="O101" s="556"/>
      <c r="P101" s="556"/>
      <c r="Q101" s="556"/>
      <c r="R101" s="556"/>
      <c r="S101" s="556"/>
      <c r="T101" s="556"/>
      <c r="U101" s="556"/>
      <c r="V101" s="556"/>
      <c r="W101" s="556"/>
      <c r="X101" s="556"/>
      <c r="Y101" s="557"/>
    </row>
    <row r="102" spans="1:25" x14ac:dyDescent="0.25">
      <c r="A102" s="13"/>
      <c r="B102" s="13"/>
      <c r="C102" s="13"/>
      <c r="E102" s="108">
        <f t="shared" si="7"/>
        <v>6</v>
      </c>
      <c r="F102" s="427" t="s">
        <v>27</v>
      </c>
      <c r="G102" s="617"/>
      <c r="H102" s="451">
        <f t="shared" si="6"/>
        <v>0</v>
      </c>
      <c r="I102" s="611"/>
      <c r="J102" s="611"/>
      <c r="K102" s="609"/>
      <c r="M102" s="456">
        <v>742.83227850246101</v>
      </c>
      <c r="N102" s="604"/>
      <c r="O102" s="556"/>
      <c r="P102" s="556"/>
      <c r="Q102" s="556"/>
      <c r="R102" s="556"/>
      <c r="S102" s="556"/>
      <c r="T102" s="556"/>
      <c r="U102" s="556"/>
      <c r="V102" s="556"/>
      <c r="W102" s="556"/>
      <c r="X102" s="556"/>
      <c r="Y102" s="557"/>
    </row>
    <row r="103" spans="1:25" x14ac:dyDescent="0.25">
      <c r="A103" s="13"/>
      <c r="B103" s="13"/>
      <c r="C103" s="13"/>
      <c r="E103" s="108">
        <f t="shared" si="7"/>
        <v>7</v>
      </c>
      <c r="F103" s="427" t="s">
        <v>27</v>
      </c>
      <c r="G103" s="617"/>
      <c r="H103" s="451">
        <f t="shared" si="6"/>
        <v>0</v>
      </c>
      <c r="I103" s="611"/>
      <c r="J103" s="611"/>
      <c r="K103" s="609"/>
      <c r="M103" s="456">
        <v>982.7616823253361</v>
      </c>
      <c r="N103" s="604"/>
      <c r="O103" s="556"/>
      <c r="P103" s="556"/>
      <c r="Q103" s="556"/>
      <c r="R103" s="556"/>
      <c r="S103" s="556"/>
      <c r="T103" s="556"/>
      <c r="U103" s="556"/>
      <c r="V103" s="556"/>
      <c r="W103" s="556"/>
      <c r="X103" s="556"/>
      <c r="Y103" s="557"/>
    </row>
    <row r="104" spans="1:25" ht="15.75" thickBot="1" x14ac:dyDescent="0.3">
      <c r="A104" s="13"/>
      <c r="B104" s="13"/>
      <c r="C104" s="13"/>
      <c r="E104" s="399">
        <f t="shared" si="7"/>
        <v>8</v>
      </c>
      <c r="F104" s="428" t="s">
        <v>28</v>
      </c>
      <c r="G104" s="618"/>
      <c r="H104" s="452">
        <f t="shared" si="6"/>
        <v>214.17427007917669</v>
      </c>
      <c r="I104" s="611"/>
      <c r="J104" s="611"/>
      <c r="K104" s="609"/>
      <c r="M104" s="456">
        <v>214.17427007917669</v>
      </c>
      <c r="N104" s="604"/>
      <c r="O104" s="556"/>
      <c r="P104" s="556"/>
      <c r="Q104" s="556"/>
      <c r="R104" s="556"/>
      <c r="S104" s="556"/>
      <c r="T104" s="556"/>
      <c r="U104" s="556"/>
      <c r="V104" s="556"/>
      <c r="W104" s="556"/>
      <c r="X104" s="556"/>
      <c r="Y104" s="557"/>
    </row>
    <row r="105" spans="1:25" ht="15.75" thickTop="1" x14ac:dyDescent="0.25">
      <c r="C105" s="52"/>
      <c r="D105" s="52"/>
      <c r="E105" s="421">
        <v>2</v>
      </c>
      <c r="F105" s="429" t="str">
        <f>IFERROR((LOOKUP(E105,E97:E104,F97:F104)),"NO")</f>
        <v>SI</v>
      </c>
      <c r="G105" s="616" t="s">
        <v>192</v>
      </c>
      <c r="H105" s="453">
        <f t="shared" si="6"/>
        <v>2578.2244492129093</v>
      </c>
      <c r="I105" s="610">
        <f>SUM(H105:H107)</f>
        <v>5571.2422310994589</v>
      </c>
      <c r="J105" s="610">
        <f>+J78</f>
        <v>2295</v>
      </c>
      <c r="K105" s="622" t="str">
        <f>IF((I105-J105)&gt;0,"SI","NO")</f>
        <v>SI</v>
      </c>
      <c r="M105" s="457">
        <f>IFERROR((LOOKUP(E105,E97:E104,H97:H104)),0)</f>
        <v>2578.2244492129093</v>
      </c>
      <c r="N105" s="604"/>
      <c r="O105" s="556"/>
      <c r="P105" s="556"/>
      <c r="Q105" s="556"/>
      <c r="R105" s="556"/>
      <c r="S105" s="556"/>
      <c r="T105" s="556"/>
      <c r="U105" s="556"/>
      <c r="V105" s="556"/>
      <c r="W105" s="556"/>
      <c r="X105" s="556"/>
      <c r="Y105" s="557"/>
    </row>
    <row r="106" spans="1:25" x14ac:dyDescent="0.25">
      <c r="E106" s="422">
        <v>4</v>
      </c>
      <c r="F106" s="62" t="str">
        <f>IFERROR((LOOKUP(E106,E97:E104,F97:F104)),"NO")</f>
        <v>SI</v>
      </c>
      <c r="G106" s="617"/>
      <c r="H106" s="452">
        <f t="shared" si="6"/>
        <v>2778.8435118073735</v>
      </c>
      <c r="I106" s="611"/>
      <c r="J106" s="611"/>
      <c r="K106" s="623"/>
      <c r="M106" s="457">
        <f>IFERROR((LOOKUP(E106,E97:E104,H97:H104)),0)</f>
        <v>2778.8435118073735</v>
      </c>
      <c r="N106" s="604"/>
      <c r="O106" s="556"/>
      <c r="P106" s="556"/>
      <c r="Q106" s="556"/>
      <c r="R106" s="556"/>
      <c r="S106" s="556"/>
      <c r="T106" s="556"/>
      <c r="U106" s="556"/>
      <c r="V106" s="556"/>
      <c r="W106" s="556"/>
      <c r="X106" s="556"/>
      <c r="Y106" s="557"/>
    </row>
    <row r="107" spans="1:25" ht="15.75" thickBot="1" x14ac:dyDescent="0.3">
      <c r="E107" s="423">
        <v>8</v>
      </c>
      <c r="F107" s="430" t="str">
        <f>IFERROR((LOOKUP(E107,E97:E104,F97:F104)),"NO")</f>
        <v>SI</v>
      </c>
      <c r="G107" s="618"/>
      <c r="H107" s="454">
        <f t="shared" si="6"/>
        <v>214.17427007917669</v>
      </c>
      <c r="I107" s="615"/>
      <c r="J107" s="615"/>
      <c r="K107" s="624"/>
      <c r="M107" s="457">
        <f>IFERROR((LOOKUP(E107,E97:E104,H97:H104)),0)</f>
        <v>214.17427007917669</v>
      </c>
      <c r="N107" s="604"/>
      <c r="O107" s="556"/>
      <c r="P107" s="556"/>
      <c r="Q107" s="556"/>
      <c r="R107" s="556"/>
      <c r="S107" s="556"/>
      <c r="T107" s="556"/>
      <c r="U107" s="556"/>
      <c r="V107" s="556"/>
      <c r="W107" s="556"/>
      <c r="X107" s="556"/>
      <c r="Y107" s="557"/>
    </row>
    <row r="108" spans="1:25" ht="46.5" thickTop="1" thickBot="1" x14ac:dyDescent="0.3">
      <c r="E108" s="400"/>
      <c r="F108" s="401"/>
      <c r="G108" s="402" t="s">
        <v>193</v>
      </c>
      <c r="H108" s="425">
        <v>4</v>
      </c>
      <c r="I108" s="397">
        <f>+H108</f>
        <v>4</v>
      </c>
      <c r="J108" s="397">
        <f>+J81</f>
        <v>1</v>
      </c>
      <c r="K108" s="398" t="str">
        <f>IF((I108)&gt;=J108,"SI","NO")</f>
        <v>SI</v>
      </c>
      <c r="M108" s="424"/>
      <c r="N108" s="619"/>
      <c r="O108" s="620"/>
      <c r="P108" s="620"/>
      <c r="Q108" s="620"/>
      <c r="R108" s="620"/>
      <c r="S108" s="620"/>
      <c r="T108" s="620"/>
      <c r="U108" s="620"/>
      <c r="V108" s="620"/>
      <c r="W108" s="620"/>
      <c r="X108" s="620"/>
      <c r="Y108" s="621"/>
    </row>
    <row r="110" spans="1:25" x14ac:dyDescent="0.25">
      <c r="A110" s="46" t="s">
        <v>29</v>
      </c>
      <c r="B110" s="47" t="str">
        <f>+CONSOLIDADO!A23</f>
        <v>UNION TEMPORAL PERIJA 2017</v>
      </c>
      <c r="C110" s="47"/>
      <c r="D110" s="47"/>
      <c r="E110" s="47"/>
      <c r="F110" s="47"/>
      <c r="G110" s="48"/>
      <c r="I110" s="394" t="s">
        <v>51</v>
      </c>
      <c r="J110" s="49" t="str">
        <f>IF(J112&gt;0,"NO HABILITADO","HABILITADO")</f>
        <v>NO HABILITADO</v>
      </c>
    </row>
    <row r="111" spans="1:25" x14ac:dyDescent="0.25">
      <c r="A111" s="46" t="str">
        <f>+A84</f>
        <v>GRUPO 1</v>
      </c>
      <c r="B111" s="292" t="str">
        <f>+B84</f>
        <v>SIERRA NEVADA-PERIJÁ-ZONA BANANERA</v>
      </c>
      <c r="C111" s="50"/>
      <c r="D111" s="50"/>
      <c r="E111" s="50"/>
      <c r="F111" s="50"/>
      <c r="G111" s="48"/>
      <c r="I111" s="46" t="s">
        <v>49</v>
      </c>
      <c r="J111" s="45">
        <f>COUNTIF(H117:H121,"SI")</f>
        <v>4</v>
      </c>
    </row>
    <row r="112" spans="1:25" x14ac:dyDescent="0.25">
      <c r="A112" s="46" t="s">
        <v>32</v>
      </c>
      <c r="B112" s="50" t="str">
        <f>+CONSOLIDADO!C24</f>
        <v>HENRY ARISMENDY GOMEZ</v>
      </c>
      <c r="C112" s="50"/>
      <c r="D112" s="50"/>
      <c r="E112" s="18"/>
      <c r="F112" s="76"/>
      <c r="G112" s="73"/>
      <c r="H112" s="1"/>
      <c r="I112" s="46" t="s">
        <v>50</v>
      </c>
      <c r="J112" s="45">
        <f>COUNTIF(H117:H121,"NO")</f>
        <v>1</v>
      </c>
    </row>
    <row r="113" spans="1:25" x14ac:dyDescent="0.25">
      <c r="A113" s="46" t="s">
        <v>33</v>
      </c>
      <c r="B113" s="50" t="str">
        <f>+CONSOLIDADO!C25</f>
        <v>JAIME BRUGUES MORENO</v>
      </c>
      <c r="C113" s="50"/>
      <c r="D113" s="50"/>
      <c r="E113" s="1"/>
      <c r="F113" s="77"/>
      <c r="G113" s="73"/>
      <c r="H113" s="75"/>
      <c r="I113" s="46" t="s">
        <v>31</v>
      </c>
      <c r="J113" s="45">
        <f>COUNTIF(H117:H121,"N/A")</f>
        <v>0</v>
      </c>
    </row>
    <row r="114" spans="1:25" x14ac:dyDescent="0.25">
      <c r="A114" s="46" t="s">
        <v>34</v>
      </c>
      <c r="B114" s="50" t="str">
        <f>+CONSOLIDADO!C26</f>
        <v>MACDANIEL LTDA</v>
      </c>
      <c r="C114" s="50"/>
      <c r="D114" s="50"/>
      <c r="E114" s="1"/>
      <c r="F114" s="77"/>
      <c r="G114" s="73"/>
      <c r="H114" s="1"/>
      <c r="I114" s="48"/>
      <c r="J114" s="48"/>
      <c r="K114" s="48"/>
    </row>
    <row r="115" spans="1:25" ht="15.75" thickBot="1" x14ac:dyDescent="0.3">
      <c r="B115" s="51"/>
      <c r="C115" s="51"/>
      <c r="D115" s="51"/>
      <c r="E115" s="48"/>
      <c r="F115" s="48"/>
      <c r="G115" s="48"/>
      <c r="H115" s="48"/>
      <c r="I115" s="48"/>
      <c r="J115" s="48"/>
      <c r="K115" s="48"/>
    </row>
    <row r="116" spans="1:25" s="52" customFormat="1" ht="15.75" thickBot="1" x14ac:dyDescent="0.3">
      <c r="A116" s="447" t="s">
        <v>26</v>
      </c>
      <c r="B116" s="566" t="s">
        <v>42</v>
      </c>
      <c r="C116" s="566"/>
      <c r="D116" s="566"/>
      <c r="E116" s="566"/>
      <c r="F116" s="566"/>
      <c r="G116" s="566"/>
      <c r="H116" s="431" t="s">
        <v>47</v>
      </c>
    </row>
    <row r="117" spans="1:25" ht="30" customHeight="1" thickTop="1" x14ac:dyDescent="0.25">
      <c r="A117" s="445" t="s">
        <v>148</v>
      </c>
      <c r="B117" s="625" t="s">
        <v>73</v>
      </c>
      <c r="C117" s="625"/>
      <c r="D117" s="625"/>
      <c r="E117" s="625"/>
      <c r="F117" s="625"/>
      <c r="G117" s="625"/>
      <c r="H117" s="446" t="str">
        <f>+K124</f>
        <v>NO</v>
      </c>
    </row>
    <row r="118" spans="1:25" ht="45" customHeight="1" x14ac:dyDescent="0.25">
      <c r="A118" s="443" t="s">
        <v>149</v>
      </c>
      <c r="B118" s="626" t="s">
        <v>74</v>
      </c>
      <c r="C118" s="626"/>
      <c r="D118" s="626"/>
      <c r="E118" s="626"/>
      <c r="F118" s="626"/>
      <c r="G118" s="626"/>
      <c r="H118" s="442" t="str">
        <f>+K132</f>
        <v>SI</v>
      </c>
    </row>
    <row r="119" spans="1:25" ht="64.5" customHeight="1" x14ac:dyDescent="0.25">
      <c r="A119" s="443" t="s">
        <v>150</v>
      </c>
      <c r="B119" s="605" t="s">
        <v>75</v>
      </c>
      <c r="C119" s="605"/>
      <c r="D119" s="605"/>
      <c r="E119" s="605"/>
      <c r="F119" s="605"/>
      <c r="G119" s="605"/>
      <c r="H119" s="442" t="str">
        <f>+K135</f>
        <v>SI</v>
      </c>
    </row>
    <row r="120" spans="1:25" x14ac:dyDescent="0.25">
      <c r="A120" s="444" t="s">
        <v>70</v>
      </c>
      <c r="B120" s="606"/>
      <c r="C120" s="606"/>
      <c r="D120" s="606"/>
      <c r="E120" s="606"/>
      <c r="F120" s="606"/>
      <c r="G120" s="606"/>
      <c r="H120" s="448" t="s">
        <v>28</v>
      </c>
    </row>
    <row r="121" spans="1:25" ht="15.75" thickBot="1" x14ac:dyDescent="0.3">
      <c r="A121" s="403" t="s">
        <v>151</v>
      </c>
      <c r="B121" s="607"/>
      <c r="C121" s="607"/>
      <c r="D121" s="607"/>
      <c r="E121" s="607"/>
      <c r="F121" s="607"/>
      <c r="G121" s="607"/>
      <c r="H121" s="449" t="s">
        <v>28</v>
      </c>
    </row>
    <row r="122" spans="1:25" ht="15.75" thickBot="1" x14ac:dyDescent="0.3"/>
    <row r="123" spans="1:25" ht="45.75" thickBot="1" x14ac:dyDescent="0.3">
      <c r="A123" s="13"/>
      <c r="B123" s="13"/>
      <c r="C123" s="13"/>
      <c r="E123" s="111" t="s">
        <v>71</v>
      </c>
      <c r="F123" s="395" t="s">
        <v>190</v>
      </c>
      <c r="G123" s="395" t="s">
        <v>152</v>
      </c>
      <c r="H123" s="438" t="s">
        <v>196</v>
      </c>
      <c r="I123" s="114" t="s">
        <v>90</v>
      </c>
      <c r="J123" s="114" t="s">
        <v>89</v>
      </c>
      <c r="K123" s="396" t="s">
        <v>72</v>
      </c>
      <c r="M123" s="441" t="s">
        <v>195</v>
      </c>
      <c r="N123" s="598" t="s">
        <v>194</v>
      </c>
      <c r="O123" s="599"/>
      <c r="P123" s="599"/>
      <c r="Q123" s="599"/>
      <c r="R123" s="599"/>
      <c r="S123" s="599"/>
      <c r="T123" s="599"/>
      <c r="U123" s="599"/>
      <c r="V123" s="599"/>
      <c r="W123" s="599"/>
      <c r="X123" s="599"/>
      <c r="Y123" s="600"/>
    </row>
    <row r="124" spans="1:25" ht="15.75" thickTop="1" x14ac:dyDescent="0.25">
      <c r="A124" s="13"/>
      <c r="B124" s="13"/>
      <c r="C124" s="13"/>
      <c r="E124" s="110">
        <v>1</v>
      </c>
      <c r="F124" s="426" t="s">
        <v>27</v>
      </c>
      <c r="G124" s="616" t="s">
        <v>191</v>
      </c>
      <c r="H124" s="450">
        <f t="shared" ref="H124:H134" si="8">IF(F124="SI",M124,0)</f>
        <v>0</v>
      </c>
      <c r="I124" s="610">
        <f>SUM(H124:H131)</f>
        <v>4507.4195118182179</v>
      </c>
      <c r="J124" s="610">
        <f>+J97</f>
        <v>6119</v>
      </c>
      <c r="K124" s="608" t="str">
        <f>IF((I124-J124)&gt;0,"SI","NO")</f>
        <v>NO</v>
      </c>
      <c r="M124" s="455">
        <v>1768.9710281856051</v>
      </c>
      <c r="N124" s="601"/>
      <c r="O124" s="602"/>
      <c r="P124" s="602"/>
      <c r="Q124" s="602"/>
      <c r="R124" s="602"/>
      <c r="S124" s="602"/>
      <c r="T124" s="602"/>
      <c r="U124" s="602"/>
      <c r="V124" s="602"/>
      <c r="W124" s="602"/>
      <c r="X124" s="602"/>
      <c r="Y124" s="603"/>
    </row>
    <row r="125" spans="1:25" x14ac:dyDescent="0.25">
      <c r="A125" s="13"/>
      <c r="B125" s="13"/>
      <c r="C125" s="13"/>
      <c r="E125" s="108">
        <f>+E124+1</f>
        <v>2</v>
      </c>
      <c r="F125" s="427" t="s">
        <v>28</v>
      </c>
      <c r="G125" s="617"/>
      <c r="H125" s="451">
        <f t="shared" si="8"/>
        <v>1789.5751351805638</v>
      </c>
      <c r="I125" s="611"/>
      <c r="J125" s="611"/>
      <c r="K125" s="609"/>
      <c r="M125" s="456">
        <v>1789.5751351805638</v>
      </c>
      <c r="N125" s="604"/>
      <c r="O125" s="556"/>
      <c r="P125" s="556"/>
      <c r="Q125" s="556"/>
      <c r="R125" s="556"/>
      <c r="S125" s="556"/>
      <c r="T125" s="556"/>
      <c r="U125" s="556"/>
      <c r="V125" s="556"/>
      <c r="W125" s="556"/>
      <c r="X125" s="556"/>
      <c r="Y125" s="557"/>
    </row>
    <row r="126" spans="1:25" x14ac:dyDescent="0.25">
      <c r="A126" s="13"/>
      <c r="B126" s="13"/>
      <c r="C126" s="13"/>
      <c r="E126" s="108">
        <f t="shared" ref="E126:E131" si="9">+E125+1</f>
        <v>3</v>
      </c>
      <c r="F126" s="427" t="s">
        <v>28</v>
      </c>
      <c r="G126" s="617"/>
      <c r="H126" s="451">
        <f t="shared" si="8"/>
        <v>1768.9710281856051</v>
      </c>
      <c r="I126" s="611"/>
      <c r="J126" s="611"/>
      <c r="K126" s="609"/>
      <c r="M126" s="456">
        <v>1768.9710281856051</v>
      </c>
      <c r="N126" s="604"/>
      <c r="O126" s="556"/>
      <c r="P126" s="556"/>
      <c r="Q126" s="556"/>
      <c r="R126" s="556"/>
      <c r="S126" s="556"/>
      <c r="T126" s="556"/>
      <c r="U126" s="556"/>
      <c r="V126" s="556"/>
      <c r="W126" s="556"/>
      <c r="X126" s="556"/>
      <c r="Y126" s="557"/>
    </row>
    <row r="127" spans="1:25" x14ac:dyDescent="0.25">
      <c r="A127" s="13"/>
      <c r="B127" s="13"/>
      <c r="C127" s="13"/>
      <c r="E127" s="108">
        <f t="shared" si="9"/>
        <v>4</v>
      </c>
      <c r="F127" s="427" t="s">
        <v>28</v>
      </c>
      <c r="G127" s="617"/>
      <c r="H127" s="451">
        <f t="shared" si="8"/>
        <v>684.54434424040653</v>
      </c>
      <c r="I127" s="611"/>
      <c r="J127" s="611"/>
      <c r="K127" s="609"/>
      <c r="M127" s="456">
        <v>684.54434424040653</v>
      </c>
      <c r="N127" s="604"/>
      <c r="O127" s="556"/>
      <c r="P127" s="556"/>
      <c r="Q127" s="556"/>
      <c r="R127" s="556"/>
      <c r="S127" s="556"/>
      <c r="T127" s="556"/>
      <c r="U127" s="556"/>
      <c r="V127" s="556"/>
      <c r="W127" s="556"/>
      <c r="X127" s="556"/>
      <c r="Y127" s="557"/>
    </row>
    <row r="128" spans="1:25" x14ac:dyDescent="0.25">
      <c r="A128" s="13"/>
      <c r="B128" s="13"/>
      <c r="C128" s="13"/>
      <c r="E128" s="108">
        <f t="shared" si="9"/>
        <v>5</v>
      </c>
      <c r="F128" s="427" t="s">
        <v>28</v>
      </c>
      <c r="G128" s="617"/>
      <c r="H128" s="451">
        <f t="shared" si="8"/>
        <v>264.32900421164214</v>
      </c>
      <c r="I128" s="611"/>
      <c r="J128" s="611"/>
      <c r="K128" s="609"/>
      <c r="M128" s="456">
        <v>264.32900421164214</v>
      </c>
      <c r="N128" s="604"/>
      <c r="O128" s="556"/>
      <c r="P128" s="556"/>
      <c r="Q128" s="556"/>
      <c r="R128" s="556"/>
      <c r="S128" s="556"/>
      <c r="T128" s="556"/>
      <c r="U128" s="556"/>
      <c r="V128" s="556"/>
      <c r="W128" s="556"/>
      <c r="X128" s="556"/>
      <c r="Y128" s="557"/>
    </row>
    <row r="129" spans="1:25" x14ac:dyDescent="0.25">
      <c r="A129" s="13"/>
      <c r="B129" s="13"/>
      <c r="C129" s="13"/>
      <c r="E129" s="108">
        <f t="shared" si="9"/>
        <v>6</v>
      </c>
      <c r="F129" s="427" t="s">
        <v>27</v>
      </c>
      <c r="G129" s="617"/>
      <c r="H129" s="451">
        <f t="shared" si="8"/>
        <v>0</v>
      </c>
      <c r="I129" s="611"/>
      <c r="J129" s="611"/>
      <c r="K129" s="609"/>
      <c r="M129" s="456">
        <v>4947.6967454999685</v>
      </c>
      <c r="N129" s="604"/>
      <c r="O129" s="556"/>
      <c r="P129" s="556"/>
      <c r="Q129" s="556"/>
      <c r="R129" s="556"/>
      <c r="S129" s="556"/>
      <c r="T129" s="556"/>
      <c r="U129" s="556"/>
      <c r="V129" s="556"/>
      <c r="W129" s="556"/>
      <c r="X129" s="556"/>
      <c r="Y129" s="557"/>
    </row>
    <row r="130" spans="1:25" x14ac:dyDescent="0.25">
      <c r="A130" s="13"/>
      <c r="B130" s="13"/>
      <c r="C130" s="13"/>
      <c r="E130" s="108">
        <f t="shared" si="9"/>
        <v>7</v>
      </c>
      <c r="F130" s="427" t="s">
        <v>27</v>
      </c>
      <c r="G130" s="617"/>
      <c r="H130" s="451">
        <f t="shared" si="8"/>
        <v>0</v>
      </c>
      <c r="I130" s="611"/>
      <c r="J130" s="611"/>
      <c r="K130" s="609"/>
      <c r="M130" s="456">
        <v>2151.2314342762875</v>
      </c>
      <c r="N130" s="604"/>
      <c r="O130" s="556"/>
      <c r="P130" s="556"/>
      <c r="Q130" s="556"/>
      <c r="R130" s="556"/>
      <c r="S130" s="556"/>
      <c r="T130" s="556"/>
      <c r="U130" s="556"/>
      <c r="V130" s="556"/>
      <c r="W130" s="556"/>
      <c r="X130" s="556"/>
      <c r="Y130" s="557"/>
    </row>
    <row r="131" spans="1:25" ht="15.75" thickBot="1" x14ac:dyDescent="0.3">
      <c r="A131" s="13"/>
      <c r="B131" s="13"/>
      <c r="C131" s="13"/>
      <c r="E131" s="399">
        <f t="shared" si="9"/>
        <v>8</v>
      </c>
      <c r="F131" s="428" t="s">
        <v>27</v>
      </c>
      <c r="G131" s="618"/>
      <c r="H131" s="452">
        <f t="shared" si="8"/>
        <v>0</v>
      </c>
      <c r="I131" s="611"/>
      <c r="J131" s="611"/>
      <c r="K131" s="609"/>
      <c r="M131" s="456">
        <v>269.41225429263523</v>
      </c>
      <c r="N131" s="604"/>
      <c r="O131" s="556"/>
      <c r="P131" s="556"/>
      <c r="Q131" s="556"/>
      <c r="R131" s="556"/>
      <c r="S131" s="556"/>
      <c r="T131" s="556"/>
      <c r="U131" s="556"/>
      <c r="V131" s="556"/>
      <c r="W131" s="556"/>
      <c r="X131" s="556"/>
      <c r="Y131" s="557"/>
    </row>
    <row r="132" spans="1:25" ht="15.75" thickTop="1" x14ac:dyDescent="0.25">
      <c r="C132" s="52"/>
      <c r="D132" s="52"/>
      <c r="E132" s="421">
        <v>3</v>
      </c>
      <c r="F132" s="429" t="str">
        <f>IFERROR((LOOKUP(E132,E124:E131,F124:F131)),"NO")</f>
        <v>SI</v>
      </c>
      <c r="G132" s="616" t="s">
        <v>192</v>
      </c>
      <c r="H132" s="453">
        <f t="shared" si="8"/>
        <v>1768.9710281856051</v>
      </c>
      <c r="I132" s="610">
        <f>SUM(H132:H134)</f>
        <v>2717.844376637654</v>
      </c>
      <c r="J132" s="610">
        <f>+J105</f>
        <v>2295</v>
      </c>
      <c r="K132" s="622" t="str">
        <f>IF((I132-J132)&gt;0,"SI","NO")</f>
        <v>SI</v>
      </c>
      <c r="M132" s="457">
        <f>IFERROR((LOOKUP(E132,E123:E130,H123:H130)),0)</f>
        <v>1768.9710281856051</v>
      </c>
      <c r="N132" s="604"/>
      <c r="O132" s="556"/>
      <c r="P132" s="556"/>
      <c r="Q132" s="556"/>
      <c r="R132" s="556"/>
      <c r="S132" s="556"/>
      <c r="T132" s="556"/>
      <c r="U132" s="556"/>
      <c r="V132" s="556"/>
      <c r="W132" s="556"/>
      <c r="X132" s="556"/>
      <c r="Y132" s="557"/>
    </row>
    <row r="133" spans="1:25" x14ac:dyDescent="0.25">
      <c r="E133" s="422">
        <v>4</v>
      </c>
      <c r="F133" s="62" t="str">
        <f>IFERROR((LOOKUP(E133,E124:E131,F124:F131)),"NO")</f>
        <v>SI</v>
      </c>
      <c r="G133" s="617"/>
      <c r="H133" s="452">
        <f t="shared" si="8"/>
        <v>684.54434424040653</v>
      </c>
      <c r="I133" s="611"/>
      <c r="J133" s="611"/>
      <c r="K133" s="623"/>
      <c r="M133" s="457">
        <f>IFERROR((LOOKUP(E133,E124:E131,H124:H131)),0)</f>
        <v>684.54434424040653</v>
      </c>
      <c r="N133" s="604"/>
      <c r="O133" s="556"/>
      <c r="P133" s="556"/>
      <c r="Q133" s="556"/>
      <c r="R133" s="556"/>
      <c r="S133" s="556"/>
      <c r="T133" s="556"/>
      <c r="U133" s="556"/>
      <c r="V133" s="556"/>
      <c r="W133" s="556"/>
      <c r="X133" s="556"/>
      <c r="Y133" s="557"/>
    </row>
    <row r="134" spans="1:25" ht="15.75" thickBot="1" x14ac:dyDescent="0.3">
      <c r="E134" s="423">
        <v>5</v>
      </c>
      <c r="F134" s="430" t="str">
        <f>IFERROR((LOOKUP(E134,E124:E131,F124:F131)),"NO")</f>
        <v>SI</v>
      </c>
      <c r="G134" s="618"/>
      <c r="H134" s="454">
        <f t="shared" si="8"/>
        <v>264.32900421164214</v>
      </c>
      <c r="I134" s="615"/>
      <c r="J134" s="615"/>
      <c r="K134" s="624"/>
      <c r="M134" s="457">
        <f>IFERROR((LOOKUP(E134,E124:E131,H124:H131)),0)</f>
        <v>264.32900421164214</v>
      </c>
      <c r="N134" s="604"/>
      <c r="O134" s="556"/>
      <c r="P134" s="556"/>
      <c r="Q134" s="556"/>
      <c r="R134" s="556"/>
      <c r="S134" s="556"/>
      <c r="T134" s="556"/>
      <c r="U134" s="556"/>
      <c r="V134" s="556"/>
      <c r="W134" s="556"/>
      <c r="X134" s="556"/>
      <c r="Y134" s="557"/>
    </row>
    <row r="135" spans="1:25" ht="46.5" thickTop="1" thickBot="1" x14ac:dyDescent="0.3">
      <c r="E135" s="400"/>
      <c r="F135" s="401"/>
      <c r="G135" s="402" t="s">
        <v>193</v>
      </c>
      <c r="H135" s="425">
        <v>3</v>
      </c>
      <c r="I135" s="397">
        <f>+H135</f>
        <v>3</v>
      </c>
      <c r="J135" s="397">
        <f>+J108</f>
        <v>1</v>
      </c>
      <c r="K135" s="398" t="str">
        <f>IF((I135)&gt;=J135,"SI","NO")</f>
        <v>SI</v>
      </c>
      <c r="M135" s="424"/>
      <c r="N135" s="619"/>
      <c r="O135" s="620"/>
      <c r="P135" s="620"/>
      <c r="Q135" s="620"/>
      <c r="R135" s="620"/>
      <c r="S135" s="620"/>
      <c r="T135" s="620"/>
      <c r="U135" s="620"/>
      <c r="V135" s="620"/>
      <c r="W135" s="620"/>
      <c r="X135" s="620"/>
      <c r="Y135" s="621"/>
    </row>
    <row r="137" spans="1:25" x14ac:dyDescent="0.25">
      <c r="A137" s="46" t="s">
        <v>29</v>
      </c>
      <c r="B137" s="47" t="str">
        <f>+CONSOLIDADO!A27</f>
        <v>UNIÓN TEMPORAL OBRAS RENACER</v>
      </c>
      <c r="C137" s="47"/>
      <c r="D137" s="47"/>
      <c r="E137" s="47"/>
      <c r="F137" s="47"/>
      <c r="G137" s="48"/>
      <c r="I137" s="466" t="s">
        <v>51</v>
      </c>
      <c r="J137" s="49" t="str">
        <f>IF(J139&gt;0,"NO HABILITADO","HABILITADO")</f>
        <v>NO HABILITADO</v>
      </c>
    </row>
    <row r="138" spans="1:25" x14ac:dyDescent="0.25">
      <c r="A138" s="46" t="str">
        <f>+A111</f>
        <v>GRUPO 1</v>
      </c>
      <c r="B138" s="470" t="str">
        <f>+B111</f>
        <v>SIERRA NEVADA-PERIJÁ-ZONA BANANERA</v>
      </c>
      <c r="C138" s="469"/>
      <c r="D138" s="469"/>
      <c r="E138" s="469"/>
      <c r="F138" s="469"/>
      <c r="G138" s="48"/>
      <c r="I138" s="46" t="s">
        <v>49</v>
      </c>
      <c r="J138" s="45">
        <f>COUNTIF(H144:H148,"SI")</f>
        <v>4</v>
      </c>
    </row>
    <row r="139" spans="1:25" x14ac:dyDescent="0.25">
      <c r="A139" s="46" t="s">
        <v>32</v>
      </c>
      <c r="B139" s="469" t="str">
        <f>+CONSOLIDADO!C28</f>
        <v>JOSE FERNANDO ANGULO</v>
      </c>
      <c r="C139" s="469"/>
      <c r="D139" s="469"/>
      <c r="E139" s="18"/>
      <c r="F139" s="76"/>
      <c r="G139" s="73"/>
      <c r="H139" s="1"/>
      <c r="I139" s="46" t="s">
        <v>50</v>
      </c>
      <c r="J139" s="45">
        <f>COUNTIF(H144:H148,"NO")</f>
        <v>1</v>
      </c>
    </row>
    <row r="140" spans="1:25" x14ac:dyDescent="0.25">
      <c r="A140" s="46" t="s">
        <v>33</v>
      </c>
      <c r="B140" s="469" t="str">
        <f>+CONSOLIDADO!C29</f>
        <v>ORLANDO SEPULVEDA</v>
      </c>
      <c r="C140" s="469"/>
      <c r="D140" s="469"/>
      <c r="E140" s="1"/>
      <c r="F140" s="77"/>
      <c r="G140" s="73"/>
      <c r="H140" s="75"/>
      <c r="I140" s="46" t="s">
        <v>31</v>
      </c>
      <c r="J140" s="45">
        <f>COUNTIF(H144:H148,"N/A")</f>
        <v>0</v>
      </c>
    </row>
    <row r="141" spans="1:25" x14ac:dyDescent="0.25">
      <c r="A141" s="46" t="s">
        <v>34</v>
      </c>
      <c r="B141" s="469" t="str">
        <f>+CONSOLIDADO!C30</f>
        <v>CORPORACIÓN COLOMBIA CRECE</v>
      </c>
      <c r="C141" s="469"/>
      <c r="D141" s="469"/>
      <c r="E141" s="1"/>
      <c r="F141" s="77"/>
      <c r="G141" s="73"/>
      <c r="H141" s="1"/>
      <c r="I141" s="48"/>
      <c r="J141" s="48"/>
      <c r="K141" s="48"/>
    </row>
    <row r="142" spans="1:25" ht="15.75" thickBot="1" x14ac:dyDescent="0.3">
      <c r="B142" s="51"/>
      <c r="C142" s="51"/>
      <c r="D142" s="51"/>
      <c r="E142" s="48"/>
      <c r="F142" s="48"/>
      <c r="G142" s="48"/>
      <c r="H142" s="48"/>
      <c r="I142" s="48"/>
      <c r="J142" s="48"/>
      <c r="K142" s="48"/>
    </row>
    <row r="143" spans="1:25" s="52" customFormat="1" ht="15.75" thickBot="1" x14ac:dyDescent="0.3">
      <c r="A143" s="447" t="s">
        <v>26</v>
      </c>
      <c r="B143" s="566" t="s">
        <v>42</v>
      </c>
      <c r="C143" s="566"/>
      <c r="D143" s="566"/>
      <c r="E143" s="566"/>
      <c r="F143" s="566"/>
      <c r="G143" s="566"/>
      <c r="H143" s="468" t="s">
        <v>47</v>
      </c>
    </row>
    <row r="144" spans="1:25" ht="30" customHeight="1" thickTop="1" x14ac:dyDescent="0.25">
      <c r="A144" s="445" t="s">
        <v>148</v>
      </c>
      <c r="B144" s="625" t="s">
        <v>73</v>
      </c>
      <c r="C144" s="625"/>
      <c r="D144" s="625"/>
      <c r="E144" s="625"/>
      <c r="F144" s="625"/>
      <c r="G144" s="625"/>
      <c r="H144" s="446" t="str">
        <f>+K151</f>
        <v>NO</v>
      </c>
    </row>
    <row r="145" spans="1:25" ht="45" customHeight="1" x14ac:dyDescent="0.25">
      <c r="A145" s="443" t="s">
        <v>149</v>
      </c>
      <c r="B145" s="626" t="s">
        <v>74</v>
      </c>
      <c r="C145" s="626"/>
      <c r="D145" s="626"/>
      <c r="E145" s="626"/>
      <c r="F145" s="626"/>
      <c r="G145" s="626"/>
      <c r="H145" s="442" t="str">
        <f>+K159</f>
        <v>SI</v>
      </c>
    </row>
    <row r="146" spans="1:25" ht="64.5" customHeight="1" x14ac:dyDescent="0.25">
      <c r="A146" s="443" t="s">
        <v>150</v>
      </c>
      <c r="B146" s="605" t="s">
        <v>75</v>
      </c>
      <c r="C146" s="605"/>
      <c r="D146" s="605"/>
      <c r="E146" s="605"/>
      <c r="F146" s="605"/>
      <c r="G146" s="605"/>
      <c r="H146" s="442" t="str">
        <f>+K162</f>
        <v>SI</v>
      </c>
    </row>
    <row r="147" spans="1:25" x14ac:dyDescent="0.25">
      <c r="A147" s="444" t="s">
        <v>70</v>
      </c>
      <c r="B147" s="606"/>
      <c r="C147" s="606"/>
      <c r="D147" s="606"/>
      <c r="E147" s="606"/>
      <c r="F147" s="606"/>
      <c r="G147" s="606"/>
      <c r="H147" s="448" t="s">
        <v>28</v>
      </c>
    </row>
    <row r="148" spans="1:25" ht="15.75" thickBot="1" x14ac:dyDescent="0.3">
      <c r="A148" s="403" t="s">
        <v>151</v>
      </c>
      <c r="B148" s="607"/>
      <c r="C148" s="607"/>
      <c r="D148" s="607"/>
      <c r="E148" s="607"/>
      <c r="F148" s="607"/>
      <c r="G148" s="607"/>
      <c r="H148" s="449" t="s">
        <v>28</v>
      </c>
    </row>
    <row r="149" spans="1:25" ht="15.75" thickBot="1" x14ac:dyDescent="0.3"/>
    <row r="150" spans="1:25" ht="45.75" thickBot="1" x14ac:dyDescent="0.3">
      <c r="A150" s="13"/>
      <c r="B150" s="13"/>
      <c r="C150" s="13"/>
      <c r="E150" s="111" t="s">
        <v>71</v>
      </c>
      <c r="F150" s="467" t="s">
        <v>190</v>
      </c>
      <c r="G150" s="467" t="s">
        <v>152</v>
      </c>
      <c r="H150" s="438" t="s">
        <v>196</v>
      </c>
      <c r="I150" s="114" t="s">
        <v>90</v>
      </c>
      <c r="J150" s="114" t="s">
        <v>89</v>
      </c>
      <c r="K150" s="468" t="s">
        <v>72</v>
      </c>
      <c r="M150" s="441" t="s">
        <v>195</v>
      </c>
      <c r="N150" s="598" t="s">
        <v>194</v>
      </c>
      <c r="O150" s="599"/>
      <c r="P150" s="599"/>
      <c r="Q150" s="599"/>
      <c r="R150" s="599"/>
      <c r="S150" s="599"/>
      <c r="T150" s="599"/>
      <c r="U150" s="599"/>
      <c r="V150" s="599"/>
      <c r="W150" s="599"/>
      <c r="X150" s="599"/>
      <c r="Y150" s="600"/>
    </row>
    <row r="151" spans="1:25" ht="15.75" thickTop="1" x14ac:dyDescent="0.25">
      <c r="A151" s="13"/>
      <c r="B151" s="13"/>
      <c r="C151" s="13"/>
      <c r="E151" s="110">
        <v>1</v>
      </c>
      <c r="F151" s="426" t="s">
        <v>27</v>
      </c>
      <c r="G151" s="616" t="s">
        <v>191</v>
      </c>
      <c r="H151" s="450">
        <f t="shared" ref="H151:H161" si="10">IF(F151="SI",M151,0)</f>
        <v>0</v>
      </c>
      <c r="I151" s="610">
        <f>SUM(H151:H158)</f>
        <v>4507.4195118182179</v>
      </c>
      <c r="J151" s="610">
        <f>+J124</f>
        <v>6119</v>
      </c>
      <c r="K151" s="608" t="str">
        <f>IF((I151-J151)&gt;0,"SI","NO")</f>
        <v>NO</v>
      </c>
      <c r="M151" s="455">
        <v>1768.9710281856051</v>
      </c>
      <c r="N151" s="601"/>
      <c r="O151" s="602"/>
      <c r="P151" s="602"/>
      <c r="Q151" s="602"/>
      <c r="R151" s="602"/>
      <c r="S151" s="602"/>
      <c r="T151" s="602"/>
      <c r="U151" s="602"/>
      <c r="V151" s="602"/>
      <c r="W151" s="602"/>
      <c r="X151" s="602"/>
      <c r="Y151" s="603"/>
    </row>
    <row r="152" spans="1:25" x14ac:dyDescent="0.25">
      <c r="A152" s="13"/>
      <c r="B152" s="13"/>
      <c r="C152" s="13"/>
      <c r="E152" s="108">
        <f>+E151+1</f>
        <v>2</v>
      </c>
      <c r="F152" s="427" t="s">
        <v>28</v>
      </c>
      <c r="G152" s="617"/>
      <c r="H152" s="451">
        <f t="shared" si="10"/>
        <v>1789.5751351805638</v>
      </c>
      <c r="I152" s="611"/>
      <c r="J152" s="611"/>
      <c r="K152" s="609"/>
      <c r="M152" s="456">
        <v>1789.5751351805638</v>
      </c>
      <c r="N152" s="604"/>
      <c r="O152" s="556"/>
      <c r="P152" s="556"/>
      <c r="Q152" s="556"/>
      <c r="R152" s="556"/>
      <c r="S152" s="556"/>
      <c r="T152" s="556"/>
      <c r="U152" s="556"/>
      <c r="V152" s="556"/>
      <c r="W152" s="556"/>
      <c r="X152" s="556"/>
      <c r="Y152" s="557"/>
    </row>
    <row r="153" spans="1:25" x14ac:dyDescent="0.25">
      <c r="A153" s="13"/>
      <c r="B153" s="13"/>
      <c r="C153" s="13"/>
      <c r="E153" s="108">
        <f t="shared" ref="E153:E158" si="11">+E152+1</f>
        <v>3</v>
      </c>
      <c r="F153" s="427" t="s">
        <v>28</v>
      </c>
      <c r="G153" s="617"/>
      <c r="H153" s="451">
        <f t="shared" si="10"/>
        <v>1768.9710281856051</v>
      </c>
      <c r="I153" s="611"/>
      <c r="J153" s="611"/>
      <c r="K153" s="609"/>
      <c r="M153" s="456">
        <v>1768.9710281856051</v>
      </c>
      <c r="N153" s="604"/>
      <c r="O153" s="556"/>
      <c r="P153" s="556"/>
      <c r="Q153" s="556"/>
      <c r="R153" s="556"/>
      <c r="S153" s="556"/>
      <c r="T153" s="556"/>
      <c r="U153" s="556"/>
      <c r="V153" s="556"/>
      <c r="W153" s="556"/>
      <c r="X153" s="556"/>
      <c r="Y153" s="557"/>
    </row>
    <row r="154" spans="1:25" x14ac:dyDescent="0.25">
      <c r="A154" s="13"/>
      <c r="B154" s="13"/>
      <c r="C154" s="13"/>
      <c r="E154" s="108">
        <f t="shared" si="11"/>
        <v>4</v>
      </c>
      <c r="F154" s="427" t="s">
        <v>28</v>
      </c>
      <c r="G154" s="617"/>
      <c r="H154" s="451">
        <f t="shared" si="10"/>
        <v>684.54434424040653</v>
      </c>
      <c r="I154" s="611"/>
      <c r="J154" s="611"/>
      <c r="K154" s="609"/>
      <c r="M154" s="456">
        <v>684.54434424040653</v>
      </c>
      <c r="N154" s="604"/>
      <c r="O154" s="556"/>
      <c r="P154" s="556"/>
      <c r="Q154" s="556"/>
      <c r="R154" s="556"/>
      <c r="S154" s="556"/>
      <c r="T154" s="556"/>
      <c r="U154" s="556"/>
      <c r="V154" s="556"/>
      <c r="W154" s="556"/>
      <c r="X154" s="556"/>
      <c r="Y154" s="557"/>
    </row>
    <row r="155" spans="1:25" x14ac:dyDescent="0.25">
      <c r="A155" s="13"/>
      <c r="B155" s="13"/>
      <c r="C155" s="13"/>
      <c r="E155" s="108">
        <f t="shared" si="11"/>
        <v>5</v>
      </c>
      <c r="F155" s="427" t="s">
        <v>28</v>
      </c>
      <c r="G155" s="617"/>
      <c r="H155" s="451">
        <f t="shared" si="10"/>
        <v>264.32900421164214</v>
      </c>
      <c r="I155" s="611"/>
      <c r="J155" s="611"/>
      <c r="K155" s="609"/>
      <c r="M155" s="456">
        <v>264.32900421164214</v>
      </c>
      <c r="N155" s="604"/>
      <c r="O155" s="556"/>
      <c r="P155" s="556"/>
      <c r="Q155" s="556"/>
      <c r="R155" s="556"/>
      <c r="S155" s="556"/>
      <c r="T155" s="556"/>
      <c r="U155" s="556"/>
      <c r="V155" s="556"/>
      <c r="W155" s="556"/>
      <c r="X155" s="556"/>
      <c r="Y155" s="557"/>
    </row>
    <row r="156" spans="1:25" x14ac:dyDescent="0.25">
      <c r="A156" s="13"/>
      <c r="B156" s="13"/>
      <c r="C156" s="13"/>
      <c r="E156" s="108">
        <f t="shared" si="11"/>
        <v>6</v>
      </c>
      <c r="F156" s="427" t="s">
        <v>27</v>
      </c>
      <c r="G156" s="617"/>
      <c r="H156" s="451">
        <f t="shared" si="10"/>
        <v>0</v>
      </c>
      <c r="I156" s="611"/>
      <c r="J156" s="611"/>
      <c r="K156" s="609"/>
      <c r="M156" s="456">
        <v>4947.6967454999685</v>
      </c>
      <c r="N156" s="604"/>
      <c r="O156" s="556"/>
      <c r="P156" s="556"/>
      <c r="Q156" s="556"/>
      <c r="R156" s="556"/>
      <c r="S156" s="556"/>
      <c r="T156" s="556"/>
      <c r="U156" s="556"/>
      <c r="V156" s="556"/>
      <c r="W156" s="556"/>
      <c r="X156" s="556"/>
      <c r="Y156" s="557"/>
    </row>
    <row r="157" spans="1:25" x14ac:dyDescent="0.25">
      <c r="A157" s="13"/>
      <c r="B157" s="13"/>
      <c r="C157" s="13"/>
      <c r="E157" s="108">
        <f t="shared" si="11"/>
        <v>7</v>
      </c>
      <c r="F157" s="427" t="s">
        <v>27</v>
      </c>
      <c r="G157" s="617"/>
      <c r="H157" s="451">
        <f t="shared" si="10"/>
        <v>0</v>
      </c>
      <c r="I157" s="611"/>
      <c r="J157" s="611"/>
      <c r="K157" s="609"/>
      <c r="M157" s="456">
        <v>2151.2314342762875</v>
      </c>
      <c r="N157" s="604"/>
      <c r="O157" s="556"/>
      <c r="P157" s="556"/>
      <c r="Q157" s="556"/>
      <c r="R157" s="556"/>
      <c r="S157" s="556"/>
      <c r="T157" s="556"/>
      <c r="U157" s="556"/>
      <c r="V157" s="556"/>
      <c r="W157" s="556"/>
      <c r="X157" s="556"/>
      <c r="Y157" s="557"/>
    </row>
    <row r="158" spans="1:25" ht="15.75" thickBot="1" x14ac:dyDescent="0.3">
      <c r="A158" s="13"/>
      <c r="B158" s="13"/>
      <c r="C158" s="13"/>
      <c r="E158" s="399">
        <f t="shared" si="11"/>
        <v>8</v>
      </c>
      <c r="F158" s="428" t="s">
        <v>27</v>
      </c>
      <c r="G158" s="618"/>
      <c r="H158" s="452">
        <f t="shared" si="10"/>
        <v>0</v>
      </c>
      <c r="I158" s="611"/>
      <c r="J158" s="611"/>
      <c r="K158" s="609"/>
      <c r="M158" s="456">
        <v>269.41225429263523</v>
      </c>
      <c r="N158" s="604"/>
      <c r="O158" s="556"/>
      <c r="P158" s="556"/>
      <c r="Q158" s="556"/>
      <c r="R158" s="556"/>
      <c r="S158" s="556"/>
      <c r="T158" s="556"/>
      <c r="U158" s="556"/>
      <c r="V158" s="556"/>
      <c r="W158" s="556"/>
      <c r="X158" s="556"/>
      <c r="Y158" s="557"/>
    </row>
    <row r="159" spans="1:25" ht="15.75" thickTop="1" x14ac:dyDescent="0.25">
      <c r="C159" s="52"/>
      <c r="D159" s="52"/>
      <c r="E159" s="421">
        <v>3</v>
      </c>
      <c r="F159" s="429" t="str">
        <f>IFERROR((LOOKUP(E159,E151:E158,F151:F158)),"NO")</f>
        <v>SI</v>
      </c>
      <c r="G159" s="616" t="s">
        <v>192</v>
      </c>
      <c r="H159" s="453">
        <f t="shared" si="10"/>
        <v>1768.9710281856051</v>
      </c>
      <c r="I159" s="610">
        <f>SUM(H159:H161)</f>
        <v>2717.844376637654</v>
      </c>
      <c r="J159" s="610">
        <f>+J132</f>
        <v>2295</v>
      </c>
      <c r="K159" s="622" t="str">
        <f>IF((I159-J159)&gt;0,"SI","NO")</f>
        <v>SI</v>
      </c>
      <c r="M159" s="457">
        <f>IFERROR((LOOKUP(E159,E150:E157,H150:H157)),0)</f>
        <v>1768.9710281856051</v>
      </c>
      <c r="N159" s="604"/>
      <c r="O159" s="556"/>
      <c r="P159" s="556"/>
      <c r="Q159" s="556"/>
      <c r="R159" s="556"/>
      <c r="S159" s="556"/>
      <c r="T159" s="556"/>
      <c r="U159" s="556"/>
      <c r="V159" s="556"/>
      <c r="W159" s="556"/>
      <c r="X159" s="556"/>
      <c r="Y159" s="557"/>
    </row>
    <row r="160" spans="1:25" x14ac:dyDescent="0.25">
      <c r="E160" s="422">
        <v>4</v>
      </c>
      <c r="F160" s="62" t="str">
        <f>IFERROR((LOOKUP(E160,E151:E158,F151:F158)),"NO")</f>
        <v>SI</v>
      </c>
      <c r="G160" s="617"/>
      <c r="H160" s="452">
        <f t="shared" si="10"/>
        <v>684.54434424040653</v>
      </c>
      <c r="I160" s="611"/>
      <c r="J160" s="611"/>
      <c r="K160" s="623"/>
      <c r="M160" s="457">
        <f>IFERROR((LOOKUP(E160,E151:E158,H151:H158)),0)</f>
        <v>684.54434424040653</v>
      </c>
      <c r="N160" s="604"/>
      <c r="O160" s="556"/>
      <c r="P160" s="556"/>
      <c r="Q160" s="556"/>
      <c r="R160" s="556"/>
      <c r="S160" s="556"/>
      <c r="T160" s="556"/>
      <c r="U160" s="556"/>
      <c r="V160" s="556"/>
      <c r="W160" s="556"/>
      <c r="X160" s="556"/>
      <c r="Y160" s="557"/>
    </row>
    <row r="161" spans="1:25" ht="15.75" thickBot="1" x14ac:dyDescent="0.3">
      <c r="E161" s="423">
        <v>5</v>
      </c>
      <c r="F161" s="430" t="str">
        <f>IFERROR((LOOKUP(E161,E151:E158,F151:F158)),"NO")</f>
        <v>SI</v>
      </c>
      <c r="G161" s="618"/>
      <c r="H161" s="454">
        <f t="shared" si="10"/>
        <v>264.32900421164214</v>
      </c>
      <c r="I161" s="615"/>
      <c r="J161" s="615"/>
      <c r="K161" s="624"/>
      <c r="M161" s="457">
        <f>IFERROR((LOOKUP(E161,E151:E158,H151:H158)),0)</f>
        <v>264.32900421164214</v>
      </c>
      <c r="N161" s="604"/>
      <c r="O161" s="556"/>
      <c r="P161" s="556"/>
      <c r="Q161" s="556"/>
      <c r="R161" s="556"/>
      <c r="S161" s="556"/>
      <c r="T161" s="556"/>
      <c r="U161" s="556"/>
      <c r="V161" s="556"/>
      <c r="W161" s="556"/>
      <c r="X161" s="556"/>
      <c r="Y161" s="557"/>
    </row>
    <row r="162" spans="1:25" ht="46.5" thickTop="1" thickBot="1" x14ac:dyDescent="0.3">
      <c r="E162" s="400"/>
      <c r="F162" s="401"/>
      <c r="G162" s="402" t="s">
        <v>193</v>
      </c>
      <c r="H162" s="425">
        <v>3</v>
      </c>
      <c r="I162" s="397">
        <f>+H162</f>
        <v>3</v>
      </c>
      <c r="J162" s="397">
        <f>+J135</f>
        <v>1</v>
      </c>
      <c r="K162" s="398" t="str">
        <f>IF((I162)&gt;=J162,"SI","NO")</f>
        <v>SI</v>
      </c>
      <c r="M162" s="424"/>
      <c r="N162" s="619"/>
      <c r="O162" s="620"/>
      <c r="P162" s="620"/>
      <c r="Q162" s="620"/>
      <c r="R162" s="620"/>
      <c r="S162" s="620"/>
      <c r="T162" s="620"/>
      <c r="U162" s="620"/>
      <c r="V162" s="620"/>
      <c r="W162" s="620"/>
      <c r="X162" s="620"/>
      <c r="Y162" s="621"/>
    </row>
    <row r="164" spans="1:25" x14ac:dyDescent="0.25">
      <c r="A164" s="46" t="s">
        <v>29</v>
      </c>
      <c r="B164" s="47" t="str">
        <f>+CONSOLIDADO!A31</f>
        <v>CONSORCIO INFRAESTRUCTURA SIERRA NEVADA</v>
      </c>
      <c r="C164" s="47"/>
      <c r="D164" s="47"/>
      <c r="E164" s="47"/>
      <c r="F164" s="47"/>
      <c r="G164" s="48"/>
      <c r="I164" s="466" t="s">
        <v>51</v>
      </c>
      <c r="J164" s="49" t="str">
        <f>IF(J166&gt;0,"NO HABILITADO","HABILITADO")</f>
        <v>NO HABILITADO</v>
      </c>
    </row>
    <row r="165" spans="1:25" x14ac:dyDescent="0.25">
      <c r="A165" s="46" t="str">
        <f>+A138</f>
        <v>GRUPO 1</v>
      </c>
      <c r="B165" s="470" t="str">
        <f>+B138</f>
        <v>SIERRA NEVADA-PERIJÁ-ZONA BANANERA</v>
      </c>
      <c r="C165" s="469"/>
      <c r="D165" s="469"/>
      <c r="E165" s="469"/>
      <c r="F165" s="469"/>
      <c r="G165" s="48"/>
      <c r="I165" s="46" t="s">
        <v>49</v>
      </c>
      <c r="J165" s="45">
        <f>COUNTIF(H171:H175,"SI")</f>
        <v>4</v>
      </c>
    </row>
    <row r="166" spans="1:25" x14ac:dyDescent="0.25">
      <c r="A166" s="46" t="s">
        <v>32</v>
      </c>
      <c r="B166" s="469" t="str">
        <f>+CONSOLIDADO!C32</f>
        <v>CADSA SAS</v>
      </c>
      <c r="C166" s="469"/>
      <c r="D166" s="469"/>
      <c r="E166" s="18"/>
      <c r="F166" s="76"/>
      <c r="G166" s="73"/>
      <c r="H166" s="1"/>
      <c r="I166" s="46" t="s">
        <v>50</v>
      </c>
      <c r="J166" s="45">
        <f>COUNTIF(H171:H175,"NO")</f>
        <v>1</v>
      </c>
    </row>
    <row r="167" spans="1:25" x14ac:dyDescent="0.25">
      <c r="A167" s="46" t="s">
        <v>33</v>
      </c>
      <c r="B167" s="469" t="str">
        <f>+CONSOLIDADO!C33</f>
        <v>CORPORACIÓN SELVA HÚMEDA ONG</v>
      </c>
      <c r="C167" s="469"/>
      <c r="D167" s="469"/>
      <c r="E167" s="1"/>
      <c r="F167" s="77"/>
      <c r="G167" s="73"/>
      <c r="H167" s="75"/>
      <c r="I167" s="46" t="s">
        <v>31</v>
      </c>
      <c r="J167" s="45">
        <f>COUNTIF(H171:H175,"N/A")</f>
        <v>0</v>
      </c>
    </row>
    <row r="168" spans="1:25" x14ac:dyDescent="0.25">
      <c r="A168" s="46" t="s">
        <v>34</v>
      </c>
      <c r="B168" s="469" t="str">
        <f>+CONSOLIDADO!C34</f>
        <v>MODEPCA LTDA</v>
      </c>
      <c r="C168" s="469"/>
      <c r="D168" s="469"/>
      <c r="E168" s="1"/>
      <c r="F168" s="77"/>
      <c r="G168" s="73"/>
      <c r="H168" s="1"/>
      <c r="I168" s="48"/>
      <c r="J168" s="48"/>
      <c r="K168" s="48"/>
    </row>
    <row r="169" spans="1:25" ht="15.75" thickBot="1" x14ac:dyDescent="0.3">
      <c r="B169" s="51"/>
      <c r="C169" s="51"/>
      <c r="D169" s="51"/>
      <c r="E169" s="48"/>
      <c r="F169" s="48"/>
      <c r="G169" s="48"/>
      <c r="H169" s="48"/>
      <c r="I169" s="48"/>
      <c r="J169" s="48"/>
      <c r="K169" s="48"/>
    </row>
    <row r="170" spans="1:25" s="52" customFormat="1" ht="15.75" thickBot="1" x14ac:dyDescent="0.3">
      <c r="A170" s="447" t="s">
        <v>26</v>
      </c>
      <c r="B170" s="566" t="s">
        <v>42</v>
      </c>
      <c r="C170" s="566"/>
      <c r="D170" s="566"/>
      <c r="E170" s="566"/>
      <c r="F170" s="566"/>
      <c r="G170" s="566"/>
      <c r="H170" s="468" t="s">
        <v>47</v>
      </c>
    </row>
    <row r="171" spans="1:25" ht="30" customHeight="1" thickTop="1" x14ac:dyDescent="0.25">
      <c r="A171" s="445" t="s">
        <v>148</v>
      </c>
      <c r="B171" s="625" t="s">
        <v>73</v>
      </c>
      <c r="C171" s="625"/>
      <c r="D171" s="625"/>
      <c r="E171" s="625"/>
      <c r="F171" s="625"/>
      <c r="G171" s="625"/>
      <c r="H171" s="446" t="str">
        <f>+K178</f>
        <v>NO</v>
      </c>
    </row>
    <row r="172" spans="1:25" ht="45" customHeight="1" x14ac:dyDescent="0.25">
      <c r="A172" s="443" t="s">
        <v>149</v>
      </c>
      <c r="B172" s="626" t="s">
        <v>74</v>
      </c>
      <c r="C172" s="626"/>
      <c r="D172" s="626"/>
      <c r="E172" s="626"/>
      <c r="F172" s="626"/>
      <c r="G172" s="626"/>
      <c r="H172" s="442" t="str">
        <f>+K186</f>
        <v>SI</v>
      </c>
    </row>
    <row r="173" spans="1:25" ht="64.5" customHeight="1" x14ac:dyDescent="0.25">
      <c r="A173" s="443" t="s">
        <v>150</v>
      </c>
      <c r="B173" s="605" t="s">
        <v>75</v>
      </c>
      <c r="C173" s="605"/>
      <c r="D173" s="605"/>
      <c r="E173" s="605"/>
      <c r="F173" s="605"/>
      <c r="G173" s="605"/>
      <c r="H173" s="442" t="str">
        <f>+K189</f>
        <v>SI</v>
      </c>
    </row>
    <row r="174" spans="1:25" x14ac:dyDescent="0.25">
      <c r="A174" s="444" t="s">
        <v>70</v>
      </c>
      <c r="B174" s="606"/>
      <c r="C174" s="606"/>
      <c r="D174" s="606"/>
      <c r="E174" s="606"/>
      <c r="F174" s="606"/>
      <c r="G174" s="606"/>
      <c r="H174" s="448" t="s">
        <v>28</v>
      </c>
    </row>
    <row r="175" spans="1:25" ht="15.75" thickBot="1" x14ac:dyDescent="0.3">
      <c r="A175" s="403" t="s">
        <v>151</v>
      </c>
      <c r="B175" s="607"/>
      <c r="C175" s="607"/>
      <c r="D175" s="607"/>
      <c r="E175" s="607"/>
      <c r="F175" s="607"/>
      <c r="G175" s="607"/>
      <c r="H175" s="449" t="s">
        <v>28</v>
      </c>
    </row>
    <row r="176" spans="1:25" ht="15.75" thickBot="1" x14ac:dyDescent="0.3"/>
    <row r="177" spans="1:25" ht="45.75" thickBot="1" x14ac:dyDescent="0.3">
      <c r="A177" s="13"/>
      <c r="B177" s="13"/>
      <c r="C177" s="13"/>
      <c r="E177" s="111" t="s">
        <v>71</v>
      </c>
      <c r="F177" s="467" t="s">
        <v>190</v>
      </c>
      <c r="G177" s="467" t="s">
        <v>152</v>
      </c>
      <c r="H177" s="438" t="s">
        <v>196</v>
      </c>
      <c r="I177" s="114" t="s">
        <v>90</v>
      </c>
      <c r="J177" s="114" t="s">
        <v>89</v>
      </c>
      <c r="K177" s="468" t="s">
        <v>72</v>
      </c>
      <c r="M177" s="441" t="s">
        <v>195</v>
      </c>
      <c r="N177" s="598" t="s">
        <v>194</v>
      </c>
      <c r="O177" s="599"/>
      <c r="P177" s="599"/>
      <c r="Q177" s="599"/>
      <c r="R177" s="599"/>
      <c r="S177" s="599"/>
      <c r="T177" s="599"/>
      <c r="U177" s="599"/>
      <c r="V177" s="599"/>
      <c r="W177" s="599"/>
      <c r="X177" s="599"/>
      <c r="Y177" s="600"/>
    </row>
    <row r="178" spans="1:25" ht="15.75" thickTop="1" x14ac:dyDescent="0.25">
      <c r="A178" s="13"/>
      <c r="B178" s="13"/>
      <c r="C178" s="13"/>
      <c r="E178" s="110">
        <v>1</v>
      </c>
      <c r="F178" s="426" t="s">
        <v>27</v>
      </c>
      <c r="G178" s="616" t="s">
        <v>191</v>
      </c>
      <c r="H178" s="450">
        <f t="shared" ref="H178:H188" si="12">IF(F178="SI",M178,0)</f>
        <v>0</v>
      </c>
      <c r="I178" s="610">
        <f>SUM(H178:H185)</f>
        <v>4507.4195118182179</v>
      </c>
      <c r="J178" s="610">
        <f>+J151</f>
        <v>6119</v>
      </c>
      <c r="K178" s="608" t="str">
        <f>IF((I178-J178)&gt;0,"SI","NO")</f>
        <v>NO</v>
      </c>
      <c r="M178" s="455">
        <v>1768.9710281856051</v>
      </c>
      <c r="N178" s="601"/>
      <c r="O178" s="602"/>
      <c r="P178" s="602"/>
      <c r="Q178" s="602"/>
      <c r="R178" s="602"/>
      <c r="S178" s="602"/>
      <c r="T178" s="602"/>
      <c r="U178" s="602"/>
      <c r="V178" s="602"/>
      <c r="W178" s="602"/>
      <c r="X178" s="602"/>
      <c r="Y178" s="603"/>
    </row>
    <row r="179" spans="1:25" x14ac:dyDescent="0.25">
      <c r="A179" s="13"/>
      <c r="B179" s="13"/>
      <c r="C179" s="13"/>
      <c r="E179" s="108">
        <f>+E178+1</f>
        <v>2</v>
      </c>
      <c r="F179" s="427" t="s">
        <v>28</v>
      </c>
      <c r="G179" s="617"/>
      <c r="H179" s="451">
        <f t="shared" si="12"/>
        <v>1789.5751351805638</v>
      </c>
      <c r="I179" s="611"/>
      <c r="J179" s="611"/>
      <c r="K179" s="609"/>
      <c r="M179" s="456">
        <v>1789.5751351805638</v>
      </c>
      <c r="N179" s="604"/>
      <c r="O179" s="556"/>
      <c r="P179" s="556"/>
      <c r="Q179" s="556"/>
      <c r="R179" s="556"/>
      <c r="S179" s="556"/>
      <c r="T179" s="556"/>
      <c r="U179" s="556"/>
      <c r="V179" s="556"/>
      <c r="W179" s="556"/>
      <c r="X179" s="556"/>
      <c r="Y179" s="557"/>
    </row>
    <row r="180" spans="1:25" x14ac:dyDescent="0.25">
      <c r="A180" s="13"/>
      <c r="B180" s="13"/>
      <c r="C180" s="13"/>
      <c r="E180" s="108">
        <f t="shared" ref="E180:E185" si="13">+E179+1</f>
        <v>3</v>
      </c>
      <c r="F180" s="427" t="s">
        <v>28</v>
      </c>
      <c r="G180" s="617"/>
      <c r="H180" s="451">
        <f t="shared" si="12"/>
        <v>1768.9710281856051</v>
      </c>
      <c r="I180" s="611"/>
      <c r="J180" s="611"/>
      <c r="K180" s="609"/>
      <c r="M180" s="456">
        <v>1768.9710281856051</v>
      </c>
      <c r="N180" s="604"/>
      <c r="O180" s="556"/>
      <c r="P180" s="556"/>
      <c r="Q180" s="556"/>
      <c r="R180" s="556"/>
      <c r="S180" s="556"/>
      <c r="T180" s="556"/>
      <c r="U180" s="556"/>
      <c r="V180" s="556"/>
      <c r="W180" s="556"/>
      <c r="X180" s="556"/>
      <c r="Y180" s="557"/>
    </row>
    <row r="181" spans="1:25" x14ac:dyDescent="0.25">
      <c r="A181" s="13"/>
      <c r="B181" s="13"/>
      <c r="C181" s="13"/>
      <c r="E181" s="108">
        <f t="shared" si="13"/>
        <v>4</v>
      </c>
      <c r="F181" s="427" t="s">
        <v>28</v>
      </c>
      <c r="G181" s="617"/>
      <c r="H181" s="451">
        <f t="shared" si="12"/>
        <v>684.54434424040653</v>
      </c>
      <c r="I181" s="611"/>
      <c r="J181" s="611"/>
      <c r="K181" s="609"/>
      <c r="M181" s="456">
        <v>684.54434424040653</v>
      </c>
      <c r="N181" s="604"/>
      <c r="O181" s="556"/>
      <c r="P181" s="556"/>
      <c r="Q181" s="556"/>
      <c r="R181" s="556"/>
      <c r="S181" s="556"/>
      <c r="T181" s="556"/>
      <c r="U181" s="556"/>
      <c r="V181" s="556"/>
      <c r="W181" s="556"/>
      <c r="X181" s="556"/>
      <c r="Y181" s="557"/>
    </row>
    <row r="182" spans="1:25" x14ac:dyDescent="0.25">
      <c r="A182" s="13"/>
      <c r="B182" s="13"/>
      <c r="C182" s="13"/>
      <c r="E182" s="108">
        <f t="shared" si="13"/>
        <v>5</v>
      </c>
      <c r="F182" s="427" t="s">
        <v>28</v>
      </c>
      <c r="G182" s="617"/>
      <c r="H182" s="451">
        <f t="shared" si="12"/>
        <v>264.32900421164214</v>
      </c>
      <c r="I182" s="611"/>
      <c r="J182" s="611"/>
      <c r="K182" s="609"/>
      <c r="M182" s="456">
        <v>264.32900421164214</v>
      </c>
      <c r="N182" s="604"/>
      <c r="O182" s="556"/>
      <c r="P182" s="556"/>
      <c r="Q182" s="556"/>
      <c r="R182" s="556"/>
      <c r="S182" s="556"/>
      <c r="T182" s="556"/>
      <c r="U182" s="556"/>
      <c r="V182" s="556"/>
      <c r="W182" s="556"/>
      <c r="X182" s="556"/>
      <c r="Y182" s="557"/>
    </row>
    <row r="183" spans="1:25" x14ac:dyDescent="0.25">
      <c r="A183" s="13"/>
      <c r="B183" s="13"/>
      <c r="C183" s="13"/>
      <c r="E183" s="108">
        <f t="shared" si="13"/>
        <v>6</v>
      </c>
      <c r="F183" s="427" t="s">
        <v>27</v>
      </c>
      <c r="G183" s="617"/>
      <c r="H183" s="451">
        <f t="shared" si="12"/>
        <v>0</v>
      </c>
      <c r="I183" s="611"/>
      <c r="J183" s="611"/>
      <c r="K183" s="609"/>
      <c r="M183" s="456">
        <v>4947.6967454999685</v>
      </c>
      <c r="N183" s="604"/>
      <c r="O183" s="556"/>
      <c r="P183" s="556"/>
      <c r="Q183" s="556"/>
      <c r="R183" s="556"/>
      <c r="S183" s="556"/>
      <c r="T183" s="556"/>
      <c r="U183" s="556"/>
      <c r="V183" s="556"/>
      <c r="W183" s="556"/>
      <c r="X183" s="556"/>
      <c r="Y183" s="557"/>
    </row>
    <row r="184" spans="1:25" x14ac:dyDescent="0.25">
      <c r="A184" s="13"/>
      <c r="B184" s="13"/>
      <c r="C184" s="13"/>
      <c r="E184" s="108">
        <f t="shared" si="13"/>
        <v>7</v>
      </c>
      <c r="F184" s="427" t="s">
        <v>27</v>
      </c>
      <c r="G184" s="617"/>
      <c r="H184" s="451">
        <f t="shared" si="12"/>
        <v>0</v>
      </c>
      <c r="I184" s="611"/>
      <c r="J184" s="611"/>
      <c r="K184" s="609"/>
      <c r="M184" s="456">
        <v>2151.2314342762875</v>
      </c>
      <c r="N184" s="604"/>
      <c r="O184" s="556"/>
      <c r="P184" s="556"/>
      <c r="Q184" s="556"/>
      <c r="R184" s="556"/>
      <c r="S184" s="556"/>
      <c r="T184" s="556"/>
      <c r="U184" s="556"/>
      <c r="V184" s="556"/>
      <c r="W184" s="556"/>
      <c r="X184" s="556"/>
      <c r="Y184" s="557"/>
    </row>
    <row r="185" spans="1:25" ht="15.75" thickBot="1" x14ac:dyDescent="0.3">
      <c r="A185" s="13"/>
      <c r="B185" s="13"/>
      <c r="C185" s="13"/>
      <c r="E185" s="399">
        <f t="shared" si="13"/>
        <v>8</v>
      </c>
      <c r="F185" s="428" t="s">
        <v>27</v>
      </c>
      <c r="G185" s="618"/>
      <c r="H185" s="452">
        <f t="shared" si="12"/>
        <v>0</v>
      </c>
      <c r="I185" s="611"/>
      <c r="J185" s="611"/>
      <c r="K185" s="609"/>
      <c r="M185" s="456">
        <v>269.41225429263523</v>
      </c>
      <c r="N185" s="604"/>
      <c r="O185" s="556"/>
      <c r="P185" s="556"/>
      <c r="Q185" s="556"/>
      <c r="R185" s="556"/>
      <c r="S185" s="556"/>
      <c r="T185" s="556"/>
      <c r="U185" s="556"/>
      <c r="V185" s="556"/>
      <c r="W185" s="556"/>
      <c r="X185" s="556"/>
      <c r="Y185" s="557"/>
    </row>
    <row r="186" spans="1:25" ht="15.75" thickTop="1" x14ac:dyDescent="0.25">
      <c r="C186" s="52"/>
      <c r="D186" s="52"/>
      <c r="E186" s="421">
        <v>3</v>
      </c>
      <c r="F186" s="429" t="str">
        <f>IFERROR((LOOKUP(E186,E178:E185,F178:F185)),"NO")</f>
        <v>SI</v>
      </c>
      <c r="G186" s="616" t="s">
        <v>192</v>
      </c>
      <c r="H186" s="453">
        <f t="shared" si="12"/>
        <v>1768.9710281856051</v>
      </c>
      <c r="I186" s="610">
        <f>SUM(H186:H188)</f>
        <v>2717.844376637654</v>
      </c>
      <c r="J186" s="610">
        <f>+J159</f>
        <v>2295</v>
      </c>
      <c r="K186" s="622" t="str">
        <f>IF((I186-J186)&gt;0,"SI","NO")</f>
        <v>SI</v>
      </c>
      <c r="M186" s="457">
        <f>IFERROR((LOOKUP(E186,E177:E184,H177:H184)),0)</f>
        <v>1768.9710281856051</v>
      </c>
      <c r="N186" s="604"/>
      <c r="O186" s="556"/>
      <c r="P186" s="556"/>
      <c r="Q186" s="556"/>
      <c r="R186" s="556"/>
      <c r="S186" s="556"/>
      <c r="T186" s="556"/>
      <c r="U186" s="556"/>
      <c r="V186" s="556"/>
      <c r="W186" s="556"/>
      <c r="X186" s="556"/>
      <c r="Y186" s="557"/>
    </row>
    <row r="187" spans="1:25" x14ac:dyDescent="0.25">
      <c r="E187" s="422">
        <v>4</v>
      </c>
      <c r="F187" s="62" t="str">
        <f>IFERROR((LOOKUP(E187,E178:E185,F178:F185)),"NO")</f>
        <v>SI</v>
      </c>
      <c r="G187" s="617"/>
      <c r="H187" s="452">
        <f t="shared" si="12"/>
        <v>684.54434424040653</v>
      </c>
      <c r="I187" s="611"/>
      <c r="J187" s="611"/>
      <c r="K187" s="623"/>
      <c r="M187" s="457">
        <f>IFERROR((LOOKUP(E187,E178:E185,H178:H185)),0)</f>
        <v>684.54434424040653</v>
      </c>
      <c r="N187" s="604"/>
      <c r="O187" s="556"/>
      <c r="P187" s="556"/>
      <c r="Q187" s="556"/>
      <c r="R187" s="556"/>
      <c r="S187" s="556"/>
      <c r="T187" s="556"/>
      <c r="U187" s="556"/>
      <c r="V187" s="556"/>
      <c r="W187" s="556"/>
      <c r="X187" s="556"/>
      <c r="Y187" s="557"/>
    </row>
    <row r="188" spans="1:25" ht="15.75" thickBot="1" x14ac:dyDescent="0.3">
      <c r="E188" s="423">
        <v>5</v>
      </c>
      <c r="F188" s="430" t="str">
        <f>IFERROR((LOOKUP(E188,E178:E185,F178:F185)),"NO")</f>
        <v>SI</v>
      </c>
      <c r="G188" s="618"/>
      <c r="H188" s="454">
        <f t="shared" si="12"/>
        <v>264.32900421164214</v>
      </c>
      <c r="I188" s="615"/>
      <c r="J188" s="615"/>
      <c r="K188" s="624"/>
      <c r="M188" s="457">
        <f>IFERROR((LOOKUP(E188,E178:E185,H178:H185)),0)</f>
        <v>264.32900421164214</v>
      </c>
      <c r="N188" s="604"/>
      <c r="O188" s="556"/>
      <c r="P188" s="556"/>
      <c r="Q188" s="556"/>
      <c r="R188" s="556"/>
      <c r="S188" s="556"/>
      <c r="T188" s="556"/>
      <c r="U188" s="556"/>
      <c r="V188" s="556"/>
      <c r="W188" s="556"/>
      <c r="X188" s="556"/>
      <c r="Y188" s="557"/>
    </row>
    <row r="189" spans="1:25" ht="46.5" thickTop="1" thickBot="1" x14ac:dyDescent="0.3">
      <c r="E189" s="400"/>
      <c r="F189" s="401"/>
      <c r="G189" s="402" t="s">
        <v>193</v>
      </c>
      <c r="H189" s="425">
        <v>3</v>
      </c>
      <c r="I189" s="397">
        <f>+H189</f>
        <v>3</v>
      </c>
      <c r="J189" s="397">
        <f>+J162</f>
        <v>1</v>
      </c>
      <c r="K189" s="398" t="str">
        <f>IF((I189)&gt;=J189,"SI","NO")</f>
        <v>SI</v>
      </c>
      <c r="M189" s="424"/>
      <c r="N189" s="619"/>
      <c r="O189" s="620"/>
      <c r="P189" s="620"/>
      <c r="Q189" s="620"/>
      <c r="R189" s="620"/>
      <c r="S189" s="620"/>
      <c r="T189" s="620"/>
      <c r="U189" s="620"/>
      <c r="V189" s="620"/>
      <c r="W189" s="620"/>
      <c r="X189" s="620"/>
      <c r="Y189" s="621"/>
    </row>
    <row r="191" spans="1:25" x14ac:dyDescent="0.25">
      <c r="A191" s="46" t="s">
        <v>29</v>
      </c>
      <c r="B191" s="47" t="str">
        <f>+CONSOLIDADO!A35</f>
        <v>UNION TEMPORAL PARA EL FORTALECIMIENTO COMUNITARIO EN LOS TERRITORIOS 2017</v>
      </c>
      <c r="C191" s="47"/>
      <c r="D191" s="47"/>
      <c r="E191" s="47"/>
      <c r="F191" s="47"/>
      <c r="G191" s="48"/>
      <c r="I191" s="466" t="s">
        <v>51</v>
      </c>
      <c r="J191" s="49" t="str">
        <f>IF(J193&gt;0,"NO HABILITADO","HABILITADO")</f>
        <v>NO HABILITADO</v>
      </c>
    </row>
    <row r="192" spans="1:25" x14ac:dyDescent="0.25">
      <c r="A192" s="46" t="str">
        <f>+A165</f>
        <v>GRUPO 1</v>
      </c>
      <c r="B192" s="470" t="str">
        <f>+B165</f>
        <v>SIERRA NEVADA-PERIJÁ-ZONA BANANERA</v>
      </c>
      <c r="C192" s="469"/>
      <c r="D192" s="469"/>
      <c r="E192" s="469"/>
      <c r="F192" s="469"/>
      <c r="G192" s="48"/>
      <c r="I192" s="46" t="s">
        <v>49</v>
      </c>
      <c r="J192" s="45">
        <f>COUNTIF(H198:H202,"SI")</f>
        <v>4</v>
      </c>
    </row>
    <row r="193" spans="1:25" x14ac:dyDescent="0.25">
      <c r="A193" s="46" t="s">
        <v>32</v>
      </c>
      <c r="B193" s="469" t="str">
        <f>+CONSOLIDADO!C36</f>
        <v>CORPORACIÓN MULTIACTIVAEMPRENDER ORGANIZACIÓN NO GUBERNAMENTAL</v>
      </c>
      <c r="C193" s="469"/>
      <c r="D193" s="469"/>
      <c r="E193" s="18"/>
      <c r="F193" s="76"/>
      <c r="G193" s="73"/>
      <c r="H193" s="1"/>
      <c r="I193" s="46" t="s">
        <v>50</v>
      </c>
      <c r="J193" s="45">
        <f>COUNTIF(H198:H202,"NO")</f>
        <v>1</v>
      </c>
    </row>
    <row r="194" spans="1:25" x14ac:dyDescent="0.25">
      <c r="A194" s="46" t="s">
        <v>33</v>
      </c>
      <c r="B194" s="469" t="str">
        <f>+CONSOLIDADO!C37</f>
        <v>FUNDACIÓN INNOVA CARIBE</v>
      </c>
      <c r="C194" s="469"/>
      <c r="D194" s="469"/>
      <c r="E194" s="1"/>
      <c r="F194" s="77"/>
      <c r="G194" s="73"/>
      <c r="H194" s="75"/>
      <c r="I194" s="46" t="s">
        <v>31</v>
      </c>
      <c r="J194" s="45">
        <f>COUNTIF(H198:H202,"N/A")</f>
        <v>0</v>
      </c>
    </row>
    <row r="195" spans="1:25" x14ac:dyDescent="0.25">
      <c r="A195" s="46" t="s">
        <v>34</v>
      </c>
      <c r="B195" s="469">
        <f>+CONSOLIDADO!C38</f>
        <v>0</v>
      </c>
      <c r="C195" s="469"/>
      <c r="D195" s="469"/>
      <c r="E195" s="1"/>
      <c r="F195" s="77"/>
      <c r="G195" s="73"/>
      <c r="H195" s="1"/>
      <c r="I195" s="48"/>
      <c r="J195" s="48"/>
      <c r="K195" s="48"/>
    </row>
    <row r="196" spans="1:25" ht="15.75" thickBot="1" x14ac:dyDescent="0.3">
      <c r="B196" s="51"/>
      <c r="C196" s="51"/>
      <c r="D196" s="51"/>
      <c r="E196" s="48"/>
      <c r="F196" s="48"/>
      <c r="G196" s="48"/>
      <c r="H196" s="48"/>
      <c r="I196" s="48"/>
      <c r="J196" s="48"/>
      <c r="K196" s="48"/>
    </row>
    <row r="197" spans="1:25" s="52" customFormat="1" ht="15.75" thickBot="1" x14ac:dyDescent="0.3">
      <c r="A197" s="447" t="s">
        <v>26</v>
      </c>
      <c r="B197" s="566" t="s">
        <v>42</v>
      </c>
      <c r="C197" s="566"/>
      <c r="D197" s="566"/>
      <c r="E197" s="566"/>
      <c r="F197" s="566"/>
      <c r="G197" s="566"/>
      <c r="H197" s="468" t="s">
        <v>47</v>
      </c>
    </row>
    <row r="198" spans="1:25" ht="30" customHeight="1" thickTop="1" x14ac:dyDescent="0.25">
      <c r="A198" s="445" t="s">
        <v>148</v>
      </c>
      <c r="B198" s="625" t="s">
        <v>73</v>
      </c>
      <c r="C198" s="625"/>
      <c r="D198" s="625"/>
      <c r="E198" s="625"/>
      <c r="F198" s="625"/>
      <c r="G198" s="625"/>
      <c r="H198" s="446" t="str">
        <f>+K205</f>
        <v>NO</v>
      </c>
    </row>
    <row r="199" spans="1:25" ht="45" customHeight="1" x14ac:dyDescent="0.25">
      <c r="A199" s="443" t="s">
        <v>149</v>
      </c>
      <c r="B199" s="626" t="s">
        <v>74</v>
      </c>
      <c r="C199" s="626"/>
      <c r="D199" s="626"/>
      <c r="E199" s="626"/>
      <c r="F199" s="626"/>
      <c r="G199" s="626"/>
      <c r="H199" s="442" t="str">
        <f>+K213</f>
        <v>SI</v>
      </c>
    </row>
    <row r="200" spans="1:25" ht="64.5" customHeight="1" x14ac:dyDescent="0.25">
      <c r="A200" s="443" t="s">
        <v>150</v>
      </c>
      <c r="B200" s="605" t="s">
        <v>75</v>
      </c>
      <c r="C200" s="605"/>
      <c r="D200" s="605"/>
      <c r="E200" s="605"/>
      <c r="F200" s="605"/>
      <c r="G200" s="605"/>
      <c r="H200" s="442" t="str">
        <f>+K216</f>
        <v>SI</v>
      </c>
    </row>
    <row r="201" spans="1:25" x14ac:dyDescent="0.25">
      <c r="A201" s="444" t="s">
        <v>70</v>
      </c>
      <c r="B201" s="606"/>
      <c r="C201" s="606"/>
      <c r="D201" s="606"/>
      <c r="E201" s="606"/>
      <c r="F201" s="606"/>
      <c r="G201" s="606"/>
      <c r="H201" s="448" t="s">
        <v>28</v>
      </c>
    </row>
    <row r="202" spans="1:25" ht="15.75" thickBot="1" x14ac:dyDescent="0.3">
      <c r="A202" s="403" t="s">
        <v>151</v>
      </c>
      <c r="B202" s="607"/>
      <c r="C202" s="607"/>
      <c r="D202" s="607"/>
      <c r="E202" s="607"/>
      <c r="F202" s="607"/>
      <c r="G202" s="607"/>
      <c r="H202" s="449" t="s">
        <v>28</v>
      </c>
    </row>
    <row r="203" spans="1:25" ht="15.75" thickBot="1" x14ac:dyDescent="0.3"/>
    <row r="204" spans="1:25" ht="45.75" thickBot="1" x14ac:dyDescent="0.3">
      <c r="A204" s="13"/>
      <c r="B204" s="13"/>
      <c r="C204" s="13"/>
      <c r="E204" s="111" t="s">
        <v>71</v>
      </c>
      <c r="F204" s="467" t="s">
        <v>190</v>
      </c>
      <c r="G204" s="467" t="s">
        <v>152</v>
      </c>
      <c r="H204" s="438" t="s">
        <v>196</v>
      </c>
      <c r="I204" s="114" t="s">
        <v>90</v>
      </c>
      <c r="J204" s="114" t="s">
        <v>89</v>
      </c>
      <c r="K204" s="468" t="s">
        <v>72</v>
      </c>
      <c r="M204" s="441" t="s">
        <v>195</v>
      </c>
      <c r="N204" s="598" t="s">
        <v>194</v>
      </c>
      <c r="O204" s="599"/>
      <c r="P204" s="599"/>
      <c r="Q204" s="599"/>
      <c r="R204" s="599"/>
      <c r="S204" s="599"/>
      <c r="T204" s="599"/>
      <c r="U204" s="599"/>
      <c r="V204" s="599"/>
      <c r="W204" s="599"/>
      <c r="X204" s="599"/>
      <c r="Y204" s="600"/>
    </row>
    <row r="205" spans="1:25" ht="15.75" thickTop="1" x14ac:dyDescent="0.25">
      <c r="A205" s="13"/>
      <c r="B205" s="13"/>
      <c r="C205" s="13"/>
      <c r="E205" s="110">
        <v>1</v>
      </c>
      <c r="F205" s="426" t="s">
        <v>27</v>
      </c>
      <c r="G205" s="616" t="s">
        <v>191</v>
      </c>
      <c r="H205" s="450">
        <f t="shared" ref="H205:H215" si="14">IF(F205="SI",M205,0)</f>
        <v>0</v>
      </c>
      <c r="I205" s="610">
        <f>SUM(H205:H212)</f>
        <v>4507.4195118182179</v>
      </c>
      <c r="J205" s="610">
        <f>+J178</f>
        <v>6119</v>
      </c>
      <c r="K205" s="608" t="str">
        <f>IF((I205-J205)&gt;0,"SI","NO")</f>
        <v>NO</v>
      </c>
      <c r="M205" s="455">
        <v>1768.9710281856051</v>
      </c>
      <c r="N205" s="601"/>
      <c r="O205" s="602"/>
      <c r="P205" s="602"/>
      <c r="Q205" s="602"/>
      <c r="R205" s="602"/>
      <c r="S205" s="602"/>
      <c r="T205" s="602"/>
      <c r="U205" s="602"/>
      <c r="V205" s="602"/>
      <c r="W205" s="602"/>
      <c r="X205" s="602"/>
      <c r="Y205" s="603"/>
    </row>
    <row r="206" spans="1:25" x14ac:dyDescent="0.25">
      <c r="A206" s="13"/>
      <c r="B206" s="13"/>
      <c r="C206" s="13"/>
      <c r="E206" s="108">
        <f>+E205+1</f>
        <v>2</v>
      </c>
      <c r="F206" s="427" t="s">
        <v>28</v>
      </c>
      <c r="G206" s="617"/>
      <c r="H206" s="451">
        <f t="shared" si="14"/>
        <v>1789.5751351805638</v>
      </c>
      <c r="I206" s="611"/>
      <c r="J206" s="611"/>
      <c r="K206" s="609"/>
      <c r="M206" s="456">
        <v>1789.5751351805638</v>
      </c>
      <c r="N206" s="604"/>
      <c r="O206" s="556"/>
      <c r="P206" s="556"/>
      <c r="Q206" s="556"/>
      <c r="R206" s="556"/>
      <c r="S206" s="556"/>
      <c r="T206" s="556"/>
      <c r="U206" s="556"/>
      <c r="V206" s="556"/>
      <c r="W206" s="556"/>
      <c r="X206" s="556"/>
      <c r="Y206" s="557"/>
    </row>
    <row r="207" spans="1:25" x14ac:dyDescent="0.25">
      <c r="A207" s="13"/>
      <c r="B207" s="13"/>
      <c r="C207" s="13"/>
      <c r="E207" s="108">
        <f t="shared" ref="E207:E212" si="15">+E206+1</f>
        <v>3</v>
      </c>
      <c r="F207" s="427" t="s">
        <v>28</v>
      </c>
      <c r="G207" s="617"/>
      <c r="H207" s="451">
        <f t="shared" si="14"/>
        <v>1768.9710281856051</v>
      </c>
      <c r="I207" s="611"/>
      <c r="J207" s="611"/>
      <c r="K207" s="609"/>
      <c r="M207" s="456">
        <v>1768.9710281856051</v>
      </c>
      <c r="N207" s="604"/>
      <c r="O207" s="556"/>
      <c r="P207" s="556"/>
      <c r="Q207" s="556"/>
      <c r="R207" s="556"/>
      <c r="S207" s="556"/>
      <c r="T207" s="556"/>
      <c r="U207" s="556"/>
      <c r="V207" s="556"/>
      <c r="W207" s="556"/>
      <c r="X207" s="556"/>
      <c r="Y207" s="557"/>
    </row>
    <row r="208" spans="1:25" x14ac:dyDescent="0.25">
      <c r="A208" s="13"/>
      <c r="B208" s="13"/>
      <c r="C208" s="13"/>
      <c r="E208" s="108">
        <f t="shared" si="15"/>
        <v>4</v>
      </c>
      <c r="F208" s="427" t="s">
        <v>28</v>
      </c>
      <c r="G208" s="617"/>
      <c r="H208" s="451">
        <f t="shared" si="14"/>
        <v>684.54434424040653</v>
      </c>
      <c r="I208" s="611"/>
      <c r="J208" s="611"/>
      <c r="K208" s="609"/>
      <c r="M208" s="456">
        <v>684.54434424040653</v>
      </c>
      <c r="N208" s="604"/>
      <c r="O208" s="556"/>
      <c r="P208" s="556"/>
      <c r="Q208" s="556"/>
      <c r="R208" s="556"/>
      <c r="S208" s="556"/>
      <c r="T208" s="556"/>
      <c r="U208" s="556"/>
      <c r="V208" s="556"/>
      <c r="W208" s="556"/>
      <c r="X208" s="556"/>
      <c r="Y208" s="557"/>
    </row>
    <row r="209" spans="1:25" x14ac:dyDescent="0.25">
      <c r="A209" s="13"/>
      <c r="B209" s="13"/>
      <c r="C209" s="13"/>
      <c r="E209" s="108">
        <f t="shared" si="15"/>
        <v>5</v>
      </c>
      <c r="F209" s="427" t="s">
        <v>28</v>
      </c>
      <c r="G209" s="617"/>
      <c r="H209" s="451">
        <f t="shared" si="14"/>
        <v>264.32900421164214</v>
      </c>
      <c r="I209" s="611"/>
      <c r="J209" s="611"/>
      <c r="K209" s="609"/>
      <c r="M209" s="456">
        <v>264.32900421164214</v>
      </c>
      <c r="N209" s="604"/>
      <c r="O209" s="556"/>
      <c r="P209" s="556"/>
      <c r="Q209" s="556"/>
      <c r="R209" s="556"/>
      <c r="S209" s="556"/>
      <c r="T209" s="556"/>
      <c r="U209" s="556"/>
      <c r="V209" s="556"/>
      <c r="W209" s="556"/>
      <c r="X209" s="556"/>
      <c r="Y209" s="557"/>
    </row>
    <row r="210" spans="1:25" x14ac:dyDescent="0.25">
      <c r="A210" s="13"/>
      <c r="B210" s="13"/>
      <c r="C210" s="13"/>
      <c r="E210" s="108">
        <f t="shared" si="15"/>
        <v>6</v>
      </c>
      <c r="F210" s="427" t="s">
        <v>27</v>
      </c>
      <c r="G210" s="617"/>
      <c r="H210" s="451">
        <f t="shared" si="14"/>
        <v>0</v>
      </c>
      <c r="I210" s="611"/>
      <c r="J210" s="611"/>
      <c r="K210" s="609"/>
      <c r="M210" s="456">
        <v>4947.6967454999685</v>
      </c>
      <c r="N210" s="604"/>
      <c r="O210" s="556"/>
      <c r="P210" s="556"/>
      <c r="Q210" s="556"/>
      <c r="R210" s="556"/>
      <c r="S210" s="556"/>
      <c r="T210" s="556"/>
      <c r="U210" s="556"/>
      <c r="V210" s="556"/>
      <c r="W210" s="556"/>
      <c r="X210" s="556"/>
      <c r="Y210" s="557"/>
    </row>
    <row r="211" spans="1:25" x14ac:dyDescent="0.25">
      <c r="A211" s="13"/>
      <c r="B211" s="13"/>
      <c r="C211" s="13"/>
      <c r="E211" s="108">
        <f t="shared" si="15"/>
        <v>7</v>
      </c>
      <c r="F211" s="427" t="s">
        <v>27</v>
      </c>
      <c r="G211" s="617"/>
      <c r="H211" s="451">
        <f t="shared" si="14"/>
        <v>0</v>
      </c>
      <c r="I211" s="611"/>
      <c r="J211" s="611"/>
      <c r="K211" s="609"/>
      <c r="M211" s="456">
        <v>2151.2314342762875</v>
      </c>
      <c r="N211" s="604"/>
      <c r="O211" s="556"/>
      <c r="P211" s="556"/>
      <c r="Q211" s="556"/>
      <c r="R211" s="556"/>
      <c r="S211" s="556"/>
      <c r="T211" s="556"/>
      <c r="U211" s="556"/>
      <c r="V211" s="556"/>
      <c r="W211" s="556"/>
      <c r="X211" s="556"/>
      <c r="Y211" s="557"/>
    </row>
    <row r="212" spans="1:25" ht="15.75" thickBot="1" x14ac:dyDescent="0.3">
      <c r="A212" s="13"/>
      <c r="B212" s="13"/>
      <c r="C212" s="13"/>
      <c r="E212" s="399">
        <f t="shared" si="15"/>
        <v>8</v>
      </c>
      <c r="F212" s="428" t="s">
        <v>27</v>
      </c>
      <c r="G212" s="618"/>
      <c r="H212" s="452">
        <f t="shared" si="14"/>
        <v>0</v>
      </c>
      <c r="I212" s="611"/>
      <c r="J212" s="611"/>
      <c r="K212" s="609"/>
      <c r="M212" s="456">
        <v>269.41225429263523</v>
      </c>
      <c r="N212" s="604"/>
      <c r="O212" s="556"/>
      <c r="P212" s="556"/>
      <c r="Q212" s="556"/>
      <c r="R212" s="556"/>
      <c r="S212" s="556"/>
      <c r="T212" s="556"/>
      <c r="U212" s="556"/>
      <c r="V212" s="556"/>
      <c r="W212" s="556"/>
      <c r="X212" s="556"/>
      <c r="Y212" s="557"/>
    </row>
    <row r="213" spans="1:25" ht="15.75" thickTop="1" x14ac:dyDescent="0.25">
      <c r="C213" s="52"/>
      <c r="D213" s="52"/>
      <c r="E213" s="421">
        <v>3</v>
      </c>
      <c r="F213" s="429" t="str">
        <f>IFERROR((LOOKUP(E213,E205:E212,F205:F212)),"NO")</f>
        <v>SI</v>
      </c>
      <c r="G213" s="616" t="s">
        <v>192</v>
      </c>
      <c r="H213" s="453">
        <f t="shared" si="14"/>
        <v>1768.9710281856051</v>
      </c>
      <c r="I213" s="610">
        <f>SUM(H213:H215)</f>
        <v>2717.844376637654</v>
      </c>
      <c r="J213" s="610">
        <f>+J186</f>
        <v>2295</v>
      </c>
      <c r="K213" s="622" t="str">
        <f>IF((I213-J213)&gt;0,"SI","NO")</f>
        <v>SI</v>
      </c>
      <c r="M213" s="457">
        <f>IFERROR((LOOKUP(E213,E204:E211,H204:H211)),0)</f>
        <v>1768.9710281856051</v>
      </c>
      <c r="N213" s="604"/>
      <c r="O213" s="556"/>
      <c r="P213" s="556"/>
      <c r="Q213" s="556"/>
      <c r="R213" s="556"/>
      <c r="S213" s="556"/>
      <c r="T213" s="556"/>
      <c r="U213" s="556"/>
      <c r="V213" s="556"/>
      <c r="W213" s="556"/>
      <c r="X213" s="556"/>
      <c r="Y213" s="557"/>
    </row>
    <row r="214" spans="1:25" x14ac:dyDescent="0.25">
      <c r="E214" s="422">
        <v>4</v>
      </c>
      <c r="F214" s="62" t="str">
        <f>IFERROR((LOOKUP(E214,E205:E212,F205:F212)),"NO")</f>
        <v>SI</v>
      </c>
      <c r="G214" s="617"/>
      <c r="H214" s="452">
        <f t="shared" si="14"/>
        <v>684.54434424040653</v>
      </c>
      <c r="I214" s="611"/>
      <c r="J214" s="611"/>
      <c r="K214" s="623"/>
      <c r="M214" s="457">
        <f>IFERROR((LOOKUP(E214,E205:E212,H205:H212)),0)</f>
        <v>684.54434424040653</v>
      </c>
      <c r="N214" s="604"/>
      <c r="O214" s="556"/>
      <c r="P214" s="556"/>
      <c r="Q214" s="556"/>
      <c r="R214" s="556"/>
      <c r="S214" s="556"/>
      <c r="T214" s="556"/>
      <c r="U214" s="556"/>
      <c r="V214" s="556"/>
      <c r="W214" s="556"/>
      <c r="X214" s="556"/>
      <c r="Y214" s="557"/>
    </row>
    <row r="215" spans="1:25" ht="15.75" thickBot="1" x14ac:dyDescent="0.3">
      <c r="E215" s="423">
        <v>5</v>
      </c>
      <c r="F215" s="430" t="str">
        <f>IFERROR((LOOKUP(E215,E205:E212,F205:F212)),"NO")</f>
        <v>SI</v>
      </c>
      <c r="G215" s="618"/>
      <c r="H215" s="454">
        <f t="shared" si="14"/>
        <v>264.32900421164214</v>
      </c>
      <c r="I215" s="615"/>
      <c r="J215" s="615"/>
      <c r="K215" s="624"/>
      <c r="M215" s="457">
        <f>IFERROR((LOOKUP(E215,E205:E212,H205:H212)),0)</f>
        <v>264.32900421164214</v>
      </c>
      <c r="N215" s="604"/>
      <c r="O215" s="556"/>
      <c r="P215" s="556"/>
      <c r="Q215" s="556"/>
      <c r="R215" s="556"/>
      <c r="S215" s="556"/>
      <c r="T215" s="556"/>
      <c r="U215" s="556"/>
      <c r="V215" s="556"/>
      <c r="W215" s="556"/>
      <c r="X215" s="556"/>
      <c r="Y215" s="557"/>
    </row>
    <row r="216" spans="1:25" ht="46.5" thickTop="1" thickBot="1" x14ac:dyDescent="0.3">
      <c r="E216" s="400"/>
      <c r="F216" s="401"/>
      <c r="G216" s="402" t="s">
        <v>193</v>
      </c>
      <c r="H216" s="425">
        <v>3</v>
      </c>
      <c r="I216" s="397">
        <f>+H216</f>
        <v>3</v>
      </c>
      <c r="J216" s="397">
        <f>+J189</f>
        <v>1</v>
      </c>
      <c r="K216" s="398" t="str">
        <f>IF((I216)&gt;=J216,"SI","NO")</f>
        <v>SI</v>
      </c>
      <c r="M216" s="424"/>
      <c r="N216" s="619"/>
      <c r="O216" s="620"/>
      <c r="P216" s="620"/>
      <c r="Q216" s="620"/>
      <c r="R216" s="620"/>
      <c r="S216" s="620"/>
      <c r="T216" s="620"/>
      <c r="U216" s="620"/>
      <c r="V216" s="620"/>
      <c r="W216" s="620"/>
      <c r="X216" s="620"/>
      <c r="Y216" s="621"/>
    </row>
    <row r="218" spans="1:25" x14ac:dyDescent="0.25">
      <c r="A218" s="46" t="s">
        <v>29</v>
      </c>
      <c r="B218" s="47" t="str">
        <f>+CONSOLIDADO!A39</f>
        <v>UNION TEMPORAL RENACER 2017</v>
      </c>
      <c r="C218" s="47"/>
      <c r="D218" s="47"/>
      <c r="E218" s="47"/>
      <c r="F218" s="47"/>
      <c r="G218" s="48"/>
      <c r="I218" s="466" t="s">
        <v>51</v>
      </c>
      <c r="J218" s="49" t="str">
        <f>IF(J220&gt;0,"NO HABILITADO","HABILITADO")</f>
        <v>NO HABILITADO</v>
      </c>
    </row>
    <row r="219" spans="1:25" x14ac:dyDescent="0.25">
      <c r="A219" s="46" t="str">
        <f>+A192</f>
        <v>GRUPO 1</v>
      </c>
      <c r="B219" s="470" t="str">
        <f>+B192</f>
        <v>SIERRA NEVADA-PERIJÁ-ZONA BANANERA</v>
      </c>
      <c r="C219" s="469"/>
      <c r="D219" s="469"/>
      <c r="E219" s="469"/>
      <c r="F219" s="469"/>
      <c r="G219" s="48"/>
      <c r="I219" s="46" t="s">
        <v>49</v>
      </c>
      <c r="J219" s="45">
        <f>COUNTIF(H225:H229,"SI")</f>
        <v>4</v>
      </c>
    </row>
    <row r="220" spans="1:25" x14ac:dyDescent="0.25">
      <c r="A220" s="46" t="s">
        <v>32</v>
      </c>
      <c r="B220" s="469" t="str">
        <f>+CONSOLIDADO!C40</f>
        <v>DISCEP SAS</v>
      </c>
      <c r="C220" s="469"/>
      <c r="D220" s="469"/>
      <c r="E220" s="18"/>
      <c r="F220" s="76"/>
      <c r="G220" s="73"/>
      <c r="H220" s="1"/>
      <c r="I220" s="46" t="s">
        <v>50</v>
      </c>
      <c r="J220" s="45">
        <f>COUNTIF(H225:H229,"NO")</f>
        <v>1</v>
      </c>
    </row>
    <row r="221" spans="1:25" x14ac:dyDescent="0.25">
      <c r="A221" s="46" t="s">
        <v>33</v>
      </c>
      <c r="B221" s="469" t="str">
        <f>+CONSOLIDADO!C41</f>
        <v>FUNDACIÓN PARA EL DESARROLLO DE LA JAGUA</v>
      </c>
      <c r="C221" s="469"/>
      <c r="D221" s="469"/>
      <c r="E221" s="1"/>
      <c r="F221" s="77"/>
      <c r="G221" s="73"/>
      <c r="H221" s="75"/>
      <c r="I221" s="46" t="s">
        <v>31</v>
      </c>
      <c r="J221" s="45">
        <f>COUNTIF(H225:H229,"N/A")</f>
        <v>0</v>
      </c>
    </row>
    <row r="222" spans="1:25" x14ac:dyDescent="0.25">
      <c r="A222" s="46" t="s">
        <v>34</v>
      </c>
      <c r="B222" s="469">
        <f>+CONSOLIDADO!C42</f>
        <v>0</v>
      </c>
      <c r="C222" s="469"/>
      <c r="D222" s="469"/>
      <c r="E222" s="1"/>
      <c r="F222" s="77"/>
      <c r="G222" s="73"/>
      <c r="H222" s="1"/>
      <c r="I222" s="48"/>
      <c r="J222" s="48"/>
      <c r="K222" s="48"/>
    </row>
    <row r="223" spans="1:25" ht="15.75" thickBot="1" x14ac:dyDescent="0.3">
      <c r="B223" s="51"/>
      <c r="C223" s="51"/>
      <c r="D223" s="51"/>
      <c r="E223" s="48"/>
      <c r="F223" s="48"/>
      <c r="G223" s="48"/>
      <c r="H223" s="48"/>
      <c r="I223" s="48"/>
      <c r="J223" s="48"/>
      <c r="K223" s="48"/>
    </row>
    <row r="224" spans="1:25" s="52" customFormat="1" ht="15.75" thickBot="1" x14ac:dyDescent="0.3">
      <c r="A224" s="447" t="s">
        <v>26</v>
      </c>
      <c r="B224" s="566" t="s">
        <v>42</v>
      </c>
      <c r="C224" s="566"/>
      <c r="D224" s="566"/>
      <c r="E224" s="566"/>
      <c r="F224" s="566"/>
      <c r="G224" s="566"/>
      <c r="H224" s="468" t="s">
        <v>47</v>
      </c>
    </row>
    <row r="225" spans="1:25" ht="30" customHeight="1" thickTop="1" x14ac:dyDescent="0.25">
      <c r="A225" s="445" t="s">
        <v>148</v>
      </c>
      <c r="B225" s="625" t="s">
        <v>73</v>
      </c>
      <c r="C225" s="625"/>
      <c r="D225" s="625"/>
      <c r="E225" s="625"/>
      <c r="F225" s="625"/>
      <c r="G225" s="625"/>
      <c r="H225" s="446" t="str">
        <f>+K232</f>
        <v>NO</v>
      </c>
    </row>
    <row r="226" spans="1:25" ht="45" customHeight="1" x14ac:dyDescent="0.25">
      <c r="A226" s="443" t="s">
        <v>149</v>
      </c>
      <c r="B226" s="626" t="s">
        <v>74</v>
      </c>
      <c r="C226" s="626"/>
      <c r="D226" s="626"/>
      <c r="E226" s="626"/>
      <c r="F226" s="626"/>
      <c r="G226" s="626"/>
      <c r="H226" s="442" t="str">
        <f>+K240</f>
        <v>SI</v>
      </c>
    </row>
    <row r="227" spans="1:25" ht="64.5" customHeight="1" x14ac:dyDescent="0.25">
      <c r="A227" s="443" t="s">
        <v>150</v>
      </c>
      <c r="B227" s="605" t="s">
        <v>75</v>
      </c>
      <c r="C227" s="605"/>
      <c r="D227" s="605"/>
      <c r="E227" s="605"/>
      <c r="F227" s="605"/>
      <c r="G227" s="605"/>
      <c r="H227" s="442" t="str">
        <f>+K243</f>
        <v>SI</v>
      </c>
    </row>
    <row r="228" spans="1:25" x14ac:dyDescent="0.25">
      <c r="A228" s="444" t="s">
        <v>70</v>
      </c>
      <c r="B228" s="606"/>
      <c r="C228" s="606"/>
      <c r="D228" s="606"/>
      <c r="E228" s="606"/>
      <c r="F228" s="606"/>
      <c r="G228" s="606"/>
      <c r="H228" s="448" t="s">
        <v>28</v>
      </c>
    </row>
    <row r="229" spans="1:25" ht="15.75" thickBot="1" x14ac:dyDescent="0.3">
      <c r="A229" s="403" t="s">
        <v>151</v>
      </c>
      <c r="B229" s="607"/>
      <c r="C229" s="607"/>
      <c r="D229" s="607"/>
      <c r="E229" s="607"/>
      <c r="F229" s="607"/>
      <c r="G229" s="607"/>
      <c r="H229" s="449" t="s">
        <v>28</v>
      </c>
    </row>
    <row r="230" spans="1:25" ht="15.75" thickBot="1" x14ac:dyDescent="0.3"/>
    <row r="231" spans="1:25" ht="45.75" thickBot="1" x14ac:dyDescent="0.3">
      <c r="A231" s="13"/>
      <c r="B231" s="13"/>
      <c r="C231" s="13"/>
      <c r="E231" s="111" t="s">
        <v>71</v>
      </c>
      <c r="F231" s="467" t="s">
        <v>190</v>
      </c>
      <c r="G231" s="467" t="s">
        <v>152</v>
      </c>
      <c r="H231" s="438" t="s">
        <v>196</v>
      </c>
      <c r="I231" s="114" t="s">
        <v>90</v>
      </c>
      <c r="J231" s="114" t="s">
        <v>89</v>
      </c>
      <c r="K231" s="468" t="s">
        <v>72</v>
      </c>
      <c r="M231" s="441" t="s">
        <v>195</v>
      </c>
      <c r="N231" s="598" t="s">
        <v>194</v>
      </c>
      <c r="O231" s="599"/>
      <c r="P231" s="599"/>
      <c r="Q231" s="599"/>
      <c r="R231" s="599"/>
      <c r="S231" s="599"/>
      <c r="T231" s="599"/>
      <c r="U231" s="599"/>
      <c r="V231" s="599"/>
      <c r="W231" s="599"/>
      <c r="X231" s="599"/>
      <c r="Y231" s="600"/>
    </row>
    <row r="232" spans="1:25" ht="15.75" thickTop="1" x14ac:dyDescent="0.25">
      <c r="A232" s="13"/>
      <c r="B232" s="13"/>
      <c r="C232" s="13"/>
      <c r="E232" s="110">
        <v>1</v>
      </c>
      <c r="F232" s="426" t="s">
        <v>27</v>
      </c>
      <c r="G232" s="616" t="s">
        <v>191</v>
      </c>
      <c r="H232" s="450">
        <f t="shared" ref="H232:H242" si="16">IF(F232="SI",M232,0)</f>
        <v>0</v>
      </c>
      <c r="I232" s="610">
        <f>SUM(H232:H239)</f>
        <v>4507.4195118182179</v>
      </c>
      <c r="J232" s="610">
        <f>+J205</f>
        <v>6119</v>
      </c>
      <c r="K232" s="608" t="str">
        <f>IF((I232-J232)&gt;0,"SI","NO")</f>
        <v>NO</v>
      </c>
      <c r="M232" s="455">
        <v>1768.9710281856051</v>
      </c>
      <c r="N232" s="601"/>
      <c r="O232" s="602"/>
      <c r="P232" s="602"/>
      <c r="Q232" s="602"/>
      <c r="R232" s="602"/>
      <c r="S232" s="602"/>
      <c r="T232" s="602"/>
      <c r="U232" s="602"/>
      <c r="V232" s="602"/>
      <c r="W232" s="602"/>
      <c r="X232" s="602"/>
      <c r="Y232" s="603"/>
    </row>
    <row r="233" spans="1:25" x14ac:dyDescent="0.25">
      <c r="A233" s="13"/>
      <c r="B233" s="13"/>
      <c r="C233" s="13"/>
      <c r="E233" s="108">
        <f>+E232+1</f>
        <v>2</v>
      </c>
      <c r="F233" s="427" t="s">
        <v>28</v>
      </c>
      <c r="G233" s="617"/>
      <c r="H233" s="451">
        <f t="shared" si="16"/>
        <v>1789.5751351805638</v>
      </c>
      <c r="I233" s="611"/>
      <c r="J233" s="611"/>
      <c r="K233" s="609"/>
      <c r="M233" s="456">
        <v>1789.5751351805638</v>
      </c>
      <c r="N233" s="604"/>
      <c r="O233" s="556"/>
      <c r="P233" s="556"/>
      <c r="Q233" s="556"/>
      <c r="R233" s="556"/>
      <c r="S233" s="556"/>
      <c r="T233" s="556"/>
      <c r="U233" s="556"/>
      <c r="V233" s="556"/>
      <c r="W233" s="556"/>
      <c r="X233" s="556"/>
      <c r="Y233" s="557"/>
    </row>
    <row r="234" spans="1:25" x14ac:dyDescent="0.25">
      <c r="A234" s="13"/>
      <c r="B234" s="13"/>
      <c r="C234" s="13"/>
      <c r="E234" s="108">
        <f t="shared" ref="E234:E239" si="17">+E233+1</f>
        <v>3</v>
      </c>
      <c r="F234" s="427" t="s">
        <v>28</v>
      </c>
      <c r="G234" s="617"/>
      <c r="H234" s="451">
        <f t="shared" si="16"/>
        <v>1768.9710281856051</v>
      </c>
      <c r="I234" s="611"/>
      <c r="J234" s="611"/>
      <c r="K234" s="609"/>
      <c r="M234" s="456">
        <v>1768.9710281856051</v>
      </c>
      <c r="N234" s="604"/>
      <c r="O234" s="556"/>
      <c r="P234" s="556"/>
      <c r="Q234" s="556"/>
      <c r="R234" s="556"/>
      <c r="S234" s="556"/>
      <c r="T234" s="556"/>
      <c r="U234" s="556"/>
      <c r="V234" s="556"/>
      <c r="W234" s="556"/>
      <c r="X234" s="556"/>
      <c r="Y234" s="557"/>
    </row>
    <row r="235" spans="1:25" x14ac:dyDescent="0.25">
      <c r="A235" s="13"/>
      <c r="B235" s="13"/>
      <c r="C235" s="13"/>
      <c r="E235" s="108">
        <f t="shared" si="17"/>
        <v>4</v>
      </c>
      <c r="F235" s="427" t="s">
        <v>28</v>
      </c>
      <c r="G235" s="617"/>
      <c r="H235" s="451">
        <f t="shared" si="16"/>
        <v>684.54434424040653</v>
      </c>
      <c r="I235" s="611"/>
      <c r="J235" s="611"/>
      <c r="K235" s="609"/>
      <c r="M235" s="456">
        <v>684.54434424040653</v>
      </c>
      <c r="N235" s="604"/>
      <c r="O235" s="556"/>
      <c r="P235" s="556"/>
      <c r="Q235" s="556"/>
      <c r="R235" s="556"/>
      <c r="S235" s="556"/>
      <c r="T235" s="556"/>
      <c r="U235" s="556"/>
      <c r="V235" s="556"/>
      <c r="W235" s="556"/>
      <c r="X235" s="556"/>
      <c r="Y235" s="557"/>
    </row>
    <row r="236" spans="1:25" x14ac:dyDescent="0.25">
      <c r="A236" s="13"/>
      <c r="B236" s="13"/>
      <c r="C236" s="13"/>
      <c r="E236" s="108">
        <f t="shared" si="17"/>
        <v>5</v>
      </c>
      <c r="F236" s="427" t="s">
        <v>28</v>
      </c>
      <c r="G236" s="617"/>
      <c r="H236" s="451">
        <f t="shared" si="16"/>
        <v>264.32900421164214</v>
      </c>
      <c r="I236" s="611"/>
      <c r="J236" s="611"/>
      <c r="K236" s="609"/>
      <c r="M236" s="456">
        <v>264.32900421164214</v>
      </c>
      <c r="N236" s="604"/>
      <c r="O236" s="556"/>
      <c r="P236" s="556"/>
      <c r="Q236" s="556"/>
      <c r="R236" s="556"/>
      <c r="S236" s="556"/>
      <c r="T236" s="556"/>
      <c r="U236" s="556"/>
      <c r="V236" s="556"/>
      <c r="W236" s="556"/>
      <c r="X236" s="556"/>
      <c r="Y236" s="557"/>
    </row>
    <row r="237" spans="1:25" x14ac:dyDescent="0.25">
      <c r="A237" s="13"/>
      <c r="B237" s="13"/>
      <c r="C237" s="13"/>
      <c r="E237" s="108">
        <f t="shared" si="17"/>
        <v>6</v>
      </c>
      <c r="F237" s="427" t="s">
        <v>27</v>
      </c>
      <c r="G237" s="617"/>
      <c r="H237" s="451">
        <f t="shared" si="16"/>
        <v>0</v>
      </c>
      <c r="I237" s="611"/>
      <c r="J237" s="611"/>
      <c r="K237" s="609"/>
      <c r="M237" s="456">
        <v>4947.6967454999685</v>
      </c>
      <c r="N237" s="604"/>
      <c r="O237" s="556"/>
      <c r="P237" s="556"/>
      <c r="Q237" s="556"/>
      <c r="R237" s="556"/>
      <c r="S237" s="556"/>
      <c r="T237" s="556"/>
      <c r="U237" s="556"/>
      <c r="V237" s="556"/>
      <c r="W237" s="556"/>
      <c r="X237" s="556"/>
      <c r="Y237" s="557"/>
    </row>
    <row r="238" spans="1:25" x14ac:dyDescent="0.25">
      <c r="A238" s="13"/>
      <c r="B238" s="13"/>
      <c r="C238" s="13"/>
      <c r="E238" s="108">
        <f t="shared" si="17"/>
        <v>7</v>
      </c>
      <c r="F238" s="427" t="s">
        <v>27</v>
      </c>
      <c r="G238" s="617"/>
      <c r="H238" s="451">
        <f t="shared" si="16"/>
        <v>0</v>
      </c>
      <c r="I238" s="611"/>
      <c r="J238" s="611"/>
      <c r="K238" s="609"/>
      <c r="M238" s="456">
        <v>2151.2314342762875</v>
      </c>
      <c r="N238" s="604"/>
      <c r="O238" s="556"/>
      <c r="P238" s="556"/>
      <c r="Q238" s="556"/>
      <c r="R238" s="556"/>
      <c r="S238" s="556"/>
      <c r="T238" s="556"/>
      <c r="U238" s="556"/>
      <c r="V238" s="556"/>
      <c r="W238" s="556"/>
      <c r="X238" s="556"/>
      <c r="Y238" s="557"/>
    </row>
    <row r="239" spans="1:25" ht="15.75" thickBot="1" x14ac:dyDescent="0.3">
      <c r="A239" s="13"/>
      <c r="B239" s="13"/>
      <c r="C239" s="13"/>
      <c r="E239" s="399">
        <f t="shared" si="17"/>
        <v>8</v>
      </c>
      <c r="F239" s="428" t="s">
        <v>27</v>
      </c>
      <c r="G239" s="618"/>
      <c r="H239" s="452">
        <f t="shared" si="16"/>
        <v>0</v>
      </c>
      <c r="I239" s="611"/>
      <c r="J239" s="611"/>
      <c r="K239" s="609"/>
      <c r="M239" s="456">
        <v>269.41225429263523</v>
      </c>
      <c r="N239" s="604"/>
      <c r="O239" s="556"/>
      <c r="P239" s="556"/>
      <c r="Q239" s="556"/>
      <c r="R239" s="556"/>
      <c r="S239" s="556"/>
      <c r="T239" s="556"/>
      <c r="U239" s="556"/>
      <c r="V239" s="556"/>
      <c r="W239" s="556"/>
      <c r="X239" s="556"/>
      <c r="Y239" s="557"/>
    </row>
    <row r="240" spans="1:25" ht="15.75" thickTop="1" x14ac:dyDescent="0.25">
      <c r="C240" s="52"/>
      <c r="D240" s="52"/>
      <c r="E240" s="421">
        <v>3</v>
      </c>
      <c r="F240" s="429" t="str">
        <f>IFERROR((LOOKUP(E240,E232:E239,F232:F239)),"NO")</f>
        <v>SI</v>
      </c>
      <c r="G240" s="616" t="s">
        <v>192</v>
      </c>
      <c r="H240" s="453">
        <f t="shared" si="16"/>
        <v>1768.9710281856051</v>
      </c>
      <c r="I240" s="610">
        <f>SUM(H240:H242)</f>
        <v>2717.844376637654</v>
      </c>
      <c r="J240" s="610">
        <f>+J213</f>
        <v>2295</v>
      </c>
      <c r="K240" s="622" t="str">
        <f>IF((I240-J240)&gt;0,"SI","NO")</f>
        <v>SI</v>
      </c>
      <c r="M240" s="457">
        <f>IFERROR((LOOKUP(E240,E231:E238,H231:H238)),0)</f>
        <v>1768.9710281856051</v>
      </c>
      <c r="N240" s="604"/>
      <c r="O240" s="556"/>
      <c r="P240" s="556"/>
      <c r="Q240" s="556"/>
      <c r="R240" s="556"/>
      <c r="S240" s="556"/>
      <c r="T240" s="556"/>
      <c r="U240" s="556"/>
      <c r="V240" s="556"/>
      <c r="W240" s="556"/>
      <c r="X240" s="556"/>
      <c r="Y240" s="557"/>
    </row>
    <row r="241" spans="1:25" x14ac:dyDescent="0.25">
      <c r="E241" s="422">
        <v>4</v>
      </c>
      <c r="F241" s="62" t="str">
        <f>IFERROR((LOOKUP(E241,E232:E239,F232:F239)),"NO")</f>
        <v>SI</v>
      </c>
      <c r="G241" s="617"/>
      <c r="H241" s="452">
        <f t="shared" si="16"/>
        <v>684.54434424040653</v>
      </c>
      <c r="I241" s="611"/>
      <c r="J241" s="611"/>
      <c r="K241" s="623"/>
      <c r="M241" s="457">
        <f>IFERROR((LOOKUP(E241,E232:E239,H232:H239)),0)</f>
        <v>684.54434424040653</v>
      </c>
      <c r="N241" s="604"/>
      <c r="O241" s="556"/>
      <c r="P241" s="556"/>
      <c r="Q241" s="556"/>
      <c r="R241" s="556"/>
      <c r="S241" s="556"/>
      <c r="T241" s="556"/>
      <c r="U241" s="556"/>
      <c r="V241" s="556"/>
      <c r="W241" s="556"/>
      <c r="X241" s="556"/>
      <c r="Y241" s="557"/>
    </row>
    <row r="242" spans="1:25" ht="15.75" thickBot="1" x14ac:dyDescent="0.3">
      <c r="E242" s="423">
        <v>5</v>
      </c>
      <c r="F242" s="430" t="str">
        <f>IFERROR((LOOKUP(E242,E232:E239,F232:F239)),"NO")</f>
        <v>SI</v>
      </c>
      <c r="G242" s="618"/>
      <c r="H242" s="454">
        <f t="shared" si="16"/>
        <v>264.32900421164214</v>
      </c>
      <c r="I242" s="615"/>
      <c r="J242" s="615"/>
      <c r="K242" s="624"/>
      <c r="M242" s="457">
        <f>IFERROR((LOOKUP(E242,E232:E239,H232:H239)),0)</f>
        <v>264.32900421164214</v>
      </c>
      <c r="N242" s="604"/>
      <c r="O242" s="556"/>
      <c r="P242" s="556"/>
      <c r="Q242" s="556"/>
      <c r="R242" s="556"/>
      <c r="S242" s="556"/>
      <c r="T242" s="556"/>
      <c r="U242" s="556"/>
      <c r="V242" s="556"/>
      <c r="W242" s="556"/>
      <c r="X242" s="556"/>
      <c r="Y242" s="557"/>
    </row>
    <row r="243" spans="1:25" ht="46.5" thickTop="1" thickBot="1" x14ac:dyDescent="0.3">
      <c r="E243" s="400"/>
      <c r="F243" s="401"/>
      <c r="G243" s="402" t="s">
        <v>193</v>
      </c>
      <c r="H243" s="425">
        <v>3</v>
      </c>
      <c r="I243" s="397">
        <f>+H243</f>
        <v>3</v>
      </c>
      <c r="J243" s="397">
        <f>+J216</f>
        <v>1</v>
      </c>
      <c r="K243" s="398" t="str">
        <f>IF((I243)&gt;=J243,"SI","NO")</f>
        <v>SI</v>
      </c>
      <c r="M243" s="424"/>
      <c r="N243" s="619"/>
      <c r="O243" s="620"/>
      <c r="P243" s="620"/>
      <c r="Q243" s="620"/>
      <c r="R243" s="620"/>
      <c r="S243" s="620"/>
      <c r="T243" s="620"/>
      <c r="U243" s="620"/>
      <c r="V243" s="620"/>
      <c r="W243" s="620"/>
      <c r="X243" s="620"/>
      <c r="Y243" s="621"/>
    </row>
    <row r="245" spans="1:25" x14ac:dyDescent="0.25">
      <c r="A245" s="46" t="s">
        <v>29</v>
      </c>
      <c r="B245" s="47" t="str">
        <f>+CONSOLIDADO!A43</f>
        <v>WILLIAM ARTURO DAZA FLOREZ</v>
      </c>
      <c r="C245" s="47"/>
      <c r="D245" s="47"/>
      <c r="E245" s="47"/>
      <c r="F245" s="47"/>
      <c r="G245" s="48"/>
      <c r="I245" s="466" t="s">
        <v>51</v>
      </c>
      <c r="J245" s="49" t="str">
        <f>IF(J247&gt;0,"NO HABILITADO","HABILITADO")</f>
        <v>NO HABILITADO</v>
      </c>
    </row>
    <row r="246" spans="1:25" x14ac:dyDescent="0.25">
      <c r="A246" s="46" t="str">
        <f>+A219</f>
        <v>GRUPO 1</v>
      </c>
      <c r="B246" s="470" t="str">
        <f>+B219</f>
        <v>SIERRA NEVADA-PERIJÁ-ZONA BANANERA</v>
      </c>
      <c r="C246" s="469"/>
      <c r="D246" s="469"/>
      <c r="E246" s="469"/>
      <c r="F246" s="469"/>
      <c r="G246" s="48"/>
      <c r="I246" s="46" t="s">
        <v>49</v>
      </c>
      <c r="J246" s="45">
        <f>COUNTIF(H252:H256,"SI")</f>
        <v>4</v>
      </c>
    </row>
    <row r="247" spans="1:25" x14ac:dyDescent="0.25">
      <c r="A247" s="46" t="s">
        <v>32</v>
      </c>
      <c r="B247" s="469" t="str">
        <f>+CONSOLIDADO!C44</f>
        <v>WILIAM ARTURO DAZA</v>
      </c>
      <c r="C247" s="469"/>
      <c r="D247" s="469"/>
      <c r="E247" s="18"/>
      <c r="F247" s="76"/>
      <c r="G247" s="73"/>
      <c r="H247" s="1"/>
      <c r="I247" s="46" t="s">
        <v>50</v>
      </c>
      <c r="J247" s="45">
        <f>COUNTIF(H252:H256,"NO")</f>
        <v>1</v>
      </c>
    </row>
    <row r="248" spans="1:25" x14ac:dyDescent="0.25">
      <c r="A248" s="46" t="s">
        <v>33</v>
      </c>
      <c r="B248" s="469">
        <f>+CONSOLIDADO!C45</f>
        <v>0</v>
      </c>
      <c r="C248" s="469"/>
      <c r="D248" s="469"/>
      <c r="E248" s="1"/>
      <c r="F248" s="77"/>
      <c r="G248" s="73"/>
      <c r="H248" s="75"/>
      <c r="I248" s="46" t="s">
        <v>31</v>
      </c>
      <c r="J248" s="45">
        <f>COUNTIF(H252:H256,"N/A")</f>
        <v>0</v>
      </c>
    </row>
    <row r="249" spans="1:25" x14ac:dyDescent="0.25">
      <c r="A249" s="46" t="s">
        <v>34</v>
      </c>
      <c r="B249" s="469">
        <f>+CONSOLIDADO!C46</f>
        <v>0</v>
      </c>
      <c r="C249" s="469"/>
      <c r="D249" s="469"/>
      <c r="E249" s="1"/>
      <c r="F249" s="77"/>
      <c r="G249" s="73"/>
      <c r="H249" s="1"/>
      <c r="I249" s="48"/>
      <c r="J249" s="48"/>
      <c r="K249" s="48"/>
    </row>
    <row r="250" spans="1:25" ht="15.75" thickBot="1" x14ac:dyDescent="0.3">
      <c r="B250" s="51"/>
      <c r="C250" s="51"/>
      <c r="D250" s="51"/>
      <c r="E250" s="48"/>
      <c r="F250" s="48"/>
      <c r="G250" s="48"/>
      <c r="H250" s="48"/>
      <c r="I250" s="48"/>
      <c r="J250" s="48"/>
      <c r="K250" s="48"/>
    </row>
    <row r="251" spans="1:25" s="52" customFormat="1" ht="15.75" thickBot="1" x14ac:dyDescent="0.3">
      <c r="A251" s="447" t="s">
        <v>26</v>
      </c>
      <c r="B251" s="566" t="s">
        <v>42</v>
      </c>
      <c r="C251" s="566"/>
      <c r="D251" s="566"/>
      <c r="E251" s="566"/>
      <c r="F251" s="566"/>
      <c r="G251" s="566"/>
      <c r="H251" s="468" t="s">
        <v>47</v>
      </c>
    </row>
    <row r="252" spans="1:25" ht="30" customHeight="1" thickTop="1" x14ac:dyDescent="0.25">
      <c r="A252" s="445" t="s">
        <v>148</v>
      </c>
      <c r="B252" s="625" t="s">
        <v>73</v>
      </c>
      <c r="C252" s="625"/>
      <c r="D252" s="625"/>
      <c r="E252" s="625"/>
      <c r="F252" s="625"/>
      <c r="G252" s="625"/>
      <c r="H252" s="446" t="str">
        <f>+K259</f>
        <v>NO</v>
      </c>
    </row>
    <row r="253" spans="1:25" ht="45" customHeight="1" x14ac:dyDescent="0.25">
      <c r="A253" s="443" t="s">
        <v>149</v>
      </c>
      <c r="B253" s="626" t="s">
        <v>74</v>
      </c>
      <c r="C253" s="626"/>
      <c r="D253" s="626"/>
      <c r="E253" s="626"/>
      <c r="F253" s="626"/>
      <c r="G253" s="626"/>
      <c r="H253" s="442" t="str">
        <f>+K267</f>
        <v>SI</v>
      </c>
    </row>
    <row r="254" spans="1:25" ht="64.5" customHeight="1" x14ac:dyDescent="0.25">
      <c r="A254" s="443" t="s">
        <v>150</v>
      </c>
      <c r="B254" s="605" t="s">
        <v>75</v>
      </c>
      <c r="C254" s="605"/>
      <c r="D254" s="605"/>
      <c r="E254" s="605"/>
      <c r="F254" s="605"/>
      <c r="G254" s="605"/>
      <c r="H254" s="442" t="str">
        <f>+K270</f>
        <v>SI</v>
      </c>
    </row>
    <row r="255" spans="1:25" x14ac:dyDescent="0.25">
      <c r="A255" s="444" t="s">
        <v>70</v>
      </c>
      <c r="B255" s="606"/>
      <c r="C255" s="606"/>
      <c r="D255" s="606"/>
      <c r="E255" s="606"/>
      <c r="F255" s="606"/>
      <c r="G255" s="606"/>
      <c r="H255" s="448" t="s">
        <v>28</v>
      </c>
    </row>
    <row r="256" spans="1:25" ht="15.75" thickBot="1" x14ac:dyDescent="0.3">
      <c r="A256" s="403" t="s">
        <v>151</v>
      </c>
      <c r="B256" s="607"/>
      <c r="C256" s="607"/>
      <c r="D256" s="607"/>
      <c r="E256" s="607"/>
      <c r="F256" s="607"/>
      <c r="G256" s="607"/>
      <c r="H256" s="449" t="s">
        <v>28</v>
      </c>
    </row>
    <row r="257" spans="1:25" ht="15.75" thickBot="1" x14ac:dyDescent="0.3"/>
    <row r="258" spans="1:25" ht="45.75" thickBot="1" x14ac:dyDescent="0.3">
      <c r="A258" s="13"/>
      <c r="B258" s="13"/>
      <c r="C258" s="13"/>
      <c r="E258" s="111" t="s">
        <v>71</v>
      </c>
      <c r="F258" s="467" t="s">
        <v>190</v>
      </c>
      <c r="G258" s="467" t="s">
        <v>152</v>
      </c>
      <c r="H258" s="438" t="s">
        <v>196</v>
      </c>
      <c r="I258" s="114" t="s">
        <v>90</v>
      </c>
      <c r="J258" s="114" t="s">
        <v>89</v>
      </c>
      <c r="K258" s="468" t="s">
        <v>72</v>
      </c>
      <c r="M258" s="441" t="s">
        <v>195</v>
      </c>
      <c r="N258" s="598" t="s">
        <v>194</v>
      </c>
      <c r="O258" s="599"/>
      <c r="P258" s="599"/>
      <c r="Q258" s="599"/>
      <c r="R258" s="599"/>
      <c r="S258" s="599"/>
      <c r="T258" s="599"/>
      <c r="U258" s="599"/>
      <c r="V258" s="599"/>
      <c r="W258" s="599"/>
      <c r="X258" s="599"/>
      <c r="Y258" s="600"/>
    </row>
    <row r="259" spans="1:25" ht="15.75" thickTop="1" x14ac:dyDescent="0.25">
      <c r="A259" s="13"/>
      <c r="B259" s="13"/>
      <c r="C259" s="13"/>
      <c r="E259" s="110">
        <v>1</v>
      </c>
      <c r="F259" s="426" t="s">
        <v>27</v>
      </c>
      <c r="G259" s="616" t="s">
        <v>191</v>
      </c>
      <c r="H259" s="450">
        <f t="shared" ref="H259:H269" si="18">IF(F259="SI",M259,0)</f>
        <v>0</v>
      </c>
      <c r="I259" s="610">
        <f>SUM(H259:H266)</f>
        <v>4507.4195118182179</v>
      </c>
      <c r="J259" s="610">
        <f>+J232</f>
        <v>6119</v>
      </c>
      <c r="K259" s="608" t="str">
        <f>IF((I259-J259)&gt;0,"SI","NO")</f>
        <v>NO</v>
      </c>
      <c r="M259" s="455">
        <v>1768.9710281856051</v>
      </c>
      <c r="N259" s="601"/>
      <c r="O259" s="602"/>
      <c r="P259" s="602"/>
      <c r="Q259" s="602"/>
      <c r="R259" s="602"/>
      <c r="S259" s="602"/>
      <c r="T259" s="602"/>
      <c r="U259" s="602"/>
      <c r="V259" s="602"/>
      <c r="W259" s="602"/>
      <c r="X259" s="602"/>
      <c r="Y259" s="603"/>
    </row>
    <row r="260" spans="1:25" x14ac:dyDescent="0.25">
      <c r="A260" s="13"/>
      <c r="B260" s="13"/>
      <c r="C260" s="13"/>
      <c r="E260" s="108">
        <f>+E259+1</f>
        <v>2</v>
      </c>
      <c r="F260" s="427" t="s">
        <v>28</v>
      </c>
      <c r="G260" s="617"/>
      <c r="H260" s="451">
        <f t="shared" si="18"/>
        <v>1789.5751351805638</v>
      </c>
      <c r="I260" s="611"/>
      <c r="J260" s="611"/>
      <c r="K260" s="609"/>
      <c r="M260" s="456">
        <v>1789.5751351805638</v>
      </c>
      <c r="N260" s="604"/>
      <c r="O260" s="556"/>
      <c r="P260" s="556"/>
      <c r="Q260" s="556"/>
      <c r="R260" s="556"/>
      <c r="S260" s="556"/>
      <c r="T260" s="556"/>
      <c r="U260" s="556"/>
      <c r="V260" s="556"/>
      <c r="W260" s="556"/>
      <c r="X260" s="556"/>
      <c r="Y260" s="557"/>
    </row>
    <row r="261" spans="1:25" x14ac:dyDescent="0.25">
      <c r="A261" s="13"/>
      <c r="B261" s="13"/>
      <c r="C261" s="13"/>
      <c r="E261" s="108">
        <f t="shared" ref="E261:E266" si="19">+E260+1</f>
        <v>3</v>
      </c>
      <c r="F261" s="427" t="s">
        <v>28</v>
      </c>
      <c r="G261" s="617"/>
      <c r="H261" s="451">
        <f t="shared" si="18"/>
        <v>1768.9710281856051</v>
      </c>
      <c r="I261" s="611"/>
      <c r="J261" s="611"/>
      <c r="K261" s="609"/>
      <c r="M261" s="456">
        <v>1768.9710281856051</v>
      </c>
      <c r="N261" s="604"/>
      <c r="O261" s="556"/>
      <c r="P261" s="556"/>
      <c r="Q261" s="556"/>
      <c r="R261" s="556"/>
      <c r="S261" s="556"/>
      <c r="T261" s="556"/>
      <c r="U261" s="556"/>
      <c r="V261" s="556"/>
      <c r="W261" s="556"/>
      <c r="X261" s="556"/>
      <c r="Y261" s="557"/>
    </row>
    <row r="262" spans="1:25" x14ac:dyDescent="0.25">
      <c r="A262" s="13"/>
      <c r="B262" s="13"/>
      <c r="C262" s="13"/>
      <c r="E262" s="108">
        <f t="shared" si="19"/>
        <v>4</v>
      </c>
      <c r="F262" s="427" t="s">
        <v>28</v>
      </c>
      <c r="G262" s="617"/>
      <c r="H262" s="451">
        <f t="shared" si="18"/>
        <v>684.54434424040653</v>
      </c>
      <c r="I262" s="611"/>
      <c r="J262" s="611"/>
      <c r="K262" s="609"/>
      <c r="M262" s="456">
        <v>684.54434424040653</v>
      </c>
      <c r="N262" s="604"/>
      <c r="O262" s="556"/>
      <c r="P262" s="556"/>
      <c r="Q262" s="556"/>
      <c r="R262" s="556"/>
      <c r="S262" s="556"/>
      <c r="T262" s="556"/>
      <c r="U262" s="556"/>
      <c r="V262" s="556"/>
      <c r="W262" s="556"/>
      <c r="X262" s="556"/>
      <c r="Y262" s="557"/>
    </row>
    <row r="263" spans="1:25" x14ac:dyDescent="0.25">
      <c r="A263" s="13"/>
      <c r="B263" s="13"/>
      <c r="C263" s="13"/>
      <c r="E263" s="108">
        <f t="shared" si="19"/>
        <v>5</v>
      </c>
      <c r="F263" s="427" t="s">
        <v>28</v>
      </c>
      <c r="G263" s="617"/>
      <c r="H263" s="451">
        <f t="shared" si="18"/>
        <v>264.32900421164214</v>
      </c>
      <c r="I263" s="611"/>
      <c r="J263" s="611"/>
      <c r="K263" s="609"/>
      <c r="M263" s="456">
        <v>264.32900421164214</v>
      </c>
      <c r="N263" s="604"/>
      <c r="O263" s="556"/>
      <c r="P263" s="556"/>
      <c r="Q263" s="556"/>
      <c r="R263" s="556"/>
      <c r="S263" s="556"/>
      <c r="T263" s="556"/>
      <c r="U263" s="556"/>
      <c r="V263" s="556"/>
      <c r="W263" s="556"/>
      <c r="X263" s="556"/>
      <c r="Y263" s="557"/>
    </row>
    <row r="264" spans="1:25" x14ac:dyDescent="0.25">
      <c r="A264" s="13"/>
      <c r="B264" s="13"/>
      <c r="C264" s="13"/>
      <c r="E264" s="108">
        <f t="shared" si="19"/>
        <v>6</v>
      </c>
      <c r="F264" s="427" t="s">
        <v>27</v>
      </c>
      <c r="G264" s="617"/>
      <c r="H264" s="451">
        <f t="shared" si="18"/>
        <v>0</v>
      </c>
      <c r="I264" s="611"/>
      <c r="J264" s="611"/>
      <c r="K264" s="609"/>
      <c r="M264" s="456">
        <v>4947.6967454999685</v>
      </c>
      <c r="N264" s="604"/>
      <c r="O264" s="556"/>
      <c r="P264" s="556"/>
      <c r="Q264" s="556"/>
      <c r="R264" s="556"/>
      <c r="S264" s="556"/>
      <c r="T264" s="556"/>
      <c r="U264" s="556"/>
      <c r="V264" s="556"/>
      <c r="W264" s="556"/>
      <c r="X264" s="556"/>
      <c r="Y264" s="557"/>
    </row>
    <row r="265" spans="1:25" x14ac:dyDescent="0.25">
      <c r="A265" s="13"/>
      <c r="B265" s="13"/>
      <c r="C265" s="13"/>
      <c r="E265" s="108">
        <f t="shared" si="19"/>
        <v>7</v>
      </c>
      <c r="F265" s="427" t="s">
        <v>27</v>
      </c>
      <c r="G265" s="617"/>
      <c r="H265" s="451">
        <f t="shared" si="18"/>
        <v>0</v>
      </c>
      <c r="I265" s="611"/>
      <c r="J265" s="611"/>
      <c r="K265" s="609"/>
      <c r="M265" s="456">
        <v>2151.2314342762875</v>
      </c>
      <c r="N265" s="604"/>
      <c r="O265" s="556"/>
      <c r="P265" s="556"/>
      <c r="Q265" s="556"/>
      <c r="R265" s="556"/>
      <c r="S265" s="556"/>
      <c r="T265" s="556"/>
      <c r="U265" s="556"/>
      <c r="V265" s="556"/>
      <c r="W265" s="556"/>
      <c r="X265" s="556"/>
      <c r="Y265" s="557"/>
    </row>
    <row r="266" spans="1:25" ht="15.75" thickBot="1" x14ac:dyDescent="0.3">
      <c r="A266" s="13"/>
      <c r="B266" s="13"/>
      <c r="C266" s="13"/>
      <c r="E266" s="399">
        <f t="shared" si="19"/>
        <v>8</v>
      </c>
      <c r="F266" s="428" t="s">
        <v>27</v>
      </c>
      <c r="G266" s="618"/>
      <c r="H266" s="452">
        <f t="shared" si="18"/>
        <v>0</v>
      </c>
      <c r="I266" s="611"/>
      <c r="J266" s="611"/>
      <c r="K266" s="609"/>
      <c r="M266" s="456">
        <v>269.41225429263523</v>
      </c>
      <c r="N266" s="604"/>
      <c r="O266" s="556"/>
      <c r="P266" s="556"/>
      <c r="Q266" s="556"/>
      <c r="R266" s="556"/>
      <c r="S266" s="556"/>
      <c r="T266" s="556"/>
      <c r="U266" s="556"/>
      <c r="V266" s="556"/>
      <c r="W266" s="556"/>
      <c r="X266" s="556"/>
      <c r="Y266" s="557"/>
    </row>
    <row r="267" spans="1:25" ht="15.75" thickTop="1" x14ac:dyDescent="0.25">
      <c r="C267" s="52"/>
      <c r="D267" s="52"/>
      <c r="E267" s="421">
        <v>3</v>
      </c>
      <c r="F267" s="429" t="str">
        <f>IFERROR((LOOKUP(E267,E259:E266,F259:F266)),"NO")</f>
        <v>SI</v>
      </c>
      <c r="G267" s="616" t="s">
        <v>192</v>
      </c>
      <c r="H267" s="453">
        <f t="shared" si="18"/>
        <v>1768.9710281856051</v>
      </c>
      <c r="I267" s="610">
        <f>SUM(H267:H269)</f>
        <v>2717.844376637654</v>
      </c>
      <c r="J267" s="610">
        <f>+J240</f>
        <v>2295</v>
      </c>
      <c r="K267" s="622" t="str">
        <f>IF((I267-J267)&gt;0,"SI","NO")</f>
        <v>SI</v>
      </c>
      <c r="M267" s="457">
        <f>IFERROR((LOOKUP(E267,E258:E265,H258:H265)),0)</f>
        <v>1768.9710281856051</v>
      </c>
      <c r="N267" s="604"/>
      <c r="O267" s="556"/>
      <c r="P267" s="556"/>
      <c r="Q267" s="556"/>
      <c r="R267" s="556"/>
      <c r="S267" s="556"/>
      <c r="T267" s="556"/>
      <c r="U267" s="556"/>
      <c r="V267" s="556"/>
      <c r="W267" s="556"/>
      <c r="X267" s="556"/>
      <c r="Y267" s="557"/>
    </row>
    <row r="268" spans="1:25" x14ac:dyDescent="0.25">
      <c r="E268" s="422">
        <v>4</v>
      </c>
      <c r="F268" s="62" t="str">
        <f>IFERROR((LOOKUP(E268,E259:E266,F259:F266)),"NO")</f>
        <v>SI</v>
      </c>
      <c r="G268" s="617"/>
      <c r="H268" s="452">
        <f t="shared" si="18"/>
        <v>684.54434424040653</v>
      </c>
      <c r="I268" s="611"/>
      <c r="J268" s="611"/>
      <c r="K268" s="623"/>
      <c r="M268" s="457">
        <f>IFERROR((LOOKUP(E268,E259:E266,H259:H266)),0)</f>
        <v>684.54434424040653</v>
      </c>
      <c r="N268" s="604"/>
      <c r="O268" s="556"/>
      <c r="P268" s="556"/>
      <c r="Q268" s="556"/>
      <c r="R268" s="556"/>
      <c r="S268" s="556"/>
      <c r="T268" s="556"/>
      <c r="U268" s="556"/>
      <c r="V268" s="556"/>
      <c r="W268" s="556"/>
      <c r="X268" s="556"/>
      <c r="Y268" s="557"/>
    </row>
    <row r="269" spans="1:25" ht="15.75" thickBot="1" x14ac:dyDescent="0.3">
      <c r="E269" s="423">
        <v>5</v>
      </c>
      <c r="F269" s="430" t="str">
        <f>IFERROR((LOOKUP(E269,E259:E266,F259:F266)),"NO")</f>
        <v>SI</v>
      </c>
      <c r="G269" s="618"/>
      <c r="H269" s="454">
        <f t="shared" si="18"/>
        <v>264.32900421164214</v>
      </c>
      <c r="I269" s="615"/>
      <c r="J269" s="615"/>
      <c r="K269" s="624"/>
      <c r="M269" s="457">
        <f>IFERROR((LOOKUP(E269,E259:E266,H259:H266)),0)</f>
        <v>264.32900421164214</v>
      </c>
      <c r="N269" s="604"/>
      <c r="O269" s="556"/>
      <c r="P269" s="556"/>
      <c r="Q269" s="556"/>
      <c r="R269" s="556"/>
      <c r="S269" s="556"/>
      <c r="T269" s="556"/>
      <c r="U269" s="556"/>
      <c r="V269" s="556"/>
      <c r="W269" s="556"/>
      <c r="X269" s="556"/>
      <c r="Y269" s="557"/>
    </row>
    <row r="270" spans="1:25" ht="46.5" thickTop="1" thickBot="1" x14ac:dyDescent="0.3">
      <c r="E270" s="400"/>
      <c r="F270" s="401"/>
      <c r="G270" s="402" t="s">
        <v>193</v>
      </c>
      <c r="H270" s="425">
        <v>3</v>
      </c>
      <c r="I270" s="397">
        <f>+H270</f>
        <v>3</v>
      </c>
      <c r="J270" s="397">
        <f>+J243</f>
        <v>1</v>
      </c>
      <c r="K270" s="398" t="str">
        <f>IF((I270)&gt;=J270,"SI","NO")</f>
        <v>SI</v>
      </c>
      <c r="M270" s="424"/>
      <c r="N270" s="619"/>
      <c r="O270" s="620"/>
      <c r="P270" s="620"/>
      <c r="Q270" s="620"/>
      <c r="R270" s="620"/>
      <c r="S270" s="620"/>
      <c r="T270" s="620"/>
      <c r="U270" s="620"/>
      <c r="V270" s="620"/>
      <c r="W270" s="620"/>
      <c r="X270" s="620"/>
      <c r="Y270" s="621"/>
    </row>
    <row r="272" spans="1:25" x14ac:dyDescent="0.25">
      <c r="A272" s="46" t="s">
        <v>29</v>
      </c>
      <c r="B272" s="47" t="str">
        <f>+CONSOLIDADO!A47</f>
        <v>FEDERACIÓN NACIONAL DE CAFETEROS</v>
      </c>
      <c r="C272" s="47"/>
      <c r="D272" s="47"/>
      <c r="E272" s="47"/>
      <c r="F272" s="47"/>
      <c r="G272" s="48"/>
      <c r="I272" s="466" t="s">
        <v>51</v>
      </c>
      <c r="J272" s="49" t="str">
        <f>IF(J274&gt;0,"NO HABILITADO","HABILITADO")</f>
        <v>NO HABILITADO</v>
      </c>
    </row>
    <row r="273" spans="1:25" x14ac:dyDescent="0.25">
      <c r="A273" s="46" t="str">
        <f>+A246</f>
        <v>GRUPO 1</v>
      </c>
      <c r="B273" s="470" t="str">
        <f>+B246</f>
        <v>SIERRA NEVADA-PERIJÁ-ZONA BANANERA</v>
      </c>
      <c r="C273" s="469"/>
      <c r="D273" s="469"/>
      <c r="E273" s="469"/>
      <c r="F273" s="469"/>
      <c r="G273" s="48"/>
      <c r="I273" s="46" t="s">
        <v>49</v>
      </c>
      <c r="J273" s="45">
        <f>COUNTIF(H279:H283,"SI")</f>
        <v>4</v>
      </c>
    </row>
    <row r="274" spans="1:25" x14ac:dyDescent="0.25">
      <c r="A274" s="46" t="s">
        <v>32</v>
      </c>
      <c r="B274" s="469" t="str">
        <f>+CONSOLIDADO!C48</f>
        <v>FEDERACION NACIONAL DE CAFETEROS</v>
      </c>
      <c r="C274" s="469"/>
      <c r="D274" s="469"/>
      <c r="E274" s="18"/>
      <c r="F274" s="76"/>
      <c r="G274" s="73"/>
      <c r="H274" s="1"/>
      <c r="I274" s="46" t="s">
        <v>50</v>
      </c>
      <c r="J274" s="45">
        <f>COUNTIF(H279:H283,"NO")</f>
        <v>1</v>
      </c>
    </row>
    <row r="275" spans="1:25" x14ac:dyDescent="0.25">
      <c r="A275" s="46" t="s">
        <v>33</v>
      </c>
      <c r="B275" s="469">
        <f>+CONSOLIDADO!C49</f>
        <v>0</v>
      </c>
      <c r="C275" s="469"/>
      <c r="D275" s="469"/>
      <c r="E275" s="1"/>
      <c r="F275" s="77"/>
      <c r="G275" s="73"/>
      <c r="H275" s="75"/>
      <c r="I275" s="46" t="s">
        <v>31</v>
      </c>
      <c r="J275" s="45">
        <f>COUNTIF(H279:H283,"N/A")</f>
        <v>0</v>
      </c>
    </row>
    <row r="276" spans="1:25" x14ac:dyDescent="0.25">
      <c r="A276" s="46" t="s">
        <v>34</v>
      </c>
      <c r="B276" s="469">
        <f>+CONSOLIDADO!C50</f>
        <v>0</v>
      </c>
      <c r="C276" s="469"/>
      <c r="D276" s="469"/>
      <c r="E276" s="1"/>
      <c r="F276" s="77"/>
      <c r="G276" s="73"/>
      <c r="H276" s="1"/>
      <c r="I276" s="48"/>
      <c r="J276" s="48"/>
      <c r="K276" s="48"/>
    </row>
    <row r="277" spans="1:25" ht="15.75" thickBot="1" x14ac:dyDescent="0.3">
      <c r="B277" s="51"/>
      <c r="C277" s="51"/>
      <c r="D277" s="51"/>
      <c r="E277" s="48"/>
      <c r="F277" s="48"/>
      <c r="G277" s="48"/>
      <c r="H277" s="48"/>
      <c r="I277" s="48"/>
      <c r="J277" s="48"/>
      <c r="K277" s="48"/>
    </row>
    <row r="278" spans="1:25" s="52" customFormat="1" ht="15.75" thickBot="1" x14ac:dyDescent="0.3">
      <c r="A278" s="447" t="s">
        <v>26</v>
      </c>
      <c r="B278" s="566" t="s">
        <v>42</v>
      </c>
      <c r="C278" s="566"/>
      <c r="D278" s="566"/>
      <c r="E278" s="566"/>
      <c r="F278" s="566"/>
      <c r="G278" s="566"/>
      <c r="H278" s="468" t="s">
        <v>47</v>
      </c>
    </row>
    <row r="279" spans="1:25" ht="30" customHeight="1" thickTop="1" x14ac:dyDescent="0.25">
      <c r="A279" s="445" t="s">
        <v>148</v>
      </c>
      <c r="B279" s="625" t="s">
        <v>73</v>
      </c>
      <c r="C279" s="625"/>
      <c r="D279" s="625"/>
      <c r="E279" s="625"/>
      <c r="F279" s="625"/>
      <c r="G279" s="625"/>
      <c r="H279" s="446" t="str">
        <f>+K286</f>
        <v>NO</v>
      </c>
    </row>
    <row r="280" spans="1:25" ht="45" customHeight="1" x14ac:dyDescent="0.25">
      <c r="A280" s="443" t="s">
        <v>149</v>
      </c>
      <c r="B280" s="626" t="s">
        <v>74</v>
      </c>
      <c r="C280" s="626"/>
      <c r="D280" s="626"/>
      <c r="E280" s="626"/>
      <c r="F280" s="626"/>
      <c r="G280" s="626"/>
      <c r="H280" s="442" t="str">
        <f>+K294</f>
        <v>SI</v>
      </c>
    </row>
    <row r="281" spans="1:25" ht="64.5" customHeight="1" x14ac:dyDescent="0.25">
      <c r="A281" s="443" t="s">
        <v>150</v>
      </c>
      <c r="B281" s="605" t="s">
        <v>75</v>
      </c>
      <c r="C281" s="605"/>
      <c r="D281" s="605"/>
      <c r="E281" s="605"/>
      <c r="F281" s="605"/>
      <c r="G281" s="605"/>
      <c r="H281" s="442" t="str">
        <f>+K297</f>
        <v>SI</v>
      </c>
    </row>
    <row r="282" spans="1:25" x14ac:dyDescent="0.25">
      <c r="A282" s="444" t="s">
        <v>70</v>
      </c>
      <c r="B282" s="606"/>
      <c r="C282" s="606"/>
      <c r="D282" s="606"/>
      <c r="E282" s="606"/>
      <c r="F282" s="606"/>
      <c r="G282" s="606"/>
      <c r="H282" s="448" t="s">
        <v>28</v>
      </c>
    </row>
    <row r="283" spans="1:25" ht="15.75" thickBot="1" x14ac:dyDescent="0.3">
      <c r="A283" s="403" t="s">
        <v>151</v>
      </c>
      <c r="B283" s="607"/>
      <c r="C283" s="607"/>
      <c r="D283" s="607"/>
      <c r="E283" s="607"/>
      <c r="F283" s="607"/>
      <c r="G283" s="607"/>
      <c r="H283" s="449" t="s">
        <v>28</v>
      </c>
    </row>
    <row r="284" spans="1:25" ht="15.75" thickBot="1" x14ac:dyDescent="0.3"/>
    <row r="285" spans="1:25" ht="45.75" thickBot="1" x14ac:dyDescent="0.3">
      <c r="A285" s="13"/>
      <c r="B285" s="13"/>
      <c r="C285" s="13"/>
      <c r="E285" s="111" t="s">
        <v>71</v>
      </c>
      <c r="F285" s="467" t="s">
        <v>190</v>
      </c>
      <c r="G285" s="467" t="s">
        <v>152</v>
      </c>
      <c r="H285" s="438" t="s">
        <v>196</v>
      </c>
      <c r="I285" s="114" t="s">
        <v>90</v>
      </c>
      <c r="J285" s="114" t="s">
        <v>89</v>
      </c>
      <c r="K285" s="468" t="s">
        <v>72</v>
      </c>
      <c r="M285" s="441" t="s">
        <v>195</v>
      </c>
      <c r="N285" s="598" t="s">
        <v>194</v>
      </c>
      <c r="O285" s="599"/>
      <c r="P285" s="599"/>
      <c r="Q285" s="599"/>
      <c r="R285" s="599"/>
      <c r="S285" s="599"/>
      <c r="T285" s="599"/>
      <c r="U285" s="599"/>
      <c r="V285" s="599"/>
      <c r="W285" s="599"/>
      <c r="X285" s="599"/>
      <c r="Y285" s="600"/>
    </row>
    <row r="286" spans="1:25" ht="15.75" thickTop="1" x14ac:dyDescent="0.25">
      <c r="A286" s="13"/>
      <c r="B286" s="13"/>
      <c r="C286" s="13"/>
      <c r="E286" s="110">
        <v>1</v>
      </c>
      <c r="F286" s="426" t="s">
        <v>27</v>
      </c>
      <c r="G286" s="616" t="s">
        <v>191</v>
      </c>
      <c r="H286" s="450">
        <f t="shared" ref="H286:H296" si="20">IF(F286="SI",M286,0)</f>
        <v>0</v>
      </c>
      <c r="I286" s="610">
        <f>SUM(H286:H293)</f>
        <v>4507.4195118182179</v>
      </c>
      <c r="J286" s="610">
        <f>+J259</f>
        <v>6119</v>
      </c>
      <c r="K286" s="608" t="str">
        <f>IF((I286-J286)&gt;0,"SI","NO")</f>
        <v>NO</v>
      </c>
      <c r="M286" s="455">
        <v>1768.9710281856051</v>
      </c>
      <c r="N286" s="601"/>
      <c r="O286" s="602"/>
      <c r="P286" s="602"/>
      <c r="Q286" s="602"/>
      <c r="R286" s="602"/>
      <c r="S286" s="602"/>
      <c r="T286" s="602"/>
      <c r="U286" s="602"/>
      <c r="V286" s="602"/>
      <c r="W286" s="602"/>
      <c r="X286" s="602"/>
      <c r="Y286" s="603"/>
    </row>
    <row r="287" spans="1:25" x14ac:dyDescent="0.25">
      <c r="A287" s="13"/>
      <c r="B287" s="13"/>
      <c r="C287" s="13"/>
      <c r="E287" s="108">
        <f>+E286+1</f>
        <v>2</v>
      </c>
      <c r="F287" s="427" t="s">
        <v>28</v>
      </c>
      <c r="G287" s="617"/>
      <c r="H287" s="451">
        <f t="shared" si="20"/>
        <v>1789.5751351805638</v>
      </c>
      <c r="I287" s="611"/>
      <c r="J287" s="611"/>
      <c r="K287" s="609"/>
      <c r="M287" s="456">
        <v>1789.5751351805638</v>
      </c>
      <c r="N287" s="604"/>
      <c r="O287" s="556"/>
      <c r="P287" s="556"/>
      <c r="Q287" s="556"/>
      <c r="R287" s="556"/>
      <c r="S287" s="556"/>
      <c r="T287" s="556"/>
      <c r="U287" s="556"/>
      <c r="V287" s="556"/>
      <c r="W287" s="556"/>
      <c r="X287" s="556"/>
      <c r="Y287" s="557"/>
    </row>
    <row r="288" spans="1:25" x14ac:dyDescent="0.25">
      <c r="A288" s="13"/>
      <c r="B288" s="13"/>
      <c r="C288" s="13"/>
      <c r="E288" s="108">
        <f t="shared" ref="E288:E293" si="21">+E287+1</f>
        <v>3</v>
      </c>
      <c r="F288" s="427" t="s">
        <v>28</v>
      </c>
      <c r="G288" s="617"/>
      <c r="H288" s="451">
        <f t="shared" si="20"/>
        <v>1768.9710281856051</v>
      </c>
      <c r="I288" s="611"/>
      <c r="J288" s="611"/>
      <c r="K288" s="609"/>
      <c r="M288" s="456">
        <v>1768.9710281856051</v>
      </c>
      <c r="N288" s="604"/>
      <c r="O288" s="556"/>
      <c r="P288" s="556"/>
      <c r="Q288" s="556"/>
      <c r="R288" s="556"/>
      <c r="S288" s="556"/>
      <c r="T288" s="556"/>
      <c r="U288" s="556"/>
      <c r="V288" s="556"/>
      <c r="W288" s="556"/>
      <c r="X288" s="556"/>
      <c r="Y288" s="557"/>
    </row>
    <row r="289" spans="1:25" x14ac:dyDescent="0.25">
      <c r="A289" s="13"/>
      <c r="B289" s="13"/>
      <c r="C289" s="13"/>
      <c r="E289" s="108">
        <f t="shared" si="21"/>
        <v>4</v>
      </c>
      <c r="F289" s="427" t="s">
        <v>28</v>
      </c>
      <c r="G289" s="617"/>
      <c r="H289" s="451">
        <f t="shared" si="20"/>
        <v>684.54434424040653</v>
      </c>
      <c r="I289" s="611"/>
      <c r="J289" s="611"/>
      <c r="K289" s="609"/>
      <c r="M289" s="456">
        <v>684.54434424040653</v>
      </c>
      <c r="N289" s="604"/>
      <c r="O289" s="556"/>
      <c r="P289" s="556"/>
      <c r="Q289" s="556"/>
      <c r="R289" s="556"/>
      <c r="S289" s="556"/>
      <c r="T289" s="556"/>
      <c r="U289" s="556"/>
      <c r="V289" s="556"/>
      <c r="W289" s="556"/>
      <c r="X289" s="556"/>
      <c r="Y289" s="557"/>
    </row>
    <row r="290" spans="1:25" x14ac:dyDescent="0.25">
      <c r="A290" s="13"/>
      <c r="B290" s="13"/>
      <c r="C290" s="13"/>
      <c r="E290" s="108">
        <f t="shared" si="21"/>
        <v>5</v>
      </c>
      <c r="F290" s="427" t="s">
        <v>28</v>
      </c>
      <c r="G290" s="617"/>
      <c r="H290" s="451">
        <f t="shared" si="20"/>
        <v>264.32900421164214</v>
      </c>
      <c r="I290" s="611"/>
      <c r="J290" s="611"/>
      <c r="K290" s="609"/>
      <c r="M290" s="456">
        <v>264.32900421164214</v>
      </c>
      <c r="N290" s="604"/>
      <c r="O290" s="556"/>
      <c r="P290" s="556"/>
      <c r="Q290" s="556"/>
      <c r="R290" s="556"/>
      <c r="S290" s="556"/>
      <c r="T290" s="556"/>
      <c r="U290" s="556"/>
      <c r="V290" s="556"/>
      <c r="W290" s="556"/>
      <c r="X290" s="556"/>
      <c r="Y290" s="557"/>
    </row>
    <row r="291" spans="1:25" x14ac:dyDescent="0.25">
      <c r="A291" s="13"/>
      <c r="B291" s="13"/>
      <c r="C291" s="13"/>
      <c r="E291" s="108">
        <f t="shared" si="21"/>
        <v>6</v>
      </c>
      <c r="F291" s="427" t="s">
        <v>27</v>
      </c>
      <c r="G291" s="617"/>
      <c r="H291" s="451">
        <f t="shared" si="20"/>
        <v>0</v>
      </c>
      <c r="I291" s="611"/>
      <c r="J291" s="611"/>
      <c r="K291" s="609"/>
      <c r="M291" s="456">
        <v>4947.6967454999685</v>
      </c>
      <c r="N291" s="604"/>
      <c r="O291" s="556"/>
      <c r="P291" s="556"/>
      <c r="Q291" s="556"/>
      <c r="R291" s="556"/>
      <c r="S291" s="556"/>
      <c r="T291" s="556"/>
      <c r="U291" s="556"/>
      <c r="V291" s="556"/>
      <c r="W291" s="556"/>
      <c r="X291" s="556"/>
      <c r="Y291" s="557"/>
    </row>
    <row r="292" spans="1:25" x14ac:dyDescent="0.25">
      <c r="A292" s="13"/>
      <c r="B292" s="13"/>
      <c r="C292" s="13"/>
      <c r="E292" s="108">
        <f t="shared" si="21"/>
        <v>7</v>
      </c>
      <c r="F292" s="427" t="s">
        <v>27</v>
      </c>
      <c r="G292" s="617"/>
      <c r="H292" s="451">
        <f t="shared" si="20"/>
        <v>0</v>
      </c>
      <c r="I292" s="611"/>
      <c r="J292" s="611"/>
      <c r="K292" s="609"/>
      <c r="M292" s="456">
        <v>2151.2314342762875</v>
      </c>
      <c r="N292" s="604"/>
      <c r="O292" s="556"/>
      <c r="P292" s="556"/>
      <c r="Q292" s="556"/>
      <c r="R292" s="556"/>
      <c r="S292" s="556"/>
      <c r="T292" s="556"/>
      <c r="U292" s="556"/>
      <c r="V292" s="556"/>
      <c r="W292" s="556"/>
      <c r="X292" s="556"/>
      <c r="Y292" s="557"/>
    </row>
    <row r="293" spans="1:25" ht="15.75" thickBot="1" x14ac:dyDescent="0.3">
      <c r="A293" s="13"/>
      <c r="B293" s="13"/>
      <c r="C293" s="13"/>
      <c r="E293" s="399">
        <f t="shared" si="21"/>
        <v>8</v>
      </c>
      <c r="F293" s="428" t="s">
        <v>27</v>
      </c>
      <c r="G293" s="618"/>
      <c r="H293" s="452">
        <f t="shared" si="20"/>
        <v>0</v>
      </c>
      <c r="I293" s="611"/>
      <c r="J293" s="611"/>
      <c r="K293" s="609"/>
      <c r="M293" s="456">
        <v>269.41225429263523</v>
      </c>
      <c r="N293" s="604"/>
      <c r="O293" s="556"/>
      <c r="P293" s="556"/>
      <c r="Q293" s="556"/>
      <c r="R293" s="556"/>
      <c r="S293" s="556"/>
      <c r="T293" s="556"/>
      <c r="U293" s="556"/>
      <c r="V293" s="556"/>
      <c r="W293" s="556"/>
      <c r="X293" s="556"/>
      <c r="Y293" s="557"/>
    </row>
    <row r="294" spans="1:25" ht="15.75" thickTop="1" x14ac:dyDescent="0.25">
      <c r="C294" s="52"/>
      <c r="D294" s="52"/>
      <c r="E294" s="421">
        <v>3</v>
      </c>
      <c r="F294" s="429" t="str">
        <f>IFERROR((LOOKUP(E294,E286:E293,F286:F293)),"NO")</f>
        <v>SI</v>
      </c>
      <c r="G294" s="616" t="s">
        <v>192</v>
      </c>
      <c r="H294" s="453">
        <f t="shared" si="20"/>
        <v>1768.9710281856051</v>
      </c>
      <c r="I294" s="610">
        <f>SUM(H294:H296)</f>
        <v>2717.844376637654</v>
      </c>
      <c r="J294" s="610">
        <f>+J267</f>
        <v>2295</v>
      </c>
      <c r="K294" s="622" t="str">
        <f>IF((I294-J294)&gt;0,"SI","NO")</f>
        <v>SI</v>
      </c>
      <c r="M294" s="457">
        <f>IFERROR((LOOKUP(E294,E285:E292,H285:H292)),0)</f>
        <v>1768.9710281856051</v>
      </c>
      <c r="N294" s="604"/>
      <c r="O294" s="556"/>
      <c r="P294" s="556"/>
      <c r="Q294" s="556"/>
      <c r="R294" s="556"/>
      <c r="S294" s="556"/>
      <c r="T294" s="556"/>
      <c r="U294" s="556"/>
      <c r="V294" s="556"/>
      <c r="W294" s="556"/>
      <c r="X294" s="556"/>
      <c r="Y294" s="557"/>
    </row>
    <row r="295" spans="1:25" x14ac:dyDescent="0.25">
      <c r="E295" s="422">
        <v>4</v>
      </c>
      <c r="F295" s="62" t="str">
        <f>IFERROR((LOOKUP(E295,E286:E293,F286:F293)),"NO")</f>
        <v>SI</v>
      </c>
      <c r="G295" s="617"/>
      <c r="H295" s="452">
        <f t="shared" si="20"/>
        <v>684.54434424040653</v>
      </c>
      <c r="I295" s="611"/>
      <c r="J295" s="611"/>
      <c r="K295" s="623"/>
      <c r="M295" s="457">
        <f>IFERROR((LOOKUP(E295,E286:E293,H286:H293)),0)</f>
        <v>684.54434424040653</v>
      </c>
      <c r="N295" s="604"/>
      <c r="O295" s="556"/>
      <c r="P295" s="556"/>
      <c r="Q295" s="556"/>
      <c r="R295" s="556"/>
      <c r="S295" s="556"/>
      <c r="T295" s="556"/>
      <c r="U295" s="556"/>
      <c r="V295" s="556"/>
      <c r="W295" s="556"/>
      <c r="X295" s="556"/>
      <c r="Y295" s="557"/>
    </row>
    <row r="296" spans="1:25" ht="15.75" thickBot="1" x14ac:dyDescent="0.3">
      <c r="E296" s="423">
        <v>5</v>
      </c>
      <c r="F296" s="430" t="str">
        <f>IFERROR((LOOKUP(E296,E286:E293,F286:F293)),"NO")</f>
        <v>SI</v>
      </c>
      <c r="G296" s="618"/>
      <c r="H296" s="454">
        <f t="shared" si="20"/>
        <v>264.32900421164214</v>
      </c>
      <c r="I296" s="615"/>
      <c r="J296" s="615"/>
      <c r="K296" s="624"/>
      <c r="M296" s="457">
        <f>IFERROR((LOOKUP(E296,E286:E293,H286:H293)),0)</f>
        <v>264.32900421164214</v>
      </c>
      <c r="N296" s="604"/>
      <c r="O296" s="556"/>
      <c r="P296" s="556"/>
      <c r="Q296" s="556"/>
      <c r="R296" s="556"/>
      <c r="S296" s="556"/>
      <c r="T296" s="556"/>
      <c r="U296" s="556"/>
      <c r="V296" s="556"/>
      <c r="W296" s="556"/>
      <c r="X296" s="556"/>
      <c r="Y296" s="557"/>
    </row>
    <row r="297" spans="1:25" ht="46.5" thickTop="1" thickBot="1" x14ac:dyDescent="0.3">
      <c r="E297" s="400"/>
      <c r="F297" s="401"/>
      <c r="G297" s="402" t="s">
        <v>193</v>
      </c>
      <c r="H297" s="425">
        <v>3</v>
      </c>
      <c r="I297" s="397">
        <f>+H297</f>
        <v>3</v>
      </c>
      <c r="J297" s="397">
        <f>+J270</f>
        <v>1</v>
      </c>
      <c r="K297" s="398" t="str">
        <f>IF((I297)&gt;=J297,"SI","NO")</f>
        <v>SI</v>
      </c>
      <c r="M297" s="424"/>
      <c r="N297" s="619"/>
      <c r="O297" s="620"/>
      <c r="P297" s="620"/>
      <c r="Q297" s="620"/>
      <c r="R297" s="620"/>
      <c r="S297" s="620"/>
      <c r="T297" s="620"/>
      <c r="U297" s="620"/>
      <c r="V297" s="620"/>
      <c r="W297" s="620"/>
      <c r="X297" s="620"/>
      <c r="Y297" s="621"/>
    </row>
    <row r="299" spans="1:25" x14ac:dyDescent="0.25">
      <c r="A299" s="46" t="s">
        <v>29</v>
      </c>
      <c r="B299" s="47" t="str">
        <f>+CONSOLIDADO!A51</f>
        <v>UNION TEMPORAL PROSPERIDAD</v>
      </c>
      <c r="C299" s="47"/>
      <c r="D299" s="47"/>
      <c r="E299" s="47"/>
      <c r="F299" s="47"/>
      <c r="G299" s="48"/>
      <c r="I299" s="466" t="s">
        <v>51</v>
      </c>
      <c r="J299" s="49" t="str">
        <f>IF(J301&gt;0,"NO HABILITADO","HABILITADO")</f>
        <v>NO HABILITADO</v>
      </c>
    </row>
    <row r="300" spans="1:25" x14ac:dyDescent="0.25">
      <c r="A300" s="46" t="str">
        <f>+A273</f>
        <v>GRUPO 1</v>
      </c>
      <c r="B300" s="470" t="str">
        <f>+B273</f>
        <v>SIERRA NEVADA-PERIJÁ-ZONA BANANERA</v>
      </c>
      <c r="C300" s="469"/>
      <c r="D300" s="469"/>
      <c r="E300" s="469"/>
      <c r="F300" s="469"/>
      <c r="G300" s="48"/>
      <c r="I300" s="46" t="s">
        <v>49</v>
      </c>
      <c r="J300" s="45">
        <f>COUNTIF(H306:H310,"SI")</f>
        <v>4</v>
      </c>
    </row>
    <row r="301" spans="1:25" x14ac:dyDescent="0.25">
      <c r="A301" s="46" t="s">
        <v>32</v>
      </c>
      <c r="B301" s="469" t="str">
        <f>+CONSOLIDADO!C52</f>
        <v>AGE INGENIERIA SAS</v>
      </c>
      <c r="C301" s="469"/>
      <c r="D301" s="469"/>
      <c r="E301" s="18"/>
      <c r="F301" s="76"/>
      <c r="G301" s="73"/>
      <c r="H301" s="1"/>
      <c r="I301" s="46" t="s">
        <v>50</v>
      </c>
      <c r="J301" s="45">
        <f>COUNTIF(H306:H310,"NO")</f>
        <v>1</v>
      </c>
    </row>
    <row r="302" spans="1:25" x14ac:dyDescent="0.25">
      <c r="A302" s="46" t="s">
        <v>33</v>
      </c>
      <c r="B302" s="469" t="str">
        <f>+CONSOLIDADO!C53</f>
        <v>ASOCIACION AGROPECUARIA</v>
      </c>
      <c r="C302" s="469"/>
      <c r="D302" s="469"/>
      <c r="E302" s="1"/>
      <c r="F302" s="77"/>
      <c r="G302" s="73"/>
      <c r="H302" s="75"/>
      <c r="I302" s="46" t="s">
        <v>31</v>
      </c>
      <c r="J302" s="45">
        <f>COUNTIF(H306:H310,"N/A")</f>
        <v>0</v>
      </c>
    </row>
    <row r="303" spans="1:25" x14ac:dyDescent="0.25">
      <c r="A303" s="46" t="s">
        <v>34</v>
      </c>
      <c r="B303" s="469" t="str">
        <f>+CONSOLIDADO!C54</f>
        <v>FABIÁN LEONARDO TORRADO</v>
      </c>
      <c r="C303" s="469"/>
      <c r="D303" s="469"/>
      <c r="E303" s="1"/>
      <c r="F303" s="77"/>
      <c r="G303" s="73"/>
      <c r="H303" s="1"/>
      <c r="I303" s="48"/>
      <c r="J303" s="48"/>
      <c r="K303" s="48"/>
    </row>
    <row r="304" spans="1:25" ht="15.75" thickBot="1" x14ac:dyDescent="0.3">
      <c r="B304" s="51"/>
      <c r="C304" s="51"/>
      <c r="D304" s="51"/>
      <c r="E304" s="48"/>
      <c r="F304" s="48"/>
      <c r="G304" s="48"/>
      <c r="H304" s="48"/>
      <c r="I304" s="48"/>
      <c r="J304" s="48"/>
      <c r="K304" s="48"/>
    </row>
    <row r="305" spans="1:25" s="52" customFormat="1" ht="15.75" thickBot="1" x14ac:dyDescent="0.3">
      <c r="A305" s="447" t="s">
        <v>26</v>
      </c>
      <c r="B305" s="566" t="s">
        <v>42</v>
      </c>
      <c r="C305" s="566"/>
      <c r="D305" s="566"/>
      <c r="E305" s="566"/>
      <c r="F305" s="566"/>
      <c r="G305" s="566"/>
      <c r="H305" s="468" t="s">
        <v>47</v>
      </c>
    </row>
    <row r="306" spans="1:25" ht="30" customHeight="1" thickTop="1" x14ac:dyDescent="0.25">
      <c r="A306" s="445" t="s">
        <v>148</v>
      </c>
      <c r="B306" s="625" t="s">
        <v>73</v>
      </c>
      <c r="C306" s="625"/>
      <c r="D306" s="625"/>
      <c r="E306" s="625"/>
      <c r="F306" s="625"/>
      <c r="G306" s="625"/>
      <c r="H306" s="446" t="str">
        <f>+K313</f>
        <v>NO</v>
      </c>
    </row>
    <row r="307" spans="1:25" ht="45" customHeight="1" x14ac:dyDescent="0.25">
      <c r="A307" s="443" t="s">
        <v>149</v>
      </c>
      <c r="B307" s="626" t="s">
        <v>74</v>
      </c>
      <c r="C307" s="626"/>
      <c r="D307" s="626"/>
      <c r="E307" s="626"/>
      <c r="F307" s="626"/>
      <c r="G307" s="626"/>
      <c r="H307" s="442" t="str">
        <f>+K321</f>
        <v>SI</v>
      </c>
    </row>
    <row r="308" spans="1:25" ht="64.5" customHeight="1" x14ac:dyDescent="0.25">
      <c r="A308" s="443" t="s">
        <v>150</v>
      </c>
      <c r="B308" s="605" t="s">
        <v>75</v>
      </c>
      <c r="C308" s="605"/>
      <c r="D308" s="605"/>
      <c r="E308" s="605"/>
      <c r="F308" s="605"/>
      <c r="G308" s="605"/>
      <c r="H308" s="442" t="str">
        <f>+K324</f>
        <v>SI</v>
      </c>
    </row>
    <row r="309" spans="1:25" x14ac:dyDescent="0.25">
      <c r="A309" s="444" t="s">
        <v>70</v>
      </c>
      <c r="B309" s="606"/>
      <c r="C309" s="606"/>
      <c r="D309" s="606"/>
      <c r="E309" s="606"/>
      <c r="F309" s="606"/>
      <c r="G309" s="606"/>
      <c r="H309" s="448" t="s">
        <v>28</v>
      </c>
    </row>
    <row r="310" spans="1:25" ht="15.75" thickBot="1" x14ac:dyDescent="0.3">
      <c r="A310" s="403" t="s">
        <v>151</v>
      </c>
      <c r="B310" s="607"/>
      <c r="C310" s="607"/>
      <c r="D310" s="607"/>
      <c r="E310" s="607"/>
      <c r="F310" s="607"/>
      <c r="G310" s="607"/>
      <c r="H310" s="449" t="s">
        <v>28</v>
      </c>
    </row>
    <row r="311" spans="1:25" ht="15.75" thickBot="1" x14ac:dyDescent="0.3"/>
    <row r="312" spans="1:25" ht="45.75" thickBot="1" x14ac:dyDescent="0.3">
      <c r="A312" s="13"/>
      <c r="B312" s="13"/>
      <c r="C312" s="13"/>
      <c r="E312" s="111" t="s">
        <v>71</v>
      </c>
      <c r="F312" s="467" t="s">
        <v>190</v>
      </c>
      <c r="G312" s="467" t="s">
        <v>152</v>
      </c>
      <c r="H312" s="438" t="s">
        <v>196</v>
      </c>
      <c r="I312" s="114" t="s">
        <v>90</v>
      </c>
      <c r="J312" s="114" t="s">
        <v>89</v>
      </c>
      <c r="K312" s="468" t="s">
        <v>72</v>
      </c>
      <c r="M312" s="441" t="s">
        <v>195</v>
      </c>
      <c r="N312" s="598" t="s">
        <v>194</v>
      </c>
      <c r="O312" s="599"/>
      <c r="P312" s="599"/>
      <c r="Q312" s="599"/>
      <c r="R312" s="599"/>
      <c r="S312" s="599"/>
      <c r="T312" s="599"/>
      <c r="U312" s="599"/>
      <c r="V312" s="599"/>
      <c r="W312" s="599"/>
      <c r="X312" s="599"/>
      <c r="Y312" s="600"/>
    </row>
    <row r="313" spans="1:25" ht="15.75" thickTop="1" x14ac:dyDescent="0.25">
      <c r="A313" s="13"/>
      <c r="B313" s="13"/>
      <c r="C313" s="13"/>
      <c r="E313" s="110">
        <v>1</v>
      </c>
      <c r="F313" s="426" t="s">
        <v>27</v>
      </c>
      <c r="G313" s="616" t="s">
        <v>191</v>
      </c>
      <c r="H313" s="450">
        <f t="shared" ref="H313:H323" si="22">IF(F313="SI",M313,0)</f>
        <v>0</v>
      </c>
      <c r="I313" s="610">
        <f>SUM(H313:H320)</f>
        <v>4507.4195118182179</v>
      </c>
      <c r="J313" s="610">
        <f>+J286</f>
        <v>6119</v>
      </c>
      <c r="K313" s="608" t="str">
        <f>IF((I313-J313)&gt;0,"SI","NO")</f>
        <v>NO</v>
      </c>
      <c r="M313" s="455">
        <v>1768.9710281856051</v>
      </c>
      <c r="N313" s="601"/>
      <c r="O313" s="602"/>
      <c r="P313" s="602"/>
      <c r="Q313" s="602"/>
      <c r="R313" s="602"/>
      <c r="S313" s="602"/>
      <c r="T313" s="602"/>
      <c r="U313" s="602"/>
      <c r="V313" s="602"/>
      <c r="W313" s="602"/>
      <c r="X313" s="602"/>
      <c r="Y313" s="603"/>
    </row>
    <row r="314" spans="1:25" x14ac:dyDescent="0.25">
      <c r="A314" s="13"/>
      <c r="B314" s="13"/>
      <c r="C314" s="13"/>
      <c r="E314" s="108">
        <f>+E313+1</f>
        <v>2</v>
      </c>
      <c r="F314" s="427" t="s">
        <v>28</v>
      </c>
      <c r="G314" s="617"/>
      <c r="H314" s="451">
        <f t="shared" si="22"/>
        <v>1789.5751351805638</v>
      </c>
      <c r="I314" s="611"/>
      <c r="J314" s="611"/>
      <c r="K314" s="609"/>
      <c r="M314" s="456">
        <v>1789.5751351805638</v>
      </c>
      <c r="N314" s="604"/>
      <c r="O314" s="556"/>
      <c r="P314" s="556"/>
      <c r="Q314" s="556"/>
      <c r="R314" s="556"/>
      <c r="S314" s="556"/>
      <c r="T314" s="556"/>
      <c r="U314" s="556"/>
      <c r="V314" s="556"/>
      <c r="W314" s="556"/>
      <c r="X314" s="556"/>
      <c r="Y314" s="557"/>
    </row>
    <row r="315" spans="1:25" x14ac:dyDescent="0.25">
      <c r="A315" s="13"/>
      <c r="B315" s="13"/>
      <c r="C315" s="13"/>
      <c r="E315" s="108">
        <f t="shared" ref="E315:E320" si="23">+E314+1</f>
        <v>3</v>
      </c>
      <c r="F315" s="427" t="s">
        <v>28</v>
      </c>
      <c r="G315" s="617"/>
      <c r="H315" s="451">
        <f t="shared" si="22"/>
        <v>1768.9710281856051</v>
      </c>
      <c r="I315" s="611"/>
      <c r="J315" s="611"/>
      <c r="K315" s="609"/>
      <c r="M315" s="456">
        <v>1768.9710281856051</v>
      </c>
      <c r="N315" s="604"/>
      <c r="O315" s="556"/>
      <c r="P315" s="556"/>
      <c r="Q315" s="556"/>
      <c r="R315" s="556"/>
      <c r="S315" s="556"/>
      <c r="T315" s="556"/>
      <c r="U315" s="556"/>
      <c r="V315" s="556"/>
      <c r="W315" s="556"/>
      <c r="X315" s="556"/>
      <c r="Y315" s="557"/>
    </row>
    <row r="316" spans="1:25" x14ac:dyDescent="0.25">
      <c r="A316" s="13"/>
      <c r="B316" s="13"/>
      <c r="C316" s="13"/>
      <c r="E316" s="108">
        <f t="shared" si="23"/>
        <v>4</v>
      </c>
      <c r="F316" s="427" t="s">
        <v>28</v>
      </c>
      <c r="G316" s="617"/>
      <c r="H316" s="451">
        <f t="shared" si="22"/>
        <v>684.54434424040653</v>
      </c>
      <c r="I316" s="611"/>
      <c r="J316" s="611"/>
      <c r="K316" s="609"/>
      <c r="M316" s="456">
        <v>684.54434424040653</v>
      </c>
      <c r="N316" s="604"/>
      <c r="O316" s="556"/>
      <c r="P316" s="556"/>
      <c r="Q316" s="556"/>
      <c r="R316" s="556"/>
      <c r="S316" s="556"/>
      <c r="T316" s="556"/>
      <c r="U316" s="556"/>
      <c r="V316" s="556"/>
      <c r="W316" s="556"/>
      <c r="X316" s="556"/>
      <c r="Y316" s="557"/>
    </row>
    <row r="317" spans="1:25" x14ac:dyDescent="0.25">
      <c r="A317" s="13"/>
      <c r="B317" s="13"/>
      <c r="C317" s="13"/>
      <c r="E317" s="108">
        <f t="shared" si="23"/>
        <v>5</v>
      </c>
      <c r="F317" s="427" t="s">
        <v>28</v>
      </c>
      <c r="G317" s="617"/>
      <c r="H317" s="451">
        <f t="shared" si="22"/>
        <v>264.32900421164214</v>
      </c>
      <c r="I317" s="611"/>
      <c r="J317" s="611"/>
      <c r="K317" s="609"/>
      <c r="M317" s="456">
        <v>264.32900421164214</v>
      </c>
      <c r="N317" s="604"/>
      <c r="O317" s="556"/>
      <c r="P317" s="556"/>
      <c r="Q317" s="556"/>
      <c r="R317" s="556"/>
      <c r="S317" s="556"/>
      <c r="T317" s="556"/>
      <c r="U317" s="556"/>
      <c r="V317" s="556"/>
      <c r="W317" s="556"/>
      <c r="X317" s="556"/>
      <c r="Y317" s="557"/>
    </row>
    <row r="318" spans="1:25" x14ac:dyDescent="0.25">
      <c r="A318" s="13"/>
      <c r="B318" s="13"/>
      <c r="C318" s="13"/>
      <c r="E318" s="108">
        <f t="shared" si="23"/>
        <v>6</v>
      </c>
      <c r="F318" s="427" t="s">
        <v>27</v>
      </c>
      <c r="G318" s="617"/>
      <c r="H318" s="451">
        <f t="shared" si="22"/>
        <v>0</v>
      </c>
      <c r="I318" s="611"/>
      <c r="J318" s="611"/>
      <c r="K318" s="609"/>
      <c r="M318" s="456">
        <v>4947.6967454999685</v>
      </c>
      <c r="N318" s="604"/>
      <c r="O318" s="556"/>
      <c r="P318" s="556"/>
      <c r="Q318" s="556"/>
      <c r="R318" s="556"/>
      <c r="S318" s="556"/>
      <c r="T318" s="556"/>
      <c r="U318" s="556"/>
      <c r="V318" s="556"/>
      <c r="W318" s="556"/>
      <c r="X318" s="556"/>
      <c r="Y318" s="557"/>
    </row>
    <row r="319" spans="1:25" x14ac:dyDescent="0.25">
      <c r="A319" s="13"/>
      <c r="B319" s="13"/>
      <c r="C319" s="13"/>
      <c r="E319" s="108">
        <f t="shared" si="23"/>
        <v>7</v>
      </c>
      <c r="F319" s="427" t="s">
        <v>27</v>
      </c>
      <c r="G319" s="617"/>
      <c r="H319" s="451">
        <f t="shared" si="22"/>
        <v>0</v>
      </c>
      <c r="I319" s="611"/>
      <c r="J319" s="611"/>
      <c r="K319" s="609"/>
      <c r="M319" s="456">
        <v>2151.2314342762875</v>
      </c>
      <c r="N319" s="604"/>
      <c r="O319" s="556"/>
      <c r="P319" s="556"/>
      <c r="Q319" s="556"/>
      <c r="R319" s="556"/>
      <c r="S319" s="556"/>
      <c r="T319" s="556"/>
      <c r="U319" s="556"/>
      <c r="V319" s="556"/>
      <c r="W319" s="556"/>
      <c r="X319" s="556"/>
      <c r="Y319" s="557"/>
    </row>
    <row r="320" spans="1:25" ht="15.75" thickBot="1" x14ac:dyDescent="0.3">
      <c r="A320" s="13"/>
      <c r="B320" s="13"/>
      <c r="C320" s="13"/>
      <c r="E320" s="399">
        <f t="shared" si="23"/>
        <v>8</v>
      </c>
      <c r="F320" s="428" t="s">
        <v>27</v>
      </c>
      <c r="G320" s="618"/>
      <c r="H320" s="452">
        <f t="shared" si="22"/>
        <v>0</v>
      </c>
      <c r="I320" s="611"/>
      <c r="J320" s="611"/>
      <c r="K320" s="609"/>
      <c r="M320" s="456">
        <v>269.41225429263523</v>
      </c>
      <c r="N320" s="604"/>
      <c r="O320" s="556"/>
      <c r="P320" s="556"/>
      <c r="Q320" s="556"/>
      <c r="R320" s="556"/>
      <c r="S320" s="556"/>
      <c r="T320" s="556"/>
      <c r="U320" s="556"/>
      <c r="V320" s="556"/>
      <c r="W320" s="556"/>
      <c r="X320" s="556"/>
      <c r="Y320" s="557"/>
    </row>
    <row r="321" spans="1:25" ht="15.75" thickTop="1" x14ac:dyDescent="0.25">
      <c r="C321" s="52"/>
      <c r="D321" s="52"/>
      <c r="E321" s="421">
        <v>3</v>
      </c>
      <c r="F321" s="429" t="str">
        <f>IFERROR((LOOKUP(E321,E313:E320,F313:F320)),"NO")</f>
        <v>SI</v>
      </c>
      <c r="G321" s="616" t="s">
        <v>192</v>
      </c>
      <c r="H321" s="453">
        <f t="shared" si="22"/>
        <v>1768.9710281856051</v>
      </c>
      <c r="I321" s="610">
        <f>SUM(H321:H323)</f>
        <v>2717.844376637654</v>
      </c>
      <c r="J321" s="610">
        <f>+J294</f>
        <v>2295</v>
      </c>
      <c r="K321" s="622" t="str">
        <f>IF((I321-J321)&gt;0,"SI","NO")</f>
        <v>SI</v>
      </c>
      <c r="M321" s="457">
        <f>IFERROR((LOOKUP(E321,E312:E319,H312:H319)),0)</f>
        <v>1768.9710281856051</v>
      </c>
      <c r="N321" s="604"/>
      <c r="O321" s="556"/>
      <c r="P321" s="556"/>
      <c r="Q321" s="556"/>
      <c r="R321" s="556"/>
      <c r="S321" s="556"/>
      <c r="T321" s="556"/>
      <c r="U321" s="556"/>
      <c r="V321" s="556"/>
      <c r="W321" s="556"/>
      <c r="X321" s="556"/>
      <c r="Y321" s="557"/>
    </row>
    <row r="322" spans="1:25" x14ac:dyDescent="0.25">
      <c r="E322" s="422">
        <v>4</v>
      </c>
      <c r="F322" s="62" t="str">
        <f>IFERROR((LOOKUP(E322,E313:E320,F313:F320)),"NO")</f>
        <v>SI</v>
      </c>
      <c r="G322" s="617"/>
      <c r="H322" s="452">
        <f t="shared" si="22"/>
        <v>684.54434424040653</v>
      </c>
      <c r="I322" s="611"/>
      <c r="J322" s="611"/>
      <c r="K322" s="623"/>
      <c r="M322" s="457">
        <f>IFERROR((LOOKUP(E322,E313:E320,H313:H320)),0)</f>
        <v>684.54434424040653</v>
      </c>
      <c r="N322" s="604"/>
      <c r="O322" s="556"/>
      <c r="P322" s="556"/>
      <c r="Q322" s="556"/>
      <c r="R322" s="556"/>
      <c r="S322" s="556"/>
      <c r="T322" s="556"/>
      <c r="U322" s="556"/>
      <c r="V322" s="556"/>
      <c r="W322" s="556"/>
      <c r="X322" s="556"/>
      <c r="Y322" s="557"/>
    </row>
    <row r="323" spans="1:25" ht="15.75" thickBot="1" x14ac:dyDescent="0.3">
      <c r="E323" s="423">
        <v>5</v>
      </c>
      <c r="F323" s="430" t="str">
        <f>IFERROR((LOOKUP(E323,E313:E320,F313:F320)),"NO")</f>
        <v>SI</v>
      </c>
      <c r="G323" s="618"/>
      <c r="H323" s="454">
        <f t="shared" si="22"/>
        <v>264.32900421164214</v>
      </c>
      <c r="I323" s="615"/>
      <c r="J323" s="615"/>
      <c r="K323" s="624"/>
      <c r="M323" s="457">
        <f>IFERROR((LOOKUP(E323,E313:E320,H313:H320)),0)</f>
        <v>264.32900421164214</v>
      </c>
      <c r="N323" s="604"/>
      <c r="O323" s="556"/>
      <c r="P323" s="556"/>
      <c r="Q323" s="556"/>
      <c r="R323" s="556"/>
      <c r="S323" s="556"/>
      <c r="T323" s="556"/>
      <c r="U323" s="556"/>
      <c r="V323" s="556"/>
      <c r="W323" s="556"/>
      <c r="X323" s="556"/>
      <c r="Y323" s="557"/>
    </row>
    <row r="324" spans="1:25" ht="46.5" thickTop="1" thickBot="1" x14ac:dyDescent="0.3">
      <c r="E324" s="400"/>
      <c r="F324" s="401"/>
      <c r="G324" s="402" t="s">
        <v>193</v>
      </c>
      <c r="H324" s="425">
        <v>3</v>
      </c>
      <c r="I324" s="397">
        <f>+H324</f>
        <v>3</v>
      </c>
      <c r="J324" s="397">
        <f>+J297</f>
        <v>1</v>
      </c>
      <c r="K324" s="398" t="str">
        <f>IF((I324)&gt;=J324,"SI","NO")</f>
        <v>SI</v>
      </c>
      <c r="M324" s="424"/>
      <c r="N324" s="619"/>
      <c r="O324" s="620"/>
      <c r="P324" s="620"/>
      <c r="Q324" s="620"/>
      <c r="R324" s="620"/>
      <c r="S324" s="620"/>
      <c r="T324" s="620"/>
      <c r="U324" s="620"/>
      <c r="V324" s="620"/>
      <c r="W324" s="620"/>
      <c r="X324" s="620"/>
      <c r="Y324" s="621"/>
    </row>
    <row r="326" spans="1:25" x14ac:dyDescent="0.25">
      <c r="A326" s="46" t="s">
        <v>29</v>
      </c>
      <c r="B326" s="47">
        <f>+CONSOLIDADO!A55</f>
        <v>0</v>
      </c>
      <c r="C326" s="47"/>
      <c r="D326" s="47"/>
      <c r="E326" s="47"/>
      <c r="F326" s="47"/>
      <c r="G326" s="48"/>
      <c r="I326" s="466" t="s">
        <v>51</v>
      </c>
      <c r="J326" s="49" t="str">
        <f>IF(J328&gt;0,"NO HABILITADO","HABILITADO")</f>
        <v>NO HABILITADO</v>
      </c>
    </row>
    <row r="327" spans="1:25" x14ac:dyDescent="0.25">
      <c r="A327" s="46" t="str">
        <f>+A300</f>
        <v>GRUPO 1</v>
      </c>
      <c r="B327" s="470" t="str">
        <f>+B300</f>
        <v>SIERRA NEVADA-PERIJÁ-ZONA BANANERA</v>
      </c>
      <c r="C327" s="469"/>
      <c r="D327" s="469"/>
      <c r="E327" s="469"/>
      <c r="F327" s="469"/>
      <c r="G327" s="48"/>
      <c r="I327" s="46" t="s">
        <v>49</v>
      </c>
      <c r="J327" s="45">
        <f>COUNTIF(H333:H337,"SI")</f>
        <v>4</v>
      </c>
    </row>
    <row r="328" spans="1:25" x14ac:dyDescent="0.25">
      <c r="A328" s="46" t="s">
        <v>32</v>
      </c>
      <c r="B328" s="469">
        <f>+CONSOLIDADO!C56</f>
        <v>0</v>
      </c>
      <c r="C328" s="469"/>
      <c r="D328" s="469"/>
      <c r="E328" s="18"/>
      <c r="F328" s="76"/>
      <c r="G328" s="73"/>
      <c r="H328" s="1"/>
      <c r="I328" s="46" t="s">
        <v>50</v>
      </c>
      <c r="J328" s="45">
        <f>COUNTIF(H333:H337,"NO")</f>
        <v>1</v>
      </c>
    </row>
    <row r="329" spans="1:25" x14ac:dyDescent="0.25">
      <c r="A329" s="46" t="s">
        <v>33</v>
      </c>
      <c r="B329" s="469">
        <f>+CONSOLIDADO!C57</f>
        <v>0</v>
      </c>
      <c r="C329" s="469"/>
      <c r="D329" s="469"/>
      <c r="E329" s="1"/>
      <c r="F329" s="77"/>
      <c r="G329" s="73"/>
      <c r="H329" s="75"/>
      <c r="I329" s="46" t="s">
        <v>31</v>
      </c>
      <c r="J329" s="45">
        <f>COUNTIF(H333:H337,"N/A")</f>
        <v>0</v>
      </c>
    </row>
    <row r="330" spans="1:25" x14ac:dyDescent="0.25">
      <c r="A330" s="46" t="s">
        <v>34</v>
      </c>
      <c r="B330" s="469">
        <f>+CONSOLIDADO!C58</f>
        <v>0</v>
      </c>
      <c r="C330" s="469"/>
      <c r="D330" s="469"/>
      <c r="E330" s="1"/>
      <c r="F330" s="77"/>
      <c r="G330" s="73"/>
      <c r="H330" s="1"/>
      <c r="I330" s="48"/>
      <c r="J330" s="48"/>
      <c r="K330" s="48"/>
    </row>
    <row r="331" spans="1:25" ht="15.75" thickBot="1" x14ac:dyDescent="0.3">
      <c r="B331" s="51"/>
      <c r="C331" s="51"/>
      <c r="D331" s="51"/>
      <c r="E331" s="48"/>
      <c r="F331" s="48"/>
      <c r="G331" s="48"/>
      <c r="H331" s="48"/>
      <c r="I331" s="48"/>
      <c r="J331" s="48"/>
      <c r="K331" s="48"/>
    </row>
    <row r="332" spans="1:25" s="52" customFormat="1" ht="15.75" thickBot="1" x14ac:dyDescent="0.3">
      <c r="A332" s="447" t="s">
        <v>26</v>
      </c>
      <c r="B332" s="566" t="s">
        <v>42</v>
      </c>
      <c r="C332" s="566"/>
      <c r="D332" s="566"/>
      <c r="E332" s="566"/>
      <c r="F332" s="566"/>
      <c r="G332" s="566"/>
      <c r="H332" s="468" t="s">
        <v>47</v>
      </c>
    </row>
    <row r="333" spans="1:25" ht="30" customHeight="1" thickTop="1" x14ac:dyDescent="0.25">
      <c r="A333" s="445" t="s">
        <v>148</v>
      </c>
      <c r="B333" s="625" t="s">
        <v>73</v>
      </c>
      <c r="C333" s="625"/>
      <c r="D333" s="625"/>
      <c r="E333" s="625"/>
      <c r="F333" s="625"/>
      <c r="G333" s="625"/>
      <c r="H333" s="446" t="str">
        <f>+K340</f>
        <v>NO</v>
      </c>
    </row>
    <row r="334" spans="1:25" ht="45" customHeight="1" x14ac:dyDescent="0.25">
      <c r="A334" s="443" t="s">
        <v>149</v>
      </c>
      <c r="B334" s="626" t="s">
        <v>74</v>
      </c>
      <c r="C334" s="626"/>
      <c r="D334" s="626"/>
      <c r="E334" s="626"/>
      <c r="F334" s="626"/>
      <c r="G334" s="626"/>
      <c r="H334" s="442" t="str">
        <f>+K348</f>
        <v>SI</v>
      </c>
    </row>
    <row r="335" spans="1:25" ht="64.5" customHeight="1" x14ac:dyDescent="0.25">
      <c r="A335" s="443" t="s">
        <v>150</v>
      </c>
      <c r="B335" s="605" t="s">
        <v>75</v>
      </c>
      <c r="C335" s="605"/>
      <c r="D335" s="605"/>
      <c r="E335" s="605"/>
      <c r="F335" s="605"/>
      <c r="G335" s="605"/>
      <c r="H335" s="442" t="str">
        <f>+K351</f>
        <v>SI</v>
      </c>
    </row>
    <row r="336" spans="1:25" x14ac:dyDescent="0.25">
      <c r="A336" s="444" t="s">
        <v>70</v>
      </c>
      <c r="B336" s="606"/>
      <c r="C336" s="606"/>
      <c r="D336" s="606"/>
      <c r="E336" s="606"/>
      <c r="F336" s="606"/>
      <c r="G336" s="606"/>
      <c r="H336" s="448" t="s">
        <v>28</v>
      </c>
    </row>
    <row r="337" spans="1:25" ht="15.75" thickBot="1" x14ac:dyDescent="0.3">
      <c r="A337" s="403" t="s">
        <v>151</v>
      </c>
      <c r="B337" s="607"/>
      <c r="C337" s="607"/>
      <c r="D337" s="607"/>
      <c r="E337" s="607"/>
      <c r="F337" s="607"/>
      <c r="G337" s="607"/>
      <c r="H337" s="449" t="s">
        <v>28</v>
      </c>
    </row>
    <row r="338" spans="1:25" ht="15.75" thickBot="1" x14ac:dyDescent="0.3"/>
    <row r="339" spans="1:25" ht="45.75" thickBot="1" x14ac:dyDescent="0.3">
      <c r="A339" s="13"/>
      <c r="B339" s="13"/>
      <c r="C339" s="13"/>
      <c r="E339" s="111" t="s">
        <v>71</v>
      </c>
      <c r="F339" s="467" t="s">
        <v>190</v>
      </c>
      <c r="G339" s="467" t="s">
        <v>152</v>
      </c>
      <c r="H339" s="438" t="s">
        <v>196</v>
      </c>
      <c r="I339" s="114" t="s">
        <v>90</v>
      </c>
      <c r="J339" s="114" t="s">
        <v>89</v>
      </c>
      <c r="K339" s="468" t="s">
        <v>72</v>
      </c>
      <c r="M339" s="441" t="s">
        <v>195</v>
      </c>
      <c r="N339" s="598" t="s">
        <v>194</v>
      </c>
      <c r="O339" s="599"/>
      <c r="P339" s="599"/>
      <c r="Q339" s="599"/>
      <c r="R339" s="599"/>
      <c r="S339" s="599"/>
      <c r="T339" s="599"/>
      <c r="U339" s="599"/>
      <c r="V339" s="599"/>
      <c r="W339" s="599"/>
      <c r="X339" s="599"/>
      <c r="Y339" s="600"/>
    </row>
    <row r="340" spans="1:25" ht="15.75" thickTop="1" x14ac:dyDescent="0.25">
      <c r="A340" s="13"/>
      <c r="B340" s="13"/>
      <c r="C340" s="13"/>
      <c r="E340" s="110">
        <v>1</v>
      </c>
      <c r="F340" s="426" t="s">
        <v>27</v>
      </c>
      <c r="G340" s="616" t="s">
        <v>191</v>
      </c>
      <c r="H340" s="450">
        <f t="shared" ref="H340:H350" si="24">IF(F340="SI",M340,0)</f>
        <v>0</v>
      </c>
      <c r="I340" s="610">
        <f>SUM(H340:H347)</f>
        <v>4507.4195118182179</v>
      </c>
      <c r="J340" s="610">
        <f>+J313</f>
        <v>6119</v>
      </c>
      <c r="K340" s="608" t="str">
        <f>IF((I340-J340)&gt;0,"SI","NO")</f>
        <v>NO</v>
      </c>
      <c r="M340" s="455">
        <v>1768.9710281856051</v>
      </c>
      <c r="N340" s="601"/>
      <c r="O340" s="602"/>
      <c r="P340" s="602"/>
      <c r="Q340" s="602"/>
      <c r="R340" s="602"/>
      <c r="S340" s="602"/>
      <c r="T340" s="602"/>
      <c r="U340" s="602"/>
      <c r="V340" s="602"/>
      <c r="W340" s="602"/>
      <c r="X340" s="602"/>
      <c r="Y340" s="603"/>
    </row>
    <row r="341" spans="1:25" x14ac:dyDescent="0.25">
      <c r="A341" s="13"/>
      <c r="B341" s="13"/>
      <c r="C341" s="13"/>
      <c r="E341" s="108">
        <f>+E340+1</f>
        <v>2</v>
      </c>
      <c r="F341" s="427" t="s">
        <v>28</v>
      </c>
      <c r="G341" s="617"/>
      <c r="H341" s="451">
        <f t="shared" si="24"/>
        <v>1789.5751351805638</v>
      </c>
      <c r="I341" s="611"/>
      <c r="J341" s="611"/>
      <c r="K341" s="609"/>
      <c r="M341" s="456">
        <v>1789.5751351805638</v>
      </c>
      <c r="N341" s="604"/>
      <c r="O341" s="556"/>
      <c r="P341" s="556"/>
      <c r="Q341" s="556"/>
      <c r="R341" s="556"/>
      <c r="S341" s="556"/>
      <c r="T341" s="556"/>
      <c r="U341" s="556"/>
      <c r="V341" s="556"/>
      <c r="W341" s="556"/>
      <c r="X341" s="556"/>
      <c r="Y341" s="557"/>
    </row>
    <row r="342" spans="1:25" x14ac:dyDescent="0.25">
      <c r="A342" s="13"/>
      <c r="B342" s="13"/>
      <c r="C342" s="13"/>
      <c r="E342" s="108">
        <f t="shared" ref="E342:E347" si="25">+E341+1</f>
        <v>3</v>
      </c>
      <c r="F342" s="427" t="s">
        <v>28</v>
      </c>
      <c r="G342" s="617"/>
      <c r="H342" s="451">
        <f t="shared" si="24"/>
        <v>1768.9710281856051</v>
      </c>
      <c r="I342" s="611"/>
      <c r="J342" s="611"/>
      <c r="K342" s="609"/>
      <c r="M342" s="456">
        <v>1768.9710281856051</v>
      </c>
      <c r="N342" s="604"/>
      <c r="O342" s="556"/>
      <c r="P342" s="556"/>
      <c r="Q342" s="556"/>
      <c r="R342" s="556"/>
      <c r="S342" s="556"/>
      <c r="T342" s="556"/>
      <c r="U342" s="556"/>
      <c r="V342" s="556"/>
      <c r="W342" s="556"/>
      <c r="X342" s="556"/>
      <c r="Y342" s="557"/>
    </row>
    <row r="343" spans="1:25" x14ac:dyDescent="0.25">
      <c r="A343" s="13"/>
      <c r="B343" s="13"/>
      <c r="C343" s="13"/>
      <c r="E343" s="108">
        <f t="shared" si="25"/>
        <v>4</v>
      </c>
      <c r="F343" s="427" t="s">
        <v>28</v>
      </c>
      <c r="G343" s="617"/>
      <c r="H343" s="451">
        <f t="shared" si="24"/>
        <v>684.54434424040653</v>
      </c>
      <c r="I343" s="611"/>
      <c r="J343" s="611"/>
      <c r="K343" s="609"/>
      <c r="M343" s="456">
        <v>684.54434424040653</v>
      </c>
      <c r="N343" s="604"/>
      <c r="O343" s="556"/>
      <c r="P343" s="556"/>
      <c r="Q343" s="556"/>
      <c r="R343" s="556"/>
      <c r="S343" s="556"/>
      <c r="T343" s="556"/>
      <c r="U343" s="556"/>
      <c r="V343" s="556"/>
      <c r="W343" s="556"/>
      <c r="X343" s="556"/>
      <c r="Y343" s="557"/>
    </row>
    <row r="344" spans="1:25" x14ac:dyDescent="0.25">
      <c r="A344" s="13"/>
      <c r="B344" s="13"/>
      <c r="C344" s="13"/>
      <c r="E344" s="108">
        <f t="shared" si="25"/>
        <v>5</v>
      </c>
      <c r="F344" s="427" t="s">
        <v>28</v>
      </c>
      <c r="G344" s="617"/>
      <c r="H344" s="451">
        <f t="shared" si="24"/>
        <v>264.32900421164214</v>
      </c>
      <c r="I344" s="611"/>
      <c r="J344" s="611"/>
      <c r="K344" s="609"/>
      <c r="M344" s="456">
        <v>264.32900421164214</v>
      </c>
      <c r="N344" s="604"/>
      <c r="O344" s="556"/>
      <c r="P344" s="556"/>
      <c r="Q344" s="556"/>
      <c r="R344" s="556"/>
      <c r="S344" s="556"/>
      <c r="T344" s="556"/>
      <c r="U344" s="556"/>
      <c r="V344" s="556"/>
      <c r="W344" s="556"/>
      <c r="X344" s="556"/>
      <c r="Y344" s="557"/>
    </row>
    <row r="345" spans="1:25" x14ac:dyDescent="0.25">
      <c r="A345" s="13"/>
      <c r="B345" s="13"/>
      <c r="C345" s="13"/>
      <c r="E345" s="108">
        <f t="shared" si="25"/>
        <v>6</v>
      </c>
      <c r="F345" s="427" t="s">
        <v>27</v>
      </c>
      <c r="G345" s="617"/>
      <c r="H345" s="451">
        <f t="shared" si="24"/>
        <v>0</v>
      </c>
      <c r="I345" s="611"/>
      <c r="J345" s="611"/>
      <c r="K345" s="609"/>
      <c r="M345" s="456">
        <v>4947.6967454999685</v>
      </c>
      <c r="N345" s="604"/>
      <c r="O345" s="556"/>
      <c r="P345" s="556"/>
      <c r="Q345" s="556"/>
      <c r="R345" s="556"/>
      <c r="S345" s="556"/>
      <c r="T345" s="556"/>
      <c r="U345" s="556"/>
      <c r="V345" s="556"/>
      <c r="W345" s="556"/>
      <c r="X345" s="556"/>
      <c r="Y345" s="557"/>
    </row>
    <row r="346" spans="1:25" x14ac:dyDescent="0.25">
      <c r="A346" s="13"/>
      <c r="B346" s="13"/>
      <c r="C346" s="13"/>
      <c r="E346" s="108">
        <f t="shared" si="25"/>
        <v>7</v>
      </c>
      <c r="F346" s="427" t="s">
        <v>27</v>
      </c>
      <c r="G346" s="617"/>
      <c r="H346" s="451">
        <f t="shared" si="24"/>
        <v>0</v>
      </c>
      <c r="I346" s="611"/>
      <c r="J346" s="611"/>
      <c r="K346" s="609"/>
      <c r="M346" s="456">
        <v>2151.2314342762875</v>
      </c>
      <c r="N346" s="604"/>
      <c r="O346" s="556"/>
      <c r="P346" s="556"/>
      <c r="Q346" s="556"/>
      <c r="R346" s="556"/>
      <c r="S346" s="556"/>
      <c r="T346" s="556"/>
      <c r="U346" s="556"/>
      <c r="V346" s="556"/>
      <c r="W346" s="556"/>
      <c r="X346" s="556"/>
      <c r="Y346" s="557"/>
    </row>
    <row r="347" spans="1:25" ht="15.75" thickBot="1" x14ac:dyDescent="0.3">
      <c r="A347" s="13"/>
      <c r="B347" s="13"/>
      <c r="C347" s="13"/>
      <c r="E347" s="399">
        <f t="shared" si="25"/>
        <v>8</v>
      </c>
      <c r="F347" s="428" t="s">
        <v>27</v>
      </c>
      <c r="G347" s="618"/>
      <c r="H347" s="452">
        <f t="shared" si="24"/>
        <v>0</v>
      </c>
      <c r="I347" s="611"/>
      <c r="J347" s="611"/>
      <c r="K347" s="609"/>
      <c r="M347" s="456">
        <v>269.41225429263523</v>
      </c>
      <c r="N347" s="604"/>
      <c r="O347" s="556"/>
      <c r="P347" s="556"/>
      <c r="Q347" s="556"/>
      <c r="R347" s="556"/>
      <c r="S347" s="556"/>
      <c r="T347" s="556"/>
      <c r="U347" s="556"/>
      <c r="V347" s="556"/>
      <c r="W347" s="556"/>
      <c r="X347" s="556"/>
      <c r="Y347" s="557"/>
    </row>
    <row r="348" spans="1:25" ht="15.75" thickTop="1" x14ac:dyDescent="0.25">
      <c r="C348" s="52"/>
      <c r="D348" s="52"/>
      <c r="E348" s="421">
        <v>3</v>
      </c>
      <c r="F348" s="429" t="str">
        <f>IFERROR((LOOKUP(E348,E340:E347,F340:F347)),"NO")</f>
        <v>SI</v>
      </c>
      <c r="G348" s="616" t="s">
        <v>192</v>
      </c>
      <c r="H348" s="453">
        <f t="shared" si="24"/>
        <v>1768.9710281856051</v>
      </c>
      <c r="I348" s="610">
        <f>SUM(H348:H350)</f>
        <v>2717.844376637654</v>
      </c>
      <c r="J348" s="610">
        <f>+J321</f>
        <v>2295</v>
      </c>
      <c r="K348" s="622" t="str">
        <f>IF((I348-J348)&gt;0,"SI","NO")</f>
        <v>SI</v>
      </c>
      <c r="M348" s="457">
        <f>IFERROR((LOOKUP(E348,E339:E346,H339:H346)),0)</f>
        <v>1768.9710281856051</v>
      </c>
      <c r="N348" s="604"/>
      <c r="O348" s="556"/>
      <c r="P348" s="556"/>
      <c r="Q348" s="556"/>
      <c r="R348" s="556"/>
      <c r="S348" s="556"/>
      <c r="T348" s="556"/>
      <c r="U348" s="556"/>
      <c r="V348" s="556"/>
      <c r="W348" s="556"/>
      <c r="X348" s="556"/>
      <c r="Y348" s="557"/>
    </row>
    <row r="349" spans="1:25" x14ac:dyDescent="0.25">
      <c r="E349" s="422">
        <v>4</v>
      </c>
      <c r="F349" s="62" t="str">
        <f>IFERROR((LOOKUP(E349,E340:E347,F340:F347)),"NO")</f>
        <v>SI</v>
      </c>
      <c r="G349" s="617"/>
      <c r="H349" s="452">
        <f t="shared" si="24"/>
        <v>684.54434424040653</v>
      </c>
      <c r="I349" s="611"/>
      <c r="J349" s="611"/>
      <c r="K349" s="623"/>
      <c r="M349" s="457">
        <f>IFERROR((LOOKUP(E349,E340:E347,H340:H347)),0)</f>
        <v>684.54434424040653</v>
      </c>
      <c r="N349" s="604"/>
      <c r="O349" s="556"/>
      <c r="P349" s="556"/>
      <c r="Q349" s="556"/>
      <c r="R349" s="556"/>
      <c r="S349" s="556"/>
      <c r="T349" s="556"/>
      <c r="U349" s="556"/>
      <c r="V349" s="556"/>
      <c r="W349" s="556"/>
      <c r="X349" s="556"/>
      <c r="Y349" s="557"/>
    </row>
    <row r="350" spans="1:25" ht="15.75" thickBot="1" x14ac:dyDescent="0.3">
      <c r="E350" s="423">
        <v>5</v>
      </c>
      <c r="F350" s="430" t="str">
        <f>IFERROR((LOOKUP(E350,E340:E347,F340:F347)),"NO")</f>
        <v>SI</v>
      </c>
      <c r="G350" s="618"/>
      <c r="H350" s="454">
        <f t="shared" si="24"/>
        <v>264.32900421164214</v>
      </c>
      <c r="I350" s="615"/>
      <c r="J350" s="615"/>
      <c r="K350" s="624"/>
      <c r="M350" s="457">
        <f>IFERROR((LOOKUP(E350,E340:E347,H340:H347)),0)</f>
        <v>264.32900421164214</v>
      </c>
      <c r="N350" s="604"/>
      <c r="O350" s="556"/>
      <c r="P350" s="556"/>
      <c r="Q350" s="556"/>
      <c r="R350" s="556"/>
      <c r="S350" s="556"/>
      <c r="T350" s="556"/>
      <c r="U350" s="556"/>
      <c r="V350" s="556"/>
      <c r="W350" s="556"/>
      <c r="X350" s="556"/>
      <c r="Y350" s="557"/>
    </row>
    <row r="351" spans="1:25" ht="46.5" thickTop="1" thickBot="1" x14ac:dyDescent="0.3">
      <c r="E351" s="400"/>
      <c r="F351" s="401"/>
      <c r="G351" s="402" t="s">
        <v>193</v>
      </c>
      <c r="H351" s="425">
        <v>3</v>
      </c>
      <c r="I351" s="397">
        <f>+H351</f>
        <v>3</v>
      </c>
      <c r="J351" s="397">
        <f>+J324</f>
        <v>1</v>
      </c>
      <c r="K351" s="398" t="str">
        <f>IF((I351)&gt;=J351,"SI","NO")</f>
        <v>SI</v>
      </c>
      <c r="M351" s="424"/>
      <c r="N351" s="619"/>
      <c r="O351" s="620"/>
      <c r="P351" s="620"/>
      <c r="Q351" s="620"/>
      <c r="R351" s="620"/>
      <c r="S351" s="620"/>
      <c r="T351" s="620"/>
      <c r="U351" s="620"/>
      <c r="V351" s="620"/>
      <c r="W351" s="620"/>
      <c r="X351" s="620"/>
      <c r="Y351" s="621"/>
    </row>
    <row r="353" spans="1:25" x14ac:dyDescent="0.25">
      <c r="A353" s="46" t="s">
        <v>29</v>
      </c>
      <c r="B353" s="47">
        <f>+CONSOLIDADO!A59</f>
        <v>0</v>
      </c>
      <c r="C353" s="47"/>
      <c r="D353" s="47"/>
      <c r="E353" s="47"/>
      <c r="F353" s="47"/>
      <c r="G353" s="48"/>
      <c r="I353" s="466" t="s">
        <v>51</v>
      </c>
      <c r="J353" s="49" t="str">
        <f>IF(J355&gt;0,"NO HABILITADO","HABILITADO")</f>
        <v>NO HABILITADO</v>
      </c>
    </row>
    <row r="354" spans="1:25" x14ac:dyDescent="0.25">
      <c r="A354" s="46" t="str">
        <f>+A327</f>
        <v>GRUPO 1</v>
      </c>
      <c r="B354" s="470" t="str">
        <f>+B327</f>
        <v>SIERRA NEVADA-PERIJÁ-ZONA BANANERA</v>
      </c>
      <c r="C354" s="469"/>
      <c r="D354" s="469"/>
      <c r="E354" s="469"/>
      <c r="F354" s="469"/>
      <c r="G354" s="48"/>
      <c r="I354" s="46" t="s">
        <v>49</v>
      </c>
      <c r="J354" s="45">
        <f>COUNTIF(H360:H364,"SI")</f>
        <v>4</v>
      </c>
    </row>
    <row r="355" spans="1:25" x14ac:dyDescent="0.25">
      <c r="A355" s="46" t="s">
        <v>32</v>
      </c>
      <c r="B355" s="469">
        <f>+CONSOLIDADO!C60</f>
        <v>0</v>
      </c>
      <c r="C355" s="469"/>
      <c r="D355" s="469"/>
      <c r="E355" s="18"/>
      <c r="F355" s="76"/>
      <c r="G355" s="73"/>
      <c r="H355" s="1"/>
      <c r="I355" s="46" t="s">
        <v>50</v>
      </c>
      <c r="J355" s="45">
        <f>COUNTIF(H360:H364,"NO")</f>
        <v>1</v>
      </c>
    </row>
    <row r="356" spans="1:25" x14ac:dyDescent="0.25">
      <c r="A356" s="46" t="s">
        <v>33</v>
      </c>
      <c r="B356" s="469">
        <f>+CONSOLIDADO!C61</f>
        <v>0</v>
      </c>
      <c r="C356" s="469"/>
      <c r="D356" s="469"/>
      <c r="E356" s="1"/>
      <c r="F356" s="77"/>
      <c r="G356" s="73"/>
      <c r="H356" s="75"/>
      <c r="I356" s="46" t="s">
        <v>31</v>
      </c>
      <c r="J356" s="45">
        <f>COUNTIF(H360:H364,"N/A")</f>
        <v>0</v>
      </c>
    </row>
    <row r="357" spans="1:25" x14ac:dyDescent="0.25">
      <c r="A357" s="46" t="s">
        <v>34</v>
      </c>
      <c r="B357" s="469">
        <f>+CONSOLIDADO!C62</f>
        <v>0</v>
      </c>
      <c r="C357" s="469"/>
      <c r="D357" s="469"/>
      <c r="E357" s="1"/>
      <c r="F357" s="77"/>
      <c r="G357" s="73"/>
      <c r="H357" s="1"/>
      <c r="I357" s="48"/>
      <c r="J357" s="48"/>
      <c r="K357" s="48"/>
    </row>
    <row r="358" spans="1:25" ht="15.75" thickBot="1" x14ac:dyDescent="0.3">
      <c r="B358" s="51"/>
      <c r="C358" s="51"/>
      <c r="D358" s="51"/>
      <c r="E358" s="48"/>
      <c r="F358" s="48"/>
      <c r="G358" s="48"/>
      <c r="H358" s="48"/>
      <c r="I358" s="48"/>
      <c r="J358" s="48"/>
      <c r="K358" s="48"/>
    </row>
    <row r="359" spans="1:25" s="52" customFormat="1" ht="15.75" thickBot="1" x14ac:dyDescent="0.3">
      <c r="A359" s="447" t="s">
        <v>26</v>
      </c>
      <c r="B359" s="566" t="s">
        <v>42</v>
      </c>
      <c r="C359" s="566"/>
      <c r="D359" s="566"/>
      <c r="E359" s="566"/>
      <c r="F359" s="566"/>
      <c r="G359" s="566"/>
      <c r="H359" s="468" t="s">
        <v>47</v>
      </c>
    </row>
    <row r="360" spans="1:25" ht="30" customHeight="1" thickTop="1" x14ac:dyDescent="0.25">
      <c r="A360" s="445" t="s">
        <v>148</v>
      </c>
      <c r="B360" s="625" t="s">
        <v>73</v>
      </c>
      <c r="C360" s="625"/>
      <c r="D360" s="625"/>
      <c r="E360" s="625"/>
      <c r="F360" s="625"/>
      <c r="G360" s="625"/>
      <c r="H360" s="446" t="str">
        <f>+K367</f>
        <v>NO</v>
      </c>
    </row>
    <row r="361" spans="1:25" ht="45" customHeight="1" x14ac:dyDescent="0.25">
      <c r="A361" s="443" t="s">
        <v>149</v>
      </c>
      <c r="B361" s="626" t="s">
        <v>74</v>
      </c>
      <c r="C361" s="626"/>
      <c r="D361" s="626"/>
      <c r="E361" s="626"/>
      <c r="F361" s="626"/>
      <c r="G361" s="626"/>
      <c r="H361" s="442" t="str">
        <f>+K375</f>
        <v>SI</v>
      </c>
    </row>
    <row r="362" spans="1:25" ht="64.5" customHeight="1" x14ac:dyDescent="0.25">
      <c r="A362" s="443" t="s">
        <v>150</v>
      </c>
      <c r="B362" s="605" t="s">
        <v>75</v>
      </c>
      <c r="C362" s="605"/>
      <c r="D362" s="605"/>
      <c r="E362" s="605"/>
      <c r="F362" s="605"/>
      <c r="G362" s="605"/>
      <c r="H362" s="442" t="str">
        <f>+K378</f>
        <v>SI</v>
      </c>
    </row>
    <row r="363" spans="1:25" x14ac:dyDescent="0.25">
      <c r="A363" s="444" t="s">
        <v>70</v>
      </c>
      <c r="B363" s="606"/>
      <c r="C363" s="606"/>
      <c r="D363" s="606"/>
      <c r="E363" s="606"/>
      <c r="F363" s="606"/>
      <c r="G363" s="606"/>
      <c r="H363" s="448" t="s">
        <v>28</v>
      </c>
    </row>
    <row r="364" spans="1:25" ht="15.75" thickBot="1" x14ac:dyDescent="0.3">
      <c r="A364" s="403" t="s">
        <v>151</v>
      </c>
      <c r="B364" s="607"/>
      <c r="C364" s="607"/>
      <c r="D364" s="607"/>
      <c r="E364" s="607"/>
      <c r="F364" s="607"/>
      <c r="G364" s="607"/>
      <c r="H364" s="449" t="s">
        <v>28</v>
      </c>
    </row>
    <row r="365" spans="1:25" ht="15.75" thickBot="1" x14ac:dyDescent="0.3"/>
    <row r="366" spans="1:25" ht="45.75" thickBot="1" x14ac:dyDescent="0.3">
      <c r="A366" s="13"/>
      <c r="B366" s="13"/>
      <c r="C366" s="13"/>
      <c r="E366" s="111" t="s">
        <v>71</v>
      </c>
      <c r="F366" s="467" t="s">
        <v>190</v>
      </c>
      <c r="G366" s="467" t="s">
        <v>152</v>
      </c>
      <c r="H366" s="438" t="s">
        <v>196</v>
      </c>
      <c r="I366" s="114" t="s">
        <v>90</v>
      </c>
      <c r="J366" s="114" t="s">
        <v>89</v>
      </c>
      <c r="K366" s="468" t="s">
        <v>72</v>
      </c>
      <c r="M366" s="441" t="s">
        <v>195</v>
      </c>
      <c r="N366" s="598" t="s">
        <v>194</v>
      </c>
      <c r="O366" s="599"/>
      <c r="P366" s="599"/>
      <c r="Q366" s="599"/>
      <c r="R366" s="599"/>
      <c r="S366" s="599"/>
      <c r="T366" s="599"/>
      <c r="U366" s="599"/>
      <c r="V366" s="599"/>
      <c r="W366" s="599"/>
      <c r="X366" s="599"/>
      <c r="Y366" s="600"/>
    </row>
    <row r="367" spans="1:25" ht="15.75" thickTop="1" x14ac:dyDescent="0.25">
      <c r="A367" s="13"/>
      <c r="B367" s="13"/>
      <c r="C367" s="13"/>
      <c r="E367" s="110">
        <v>1</v>
      </c>
      <c r="F367" s="426" t="s">
        <v>27</v>
      </c>
      <c r="G367" s="616" t="s">
        <v>191</v>
      </c>
      <c r="H367" s="450">
        <f t="shared" ref="H367:H377" si="26">IF(F367="SI",M367,0)</f>
        <v>0</v>
      </c>
      <c r="I367" s="610">
        <f>SUM(H367:H374)</f>
        <v>4507.4195118182179</v>
      </c>
      <c r="J367" s="610">
        <f>+J340</f>
        <v>6119</v>
      </c>
      <c r="K367" s="608" t="str">
        <f>IF((I367-J367)&gt;0,"SI","NO")</f>
        <v>NO</v>
      </c>
      <c r="M367" s="455">
        <v>1768.9710281856051</v>
      </c>
      <c r="N367" s="601"/>
      <c r="O367" s="602"/>
      <c r="P367" s="602"/>
      <c r="Q367" s="602"/>
      <c r="R367" s="602"/>
      <c r="S367" s="602"/>
      <c r="T367" s="602"/>
      <c r="U367" s="602"/>
      <c r="V367" s="602"/>
      <c r="W367" s="602"/>
      <c r="X367" s="602"/>
      <c r="Y367" s="603"/>
    </row>
    <row r="368" spans="1:25" x14ac:dyDescent="0.25">
      <c r="A368" s="13"/>
      <c r="B368" s="13"/>
      <c r="C368" s="13"/>
      <c r="E368" s="108">
        <f>+E367+1</f>
        <v>2</v>
      </c>
      <c r="F368" s="427" t="s">
        <v>28</v>
      </c>
      <c r="G368" s="617"/>
      <c r="H368" s="451">
        <f t="shared" si="26"/>
        <v>1789.5751351805638</v>
      </c>
      <c r="I368" s="611"/>
      <c r="J368" s="611"/>
      <c r="K368" s="609"/>
      <c r="M368" s="456">
        <v>1789.5751351805638</v>
      </c>
      <c r="N368" s="604"/>
      <c r="O368" s="556"/>
      <c r="P368" s="556"/>
      <c r="Q368" s="556"/>
      <c r="R368" s="556"/>
      <c r="S368" s="556"/>
      <c r="T368" s="556"/>
      <c r="U368" s="556"/>
      <c r="V368" s="556"/>
      <c r="W368" s="556"/>
      <c r="X368" s="556"/>
      <c r="Y368" s="557"/>
    </row>
    <row r="369" spans="1:25" x14ac:dyDescent="0.25">
      <c r="A369" s="13"/>
      <c r="B369" s="13"/>
      <c r="C369" s="13"/>
      <c r="E369" s="108">
        <f t="shared" ref="E369:E374" si="27">+E368+1</f>
        <v>3</v>
      </c>
      <c r="F369" s="427" t="s">
        <v>28</v>
      </c>
      <c r="G369" s="617"/>
      <c r="H369" s="451">
        <f t="shared" si="26"/>
        <v>1768.9710281856051</v>
      </c>
      <c r="I369" s="611"/>
      <c r="J369" s="611"/>
      <c r="K369" s="609"/>
      <c r="M369" s="456">
        <v>1768.9710281856051</v>
      </c>
      <c r="N369" s="604"/>
      <c r="O369" s="556"/>
      <c r="P369" s="556"/>
      <c r="Q369" s="556"/>
      <c r="R369" s="556"/>
      <c r="S369" s="556"/>
      <c r="T369" s="556"/>
      <c r="U369" s="556"/>
      <c r="V369" s="556"/>
      <c r="W369" s="556"/>
      <c r="X369" s="556"/>
      <c r="Y369" s="557"/>
    </row>
    <row r="370" spans="1:25" x14ac:dyDescent="0.25">
      <c r="A370" s="13"/>
      <c r="B370" s="13"/>
      <c r="C370" s="13"/>
      <c r="E370" s="108">
        <f t="shared" si="27"/>
        <v>4</v>
      </c>
      <c r="F370" s="427" t="s">
        <v>28</v>
      </c>
      <c r="G370" s="617"/>
      <c r="H370" s="451">
        <f t="shared" si="26"/>
        <v>684.54434424040653</v>
      </c>
      <c r="I370" s="611"/>
      <c r="J370" s="611"/>
      <c r="K370" s="609"/>
      <c r="M370" s="456">
        <v>684.54434424040653</v>
      </c>
      <c r="N370" s="604"/>
      <c r="O370" s="556"/>
      <c r="P370" s="556"/>
      <c r="Q370" s="556"/>
      <c r="R370" s="556"/>
      <c r="S370" s="556"/>
      <c r="T370" s="556"/>
      <c r="U370" s="556"/>
      <c r="V370" s="556"/>
      <c r="W370" s="556"/>
      <c r="X370" s="556"/>
      <c r="Y370" s="557"/>
    </row>
    <row r="371" spans="1:25" x14ac:dyDescent="0.25">
      <c r="A371" s="13"/>
      <c r="B371" s="13"/>
      <c r="C371" s="13"/>
      <c r="E371" s="108">
        <f t="shared" si="27"/>
        <v>5</v>
      </c>
      <c r="F371" s="427" t="s">
        <v>28</v>
      </c>
      <c r="G371" s="617"/>
      <c r="H371" s="451">
        <f t="shared" si="26"/>
        <v>264.32900421164214</v>
      </c>
      <c r="I371" s="611"/>
      <c r="J371" s="611"/>
      <c r="K371" s="609"/>
      <c r="M371" s="456">
        <v>264.32900421164214</v>
      </c>
      <c r="N371" s="604"/>
      <c r="O371" s="556"/>
      <c r="P371" s="556"/>
      <c r="Q371" s="556"/>
      <c r="R371" s="556"/>
      <c r="S371" s="556"/>
      <c r="T371" s="556"/>
      <c r="U371" s="556"/>
      <c r="V371" s="556"/>
      <c r="W371" s="556"/>
      <c r="X371" s="556"/>
      <c r="Y371" s="557"/>
    </row>
    <row r="372" spans="1:25" x14ac:dyDescent="0.25">
      <c r="A372" s="13"/>
      <c r="B372" s="13"/>
      <c r="C372" s="13"/>
      <c r="E372" s="108">
        <f t="shared" si="27"/>
        <v>6</v>
      </c>
      <c r="F372" s="427" t="s">
        <v>27</v>
      </c>
      <c r="G372" s="617"/>
      <c r="H372" s="451">
        <f t="shared" si="26"/>
        <v>0</v>
      </c>
      <c r="I372" s="611"/>
      <c r="J372" s="611"/>
      <c r="K372" s="609"/>
      <c r="M372" s="456">
        <v>4947.6967454999685</v>
      </c>
      <c r="N372" s="604"/>
      <c r="O372" s="556"/>
      <c r="P372" s="556"/>
      <c r="Q372" s="556"/>
      <c r="R372" s="556"/>
      <c r="S372" s="556"/>
      <c r="T372" s="556"/>
      <c r="U372" s="556"/>
      <c r="V372" s="556"/>
      <c r="W372" s="556"/>
      <c r="X372" s="556"/>
      <c r="Y372" s="557"/>
    </row>
    <row r="373" spans="1:25" x14ac:dyDescent="0.25">
      <c r="A373" s="13"/>
      <c r="B373" s="13"/>
      <c r="C373" s="13"/>
      <c r="E373" s="108">
        <f t="shared" si="27"/>
        <v>7</v>
      </c>
      <c r="F373" s="427" t="s">
        <v>27</v>
      </c>
      <c r="G373" s="617"/>
      <c r="H373" s="451">
        <f t="shared" si="26"/>
        <v>0</v>
      </c>
      <c r="I373" s="611"/>
      <c r="J373" s="611"/>
      <c r="K373" s="609"/>
      <c r="M373" s="456">
        <v>2151.2314342762875</v>
      </c>
      <c r="N373" s="604"/>
      <c r="O373" s="556"/>
      <c r="P373" s="556"/>
      <c r="Q373" s="556"/>
      <c r="R373" s="556"/>
      <c r="S373" s="556"/>
      <c r="T373" s="556"/>
      <c r="U373" s="556"/>
      <c r="V373" s="556"/>
      <c r="W373" s="556"/>
      <c r="X373" s="556"/>
      <c r="Y373" s="557"/>
    </row>
    <row r="374" spans="1:25" ht="15.75" thickBot="1" x14ac:dyDescent="0.3">
      <c r="A374" s="13"/>
      <c r="B374" s="13"/>
      <c r="C374" s="13"/>
      <c r="E374" s="399">
        <f t="shared" si="27"/>
        <v>8</v>
      </c>
      <c r="F374" s="428" t="s">
        <v>27</v>
      </c>
      <c r="G374" s="618"/>
      <c r="H374" s="452">
        <f t="shared" si="26"/>
        <v>0</v>
      </c>
      <c r="I374" s="611"/>
      <c r="J374" s="611"/>
      <c r="K374" s="609"/>
      <c r="M374" s="456">
        <v>269.41225429263523</v>
      </c>
      <c r="N374" s="604"/>
      <c r="O374" s="556"/>
      <c r="P374" s="556"/>
      <c r="Q374" s="556"/>
      <c r="R374" s="556"/>
      <c r="S374" s="556"/>
      <c r="T374" s="556"/>
      <c r="U374" s="556"/>
      <c r="V374" s="556"/>
      <c r="W374" s="556"/>
      <c r="X374" s="556"/>
      <c r="Y374" s="557"/>
    </row>
    <row r="375" spans="1:25" ht="15.75" thickTop="1" x14ac:dyDescent="0.25">
      <c r="C375" s="52"/>
      <c r="D375" s="52"/>
      <c r="E375" s="421">
        <v>3</v>
      </c>
      <c r="F375" s="429" t="str">
        <f>IFERROR((LOOKUP(E375,E367:E374,F367:F374)),"NO")</f>
        <v>SI</v>
      </c>
      <c r="G375" s="616" t="s">
        <v>192</v>
      </c>
      <c r="H375" s="453">
        <f t="shared" si="26"/>
        <v>1768.9710281856051</v>
      </c>
      <c r="I375" s="610">
        <f>SUM(H375:H377)</f>
        <v>2717.844376637654</v>
      </c>
      <c r="J375" s="610">
        <f>+J348</f>
        <v>2295</v>
      </c>
      <c r="K375" s="622" t="str">
        <f>IF((I375-J375)&gt;0,"SI","NO")</f>
        <v>SI</v>
      </c>
      <c r="M375" s="457">
        <f>IFERROR((LOOKUP(E375,E366:E373,H366:H373)),0)</f>
        <v>1768.9710281856051</v>
      </c>
      <c r="N375" s="604"/>
      <c r="O375" s="556"/>
      <c r="P375" s="556"/>
      <c r="Q375" s="556"/>
      <c r="R375" s="556"/>
      <c r="S375" s="556"/>
      <c r="T375" s="556"/>
      <c r="U375" s="556"/>
      <c r="V375" s="556"/>
      <c r="W375" s="556"/>
      <c r="X375" s="556"/>
      <c r="Y375" s="557"/>
    </row>
    <row r="376" spans="1:25" x14ac:dyDescent="0.25">
      <c r="E376" s="422">
        <v>4</v>
      </c>
      <c r="F376" s="62" t="str">
        <f>IFERROR((LOOKUP(E376,E367:E374,F367:F374)),"NO")</f>
        <v>SI</v>
      </c>
      <c r="G376" s="617"/>
      <c r="H376" s="452">
        <f t="shared" si="26"/>
        <v>684.54434424040653</v>
      </c>
      <c r="I376" s="611"/>
      <c r="J376" s="611"/>
      <c r="K376" s="623"/>
      <c r="M376" s="457">
        <f>IFERROR((LOOKUP(E376,E367:E374,H367:H374)),0)</f>
        <v>684.54434424040653</v>
      </c>
      <c r="N376" s="604"/>
      <c r="O376" s="556"/>
      <c r="P376" s="556"/>
      <c r="Q376" s="556"/>
      <c r="R376" s="556"/>
      <c r="S376" s="556"/>
      <c r="T376" s="556"/>
      <c r="U376" s="556"/>
      <c r="V376" s="556"/>
      <c r="W376" s="556"/>
      <c r="X376" s="556"/>
      <c r="Y376" s="557"/>
    </row>
    <row r="377" spans="1:25" ht="15.75" thickBot="1" x14ac:dyDescent="0.3">
      <c r="E377" s="423">
        <v>5</v>
      </c>
      <c r="F377" s="430" t="str">
        <f>IFERROR((LOOKUP(E377,E367:E374,F367:F374)),"NO")</f>
        <v>SI</v>
      </c>
      <c r="G377" s="618"/>
      <c r="H377" s="454">
        <f t="shared" si="26"/>
        <v>264.32900421164214</v>
      </c>
      <c r="I377" s="615"/>
      <c r="J377" s="615"/>
      <c r="K377" s="624"/>
      <c r="M377" s="457">
        <f>IFERROR((LOOKUP(E377,E367:E374,H367:H374)),0)</f>
        <v>264.32900421164214</v>
      </c>
      <c r="N377" s="604"/>
      <c r="O377" s="556"/>
      <c r="P377" s="556"/>
      <c r="Q377" s="556"/>
      <c r="R377" s="556"/>
      <c r="S377" s="556"/>
      <c r="T377" s="556"/>
      <c r="U377" s="556"/>
      <c r="V377" s="556"/>
      <c r="W377" s="556"/>
      <c r="X377" s="556"/>
      <c r="Y377" s="557"/>
    </row>
    <row r="378" spans="1:25" ht="46.5" thickTop="1" thickBot="1" x14ac:dyDescent="0.3">
      <c r="E378" s="400"/>
      <c r="F378" s="401"/>
      <c r="G378" s="402" t="s">
        <v>193</v>
      </c>
      <c r="H378" s="425">
        <v>3</v>
      </c>
      <c r="I378" s="397">
        <f>+H378</f>
        <v>3</v>
      </c>
      <c r="J378" s="397">
        <f>+J351</f>
        <v>1</v>
      </c>
      <c r="K378" s="398" t="str">
        <f>IF((I378)&gt;=J378,"SI","NO")</f>
        <v>SI</v>
      </c>
      <c r="M378" s="424"/>
      <c r="N378" s="619"/>
      <c r="O378" s="620"/>
      <c r="P378" s="620"/>
      <c r="Q378" s="620"/>
      <c r="R378" s="620"/>
      <c r="S378" s="620"/>
      <c r="T378" s="620"/>
      <c r="U378" s="620"/>
      <c r="V378" s="620"/>
      <c r="W378" s="620"/>
      <c r="X378" s="620"/>
      <c r="Y378" s="621"/>
    </row>
    <row r="380" spans="1:25" x14ac:dyDescent="0.25">
      <c r="A380" s="46" t="s">
        <v>29</v>
      </c>
      <c r="B380" s="47">
        <f>+CONSOLIDADO!A63</f>
        <v>0</v>
      </c>
      <c r="C380" s="47"/>
      <c r="D380" s="47"/>
      <c r="E380" s="47"/>
      <c r="F380" s="47"/>
      <c r="G380" s="48"/>
      <c r="I380" s="466" t="s">
        <v>51</v>
      </c>
      <c r="J380" s="49" t="str">
        <f>IF(J382&gt;0,"NO HABILITADO","HABILITADO")</f>
        <v>NO HABILITADO</v>
      </c>
    </row>
    <row r="381" spans="1:25" x14ac:dyDescent="0.25">
      <c r="A381" s="46" t="str">
        <f>+A354</f>
        <v>GRUPO 1</v>
      </c>
      <c r="B381" s="470" t="str">
        <f>+B354</f>
        <v>SIERRA NEVADA-PERIJÁ-ZONA BANANERA</v>
      </c>
      <c r="C381" s="469"/>
      <c r="D381" s="469"/>
      <c r="E381" s="469"/>
      <c r="F381" s="469"/>
      <c r="G381" s="48"/>
      <c r="I381" s="46" t="s">
        <v>49</v>
      </c>
      <c r="J381" s="45">
        <f>COUNTIF(H387:H391,"SI")</f>
        <v>4</v>
      </c>
    </row>
    <row r="382" spans="1:25" x14ac:dyDescent="0.25">
      <c r="A382" s="46" t="s">
        <v>32</v>
      </c>
      <c r="B382" s="469">
        <f>+CONSOLIDADO!C64</f>
        <v>0</v>
      </c>
      <c r="C382" s="469"/>
      <c r="D382" s="469"/>
      <c r="E382" s="18"/>
      <c r="F382" s="76"/>
      <c r="G382" s="73"/>
      <c r="H382" s="1"/>
      <c r="I382" s="46" t="s">
        <v>50</v>
      </c>
      <c r="J382" s="45">
        <f>COUNTIF(H387:H391,"NO")</f>
        <v>1</v>
      </c>
    </row>
    <row r="383" spans="1:25" x14ac:dyDescent="0.25">
      <c r="A383" s="46" t="s">
        <v>33</v>
      </c>
      <c r="B383" s="469">
        <f>+CONSOLIDADO!C65</f>
        <v>0</v>
      </c>
      <c r="C383" s="469"/>
      <c r="D383" s="469"/>
      <c r="E383" s="1"/>
      <c r="F383" s="77"/>
      <c r="G383" s="73"/>
      <c r="H383" s="75"/>
      <c r="I383" s="46" t="s">
        <v>31</v>
      </c>
      <c r="J383" s="45">
        <f>COUNTIF(H387:H391,"N/A")</f>
        <v>0</v>
      </c>
    </row>
    <row r="384" spans="1:25" x14ac:dyDescent="0.25">
      <c r="A384" s="46" t="s">
        <v>34</v>
      </c>
      <c r="B384" s="469">
        <f>+CONSOLIDADO!C66</f>
        <v>0</v>
      </c>
      <c r="C384" s="469"/>
      <c r="D384" s="469"/>
      <c r="E384" s="1"/>
      <c r="F384" s="77"/>
      <c r="G384" s="73"/>
      <c r="H384" s="1"/>
      <c r="I384" s="48"/>
      <c r="J384" s="48"/>
      <c r="K384" s="48"/>
    </row>
    <row r="385" spans="1:25" ht="15.75" thickBot="1" x14ac:dyDescent="0.3">
      <c r="B385" s="51"/>
      <c r="C385" s="51"/>
      <c r="D385" s="51"/>
      <c r="E385" s="48"/>
      <c r="F385" s="48"/>
      <c r="G385" s="48"/>
      <c r="H385" s="48"/>
      <c r="I385" s="48"/>
      <c r="J385" s="48"/>
      <c r="K385" s="48"/>
    </row>
    <row r="386" spans="1:25" s="52" customFormat="1" ht="15.75" thickBot="1" x14ac:dyDescent="0.3">
      <c r="A386" s="447" t="s">
        <v>26</v>
      </c>
      <c r="B386" s="566" t="s">
        <v>42</v>
      </c>
      <c r="C386" s="566"/>
      <c r="D386" s="566"/>
      <c r="E386" s="566"/>
      <c r="F386" s="566"/>
      <c r="G386" s="566"/>
      <c r="H386" s="468" t="s">
        <v>47</v>
      </c>
    </row>
    <row r="387" spans="1:25" ht="30" customHeight="1" thickTop="1" x14ac:dyDescent="0.25">
      <c r="A387" s="445" t="s">
        <v>148</v>
      </c>
      <c r="B387" s="625" t="s">
        <v>73</v>
      </c>
      <c r="C387" s="625"/>
      <c r="D387" s="625"/>
      <c r="E387" s="625"/>
      <c r="F387" s="625"/>
      <c r="G387" s="625"/>
      <c r="H387" s="446" t="str">
        <f>+K394</f>
        <v>NO</v>
      </c>
    </row>
    <row r="388" spans="1:25" ht="45" customHeight="1" x14ac:dyDescent="0.25">
      <c r="A388" s="443" t="s">
        <v>149</v>
      </c>
      <c r="B388" s="626" t="s">
        <v>74</v>
      </c>
      <c r="C388" s="626"/>
      <c r="D388" s="626"/>
      <c r="E388" s="626"/>
      <c r="F388" s="626"/>
      <c r="G388" s="626"/>
      <c r="H388" s="442" t="str">
        <f>+K402</f>
        <v>SI</v>
      </c>
    </row>
    <row r="389" spans="1:25" ht="64.5" customHeight="1" x14ac:dyDescent="0.25">
      <c r="A389" s="443" t="s">
        <v>150</v>
      </c>
      <c r="B389" s="605" t="s">
        <v>75</v>
      </c>
      <c r="C389" s="605"/>
      <c r="D389" s="605"/>
      <c r="E389" s="605"/>
      <c r="F389" s="605"/>
      <c r="G389" s="605"/>
      <c r="H389" s="442" t="str">
        <f>+K405</f>
        <v>SI</v>
      </c>
    </row>
    <row r="390" spans="1:25" x14ac:dyDescent="0.25">
      <c r="A390" s="444" t="s">
        <v>70</v>
      </c>
      <c r="B390" s="606"/>
      <c r="C390" s="606"/>
      <c r="D390" s="606"/>
      <c r="E390" s="606"/>
      <c r="F390" s="606"/>
      <c r="G390" s="606"/>
      <c r="H390" s="448" t="s">
        <v>28</v>
      </c>
    </row>
    <row r="391" spans="1:25" ht="15.75" thickBot="1" x14ac:dyDescent="0.3">
      <c r="A391" s="403" t="s">
        <v>151</v>
      </c>
      <c r="B391" s="607"/>
      <c r="C391" s="607"/>
      <c r="D391" s="607"/>
      <c r="E391" s="607"/>
      <c r="F391" s="607"/>
      <c r="G391" s="607"/>
      <c r="H391" s="449" t="s">
        <v>28</v>
      </c>
    </row>
    <row r="392" spans="1:25" ht="15.75" thickBot="1" x14ac:dyDescent="0.3"/>
    <row r="393" spans="1:25" ht="45.75" thickBot="1" x14ac:dyDescent="0.3">
      <c r="A393" s="13"/>
      <c r="B393" s="13"/>
      <c r="C393" s="13"/>
      <c r="E393" s="111" t="s">
        <v>71</v>
      </c>
      <c r="F393" s="467" t="s">
        <v>190</v>
      </c>
      <c r="G393" s="467" t="s">
        <v>152</v>
      </c>
      <c r="H393" s="438" t="s">
        <v>196</v>
      </c>
      <c r="I393" s="114" t="s">
        <v>90</v>
      </c>
      <c r="J393" s="114" t="s">
        <v>89</v>
      </c>
      <c r="K393" s="468" t="s">
        <v>72</v>
      </c>
      <c r="M393" s="441" t="s">
        <v>195</v>
      </c>
      <c r="N393" s="598" t="s">
        <v>194</v>
      </c>
      <c r="O393" s="599"/>
      <c r="P393" s="599"/>
      <c r="Q393" s="599"/>
      <c r="R393" s="599"/>
      <c r="S393" s="599"/>
      <c r="T393" s="599"/>
      <c r="U393" s="599"/>
      <c r="V393" s="599"/>
      <c r="W393" s="599"/>
      <c r="X393" s="599"/>
      <c r="Y393" s="600"/>
    </row>
    <row r="394" spans="1:25" ht="15.75" thickTop="1" x14ac:dyDescent="0.25">
      <c r="A394" s="13"/>
      <c r="B394" s="13"/>
      <c r="C394" s="13"/>
      <c r="E394" s="110">
        <v>1</v>
      </c>
      <c r="F394" s="426" t="s">
        <v>27</v>
      </c>
      <c r="G394" s="616" t="s">
        <v>191</v>
      </c>
      <c r="H394" s="450">
        <f t="shared" ref="H394:H404" si="28">IF(F394="SI",M394,0)</f>
        <v>0</v>
      </c>
      <c r="I394" s="610">
        <f>SUM(H394:H401)</f>
        <v>4507.4195118182179</v>
      </c>
      <c r="J394" s="610">
        <f>+J367</f>
        <v>6119</v>
      </c>
      <c r="K394" s="608" t="str">
        <f>IF((I394-J394)&gt;0,"SI","NO")</f>
        <v>NO</v>
      </c>
      <c r="M394" s="455">
        <v>1768.9710281856051</v>
      </c>
      <c r="N394" s="601"/>
      <c r="O394" s="602"/>
      <c r="P394" s="602"/>
      <c r="Q394" s="602"/>
      <c r="R394" s="602"/>
      <c r="S394" s="602"/>
      <c r="T394" s="602"/>
      <c r="U394" s="602"/>
      <c r="V394" s="602"/>
      <c r="W394" s="602"/>
      <c r="X394" s="602"/>
      <c r="Y394" s="603"/>
    </row>
    <row r="395" spans="1:25" x14ac:dyDescent="0.25">
      <c r="A395" s="13"/>
      <c r="B395" s="13"/>
      <c r="C395" s="13"/>
      <c r="E395" s="108">
        <f>+E394+1</f>
        <v>2</v>
      </c>
      <c r="F395" s="427" t="s">
        <v>28</v>
      </c>
      <c r="G395" s="617"/>
      <c r="H395" s="451">
        <f t="shared" si="28"/>
        <v>1789.5751351805638</v>
      </c>
      <c r="I395" s="611"/>
      <c r="J395" s="611"/>
      <c r="K395" s="609"/>
      <c r="M395" s="456">
        <v>1789.5751351805638</v>
      </c>
      <c r="N395" s="604"/>
      <c r="O395" s="556"/>
      <c r="P395" s="556"/>
      <c r="Q395" s="556"/>
      <c r="R395" s="556"/>
      <c r="S395" s="556"/>
      <c r="T395" s="556"/>
      <c r="U395" s="556"/>
      <c r="V395" s="556"/>
      <c r="W395" s="556"/>
      <c r="X395" s="556"/>
      <c r="Y395" s="557"/>
    </row>
    <row r="396" spans="1:25" x14ac:dyDescent="0.25">
      <c r="A396" s="13"/>
      <c r="B396" s="13"/>
      <c r="C396" s="13"/>
      <c r="E396" s="108">
        <f t="shared" ref="E396:E401" si="29">+E395+1</f>
        <v>3</v>
      </c>
      <c r="F396" s="427" t="s">
        <v>28</v>
      </c>
      <c r="G396" s="617"/>
      <c r="H396" s="451">
        <f t="shared" si="28"/>
        <v>1768.9710281856051</v>
      </c>
      <c r="I396" s="611"/>
      <c r="J396" s="611"/>
      <c r="K396" s="609"/>
      <c r="M396" s="456">
        <v>1768.9710281856051</v>
      </c>
      <c r="N396" s="604"/>
      <c r="O396" s="556"/>
      <c r="P396" s="556"/>
      <c r="Q396" s="556"/>
      <c r="R396" s="556"/>
      <c r="S396" s="556"/>
      <c r="T396" s="556"/>
      <c r="U396" s="556"/>
      <c r="V396" s="556"/>
      <c r="W396" s="556"/>
      <c r="X396" s="556"/>
      <c r="Y396" s="557"/>
    </row>
    <row r="397" spans="1:25" x14ac:dyDescent="0.25">
      <c r="A397" s="13"/>
      <c r="B397" s="13"/>
      <c r="C397" s="13"/>
      <c r="E397" s="108">
        <f t="shared" si="29"/>
        <v>4</v>
      </c>
      <c r="F397" s="427" t="s">
        <v>28</v>
      </c>
      <c r="G397" s="617"/>
      <c r="H397" s="451">
        <f t="shared" si="28"/>
        <v>684.54434424040653</v>
      </c>
      <c r="I397" s="611"/>
      <c r="J397" s="611"/>
      <c r="K397" s="609"/>
      <c r="M397" s="456">
        <v>684.54434424040653</v>
      </c>
      <c r="N397" s="604"/>
      <c r="O397" s="556"/>
      <c r="P397" s="556"/>
      <c r="Q397" s="556"/>
      <c r="R397" s="556"/>
      <c r="S397" s="556"/>
      <c r="T397" s="556"/>
      <c r="U397" s="556"/>
      <c r="V397" s="556"/>
      <c r="W397" s="556"/>
      <c r="X397" s="556"/>
      <c r="Y397" s="557"/>
    </row>
    <row r="398" spans="1:25" x14ac:dyDescent="0.25">
      <c r="A398" s="13"/>
      <c r="B398" s="13"/>
      <c r="C398" s="13"/>
      <c r="E398" s="108">
        <f t="shared" si="29"/>
        <v>5</v>
      </c>
      <c r="F398" s="427" t="s">
        <v>28</v>
      </c>
      <c r="G398" s="617"/>
      <c r="H398" s="451">
        <f t="shared" si="28"/>
        <v>264.32900421164214</v>
      </c>
      <c r="I398" s="611"/>
      <c r="J398" s="611"/>
      <c r="K398" s="609"/>
      <c r="M398" s="456">
        <v>264.32900421164214</v>
      </c>
      <c r="N398" s="604"/>
      <c r="O398" s="556"/>
      <c r="P398" s="556"/>
      <c r="Q398" s="556"/>
      <c r="R398" s="556"/>
      <c r="S398" s="556"/>
      <c r="T398" s="556"/>
      <c r="U398" s="556"/>
      <c r="V398" s="556"/>
      <c r="W398" s="556"/>
      <c r="X398" s="556"/>
      <c r="Y398" s="557"/>
    </row>
    <row r="399" spans="1:25" x14ac:dyDescent="0.25">
      <c r="A399" s="13"/>
      <c r="B399" s="13"/>
      <c r="C399" s="13"/>
      <c r="E399" s="108">
        <f t="shared" si="29"/>
        <v>6</v>
      </c>
      <c r="F399" s="427" t="s">
        <v>27</v>
      </c>
      <c r="G399" s="617"/>
      <c r="H399" s="451">
        <f t="shared" si="28"/>
        <v>0</v>
      </c>
      <c r="I399" s="611"/>
      <c r="J399" s="611"/>
      <c r="K399" s="609"/>
      <c r="M399" s="456">
        <v>4947.6967454999685</v>
      </c>
      <c r="N399" s="604"/>
      <c r="O399" s="556"/>
      <c r="P399" s="556"/>
      <c r="Q399" s="556"/>
      <c r="R399" s="556"/>
      <c r="S399" s="556"/>
      <c r="T399" s="556"/>
      <c r="U399" s="556"/>
      <c r="V399" s="556"/>
      <c r="W399" s="556"/>
      <c r="X399" s="556"/>
      <c r="Y399" s="557"/>
    </row>
    <row r="400" spans="1:25" x14ac:dyDescent="0.25">
      <c r="A400" s="13"/>
      <c r="B400" s="13"/>
      <c r="C400" s="13"/>
      <c r="E400" s="108">
        <f t="shared" si="29"/>
        <v>7</v>
      </c>
      <c r="F400" s="427" t="s">
        <v>27</v>
      </c>
      <c r="G400" s="617"/>
      <c r="H400" s="451">
        <f t="shared" si="28"/>
        <v>0</v>
      </c>
      <c r="I400" s="611"/>
      <c r="J400" s="611"/>
      <c r="K400" s="609"/>
      <c r="M400" s="456">
        <v>2151.2314342762875</v>
      </c>
      <c r="N400" s="604"/>
      <c r="O400" s="556"/>
      <c r="P400" s="556"/>
      <c r="Q400" s="556"/>
      <c r="R400" s="556"/>
      <c r="S400" s="556"/>
      <c r="T400" s="556"/>
      <c r="U400" s="556"/>
      <c r="V400" s="556"/>
      <c r="W400" s="556"/>
      <c r="X400" s="556"/>
      <c r="Y400" s="557"/>
    </row>
    <row r="401" spans="1:25" ht="15.75" thickBot="1" x14ac:dyDescent="0.3">
      <c r="A401" s="13"/>
      <c r="B401" s="13"/>
      <c r="C401" s="13"/>
      <c r="E401" s="399">
        <f t="shared" si="29"/>
        <v>8</v>
      </c>
      <c r="F401" s="428" t="s">
        <v>27</v>
      </c>
      <c r="G401" s="618"/>
      <c r="H401" s="452">
        <f t="shared" si="28"/>
        <v>0</v>
      </c>
      <c r="I401" s="611"/>
      <c r="J401" s="611"/>
      <c r="K401" s="609"/>
      <c r="M401" s="456">
        <v>269.41225429263523</v>
      </c>
      <c r="N401" s="604"/>
      <c r="O401" s="556"/>
      <c r="P401" s="556"/>
      <c r="Q401" s="556"/>
      <c r="R401" s="556"/>
      <c r="S401" s="556"/>
      <c r="T401" s="556"/>
      <c r="U401" s="556"/>
      <c r="V401" s="556"/>
      <c r="W401" s="556"/>
      <c r="X401" s="556"/>
      <c r="Y401" s="557"/>
    </row>
    <row r="402" spans="1:25" ht="15.75" thickTop="1" x14ac:dyDescent="0.25">
      <c r="C402" s="52"/>
      <c r="D402" s="52"/>
      <c r="E402" s="421">
        <v>3</v>
      </c>
      <c r="F402" s="429" t="str">
        <f>IFERROR((LOOKUP(E402,E394:E401,F394:F401)),"NO")</f>
        <v>SI</v>
      </c>
      <c r="G402" s="616" t="s">
        <v>192</v>
      </c>
      <c r="H402" s="453">
        <f t="shared" si="28"/>
        <v>1768.9710281856051</v>
      </c>
      <c r="I402" s="610">
        <f>SUM(H402:H404)</f>
        <v>2717.844376637654</v>
      </c>
      <c r="J402" s="610">
        <f>+J375</f>
        <v>2295</v>
      </c>
      <c r="K402" s="622" t="str">
        <f>IF((I402-J402)&gt;0,"SI","NO")</f>
        <v>SI</v>
      </c>
      <c r="M402" s="457">
        <f>IFERROR((LOOKUP(E402,E393:E400,H393:H400)),0)</f>
        <v>1768.9710281856051</v>
      </c>
      <c r="N402" s="604"/>
      <c r="O402" s="556"/>
      <c r="P402" s="556"/>
      <c r="Q402" s="556"/>
      <c r="R402" s="556"/>
      <c r="S402" s="556"/>
      <c r="T402" s="556"/>
      <c r="U402" s="556"/>
      <c r="V402" s="556"/>
      <c r="W402" s="556"/>
      <c r="X402" s="556"/>
      <c r="Y402" s="557"/>
    </row>
    <row r="403" spans="1:25" x14ac:dyDescent="0.25">
      <c r="E403" s="422">
        <v>4</v>
      </c>
      <c r="F403" s="62" t="str">
        <f>IFERROR((LOOKUP(E403,E394:E401,F394:F401)),"NO")</f>
        <v>SI</v>
      </c>
      <c r="G403" s="617"/>
      <c r="H403" s="452">
        <f t="shared" si="28"/>
        <v>684.54434424040653</v>
      </c>
      <c r="I403" s="611"/>
      <c r="J403" s="611"/>
      <c r="K403" s="623"/>
      <c r="M403" s="457">
        <f>IFERROR((LOOKUP(E403,E394:E401,H394:H401)),0)</f>
        <v>684.54434424040653</v>
      </c>
      <c r="N403" s="604"/>
      <c r="O403" s="556"/>
      <c r="P403" s="556"/>
      <c r="Q403" s="556"/>
      <c r="R403" s="556"/>
      <c r="S403" s="556"/>
      <c r="T403" s="556"/>
      <c r="U403" s="556"/>
      <c r="V403" s="556"/>
      <c r="W403" s="556"/>
      <c r="X403" s="556"/>
      <c r="Y403" s="557"/>
    </row>
    <row r="404" spans="1:25" ht="15.75" thickBot="1" x14ac:dyDescent="0.3">
      <c r="E404" s="423">
        <v>5</v>
      </c>
      <c r="F404" s="430" t="str">
        <f>IFERROR((LOOKUP(E404,E394:E401,F394:F401)),"NO")</f>
        <v>SI</v>
      </c>
      <c r="G404" s="618"/>
      <c r="H404" s="454">
        <f t="shared" si="28"/>
        <v>264.32900421164214</v>
      </c>
      <c r="I404" s="615"/>
      <c r="J404" s="615"/>
      <c r="K404" s="624"/>
      <c r="M404" s="457">
        <f>IFERROR((LOOKUP(E404,E394:E401,H394:H401)),0)</f>
        <v>264.32900421164214</v>
      </c>
      <c r="N404" s="604"/>
      <c r="O404" s="556"/>
      <c r="P404" s="556"/>
      <c r="Q404" s="556"/>
      <c r="R404" s="556"/>
      <c r="S404" s="556"/>
      <c r="T404" s="556"/>
      <c r="U404" s="556"/>
      <c r="V404" s="556"/>
      <c r="W404" s="556"/>
      <c r="X404" s="556"/>
      <c r="Y404" s="557"/>
    </row>
    <row r="405" spans="1:25" ht="46.5" thickTop="1" thickBot="1" x14ac:dyDescent="0.3">
      <c r="E405" s="400"/>
      <c r="F405" s="401"/>
      <c r="G405" s="402" t="s">
        <v>193</v>
      </c>
      <c r="H405" s="425">
        <v>3</v>
      </c>
      <c r="I405" s="397">
        <f>+H405</f>
        <v>3</v>
      </c>
      <c r="J405" s="397">
        <f>+J378</f>
        <v>1</v>
      </c>
      <c r="K405" s="398" t="str">
        <f>IF((I405)&gt;=J405,"SI","NO")</f>
        <v>SI</v>
      </c>
      <c r="M405" s="424"/>
      <c r="N405" s="619"/>
      <c r="O405" s="620"/>
      <c r="P405" s="620"/>
      <c r="Q405" s="620"/>
      <c r="R405" s="620"/>
      <c r="S405" s="620"/>
      <c r="T405" s="620"/>
      <c r="U405" s="620"/>
      <c r="V405" s="620"/>
      <c r="W405" s="620"/>
      <c r="X405" s="620"/>
      <c r="Y405" s="621"/>
    </row>
    <row r="407" spans="1:25" x14ac:dyDescent="0.25">
      <c r="A407" s="46" t="s">
        <v>29</v>
      </c>
      <c r="B407" s="47">
        <f>+CONSOLIDADO!A67</f>
        <v>0</v>
      </c>
      <c r="C407" s="47"/>
      <c r="D407" s="47"/>
      <c r="E407" s="47"/>
      <c r="F407" s="47"/>
      <c r="G407" s="48"/>
      <c r="I407" s="466" t="s">
        <v>51</v>
      </c>
      <c r="J407" s="49" t="str">
        <f>IF(J409&gt;0,"NO HABILITADO","HABILITADO")</f>
        <v>NO HABILITADO</v>
      </c>
    </row>
    <row r="408" spans="1:25" x14ac:dyDescent="0.25">
      <c r="A408" s="46" t="str">
        <f>+A381</f>
        <v>GRUPO 1</v>
      </c>
      <c r="B408" s="470" t="str">
        <f>+B381</f>
        <v>SIERRA NEVADA-PERIJÁ-ZONA BANANERA</v>
      </c>
      <c r="C408" s="469"/>
      <c r="D408" s="469"/>
      <c r="E408" s="469"/>
      <c r="F408" s="469"/>
      <c r="G408" s="48"/>
      <c r="I408" s="46" t="s">
        <v>49</v>
      </c>
      <c r="J408" s="45">
        <f>COUNTIF(H414:H418,"SI")</f>
        <v>4</v>
      </c>
    </row>
    <row r="409" spans="1:25" x14ac:dyDescent="0.25">
      <c r="A409" s="46" t="s">
        <v>32</v>
      </c>
      <c r="B409" s="469">
        <f>+CONSOLIDADO!C68</f>
        <v>0</v>
      </c>
      <c r="C409" s="469"/>
      <c r="D409" s="469"/>
      <c r="E409" s="18"/>
      <c r="F409" s="76"/>
      <c r="G409" s="73"/>
      <c r="H409" s="1"/>
      <c r="I409" s="46" t="s">
        <v>50</v>
      </c>
      <c r="J409" s="45">
        <f>COUNTIF(H414:H418,"NO")</f>
        <v>1</v>
      </c>
    </row>
    <row r="410" spans="1:25" x14ac:dyDescent="0.25">
      <c r="A410" s="46" t="s">
        <v>33</v>
      </c>
      <c r="B410" s="469">
        <f>+CONSOLIDADO!C69</f>
        <v>0</v>
      </c>
      <c r="C410" s="469"/>
      <c r="D410" s="469"/>
      <c r="E410" s="1"/>
      <c r="F410" s="77"/>
      <c r="G410" s="73"/>
      <c r="H410" s="75"/>
      <c r="I410" s="46" t="s">
        <v>31</v>
      </c>
      <c r="J410" s="45">
        <f>COUNTIF(H414:H418,"N/A")</f>
        <v>0</v>
      </c>
    </row>
    <row r="411" spans="1:25" x14ac:dyDescent="0.25">
      <c r="A411" s="46" t="s">
        <v>34</v>
      </c>
      <c r="B411" s="469">
        <f>+CONSOLIDADO!C70</f>
        <v>0</v>
      </c>
      <c r="C411" s="469"/>
      <c r="D411" s="469"/>
      <c r="E411" s="1"/>
      <c r="F411" s="77"/>
      <c r="G411" s="73"/>
      <c r="H411" s="1"/>
      <c r="I411" s="48"/>
      <c r="J411" s="48"/>
      <c r="K411" s="48"/>
    </row>
    <row r="412" spans="1:25" ht="15.75" thickBot="1" x14ac:dyDescent="0.3">
      <c r="B412" s="51"/>
      <c r="C412" s="51"/>
      <c r="D412" s="51"/>
      <c r="E412" s="48"/>
      <c r="F412" s="48"/>
      <c r="G412" s="48"/>
      <c r="H412" s="48"/>
      <c r="I412" s="48"/>
      <c r="J412" s="48"/>
      <c r="K412" s="48"/>
    </row>
    <row r="413" spans="1:25" s="52" customFormat="1" ht="15.75" thickBot="1" x14ac:dyDescent="0.3">
      <c r="A413" s="447" t="s">
        <v>26</v>
      </c>
      <c r="B413" s="566" t="s">
        <v>42</v>
      </c>
      <c r="C413" s="566"/>
      <c r="D413" s="566"/>
      <c r="E413" s="566"/>
      <c r="F413" s="566"/>
      <c r="G413" s="566"/>
      <c r="H413" s="468" t="s">
        <v>47</v>
      </c>
    </row>
    <row r="414" spans="1:25" ht="30" customHeight="1" thickTop="1" x14ac:dyDescent="0.25">
      <c r="A414" s="445" t="s">
        <v>148</v>
      </c>
      <c r="B414" s="625" t="s">
        <v>73</v>
      </c>
      <c r="C414" s="625"/>
      <c r="D414" s="625"/>
      <c r="E414" s="625"/>
      <c r="F414" s="625"/>
      <c r="G414" s="625"/>
      <c r="H414" s="446" t="str">
        <f>+K421</f>
        <v>NO</v>
      </c>
    </row>
    <row r="415" spans="1:25" ht="45" customHeight="1" x14ac:dyDescent="0.25">
      <c r="A415" s="443" t="s">
        <v>149</v>
      </c>
      <c r="B415" s="626" t="s">
        <v>74</v>
      </c>
      <c r="C415" s="626"/>
      <c r="D415" s="626"/>
      <c r="E415" s="626"/>
      <c r="F415" s="626"/>
      <c r="G415" s="626"/>
      <c r="H415" s="442" t="str">
        <f>+K429</f>
        <v>SI</v>
      </c>
    </row>
    <row r="416" spans="1:25" ht="64.5" customHeight="1" x14ac:dyDescent="0.25">
      <c r="A416" s="443" t="s">
        <v>150</v>
      </c>
      <c r="B416" s="605" t="s">
        <v>75</v>
      </c>
      <c r="C416" s="605"/>
      <c r="D416" s="605"/>
      <c r="E416" s="605"/>
      <c r="F416" s="605"/>
      <c r="G416" s="605"/>
      <c r="H416" s="442" t="str">
        <f>+K432</f>
        <v>SI</v>
      </c>
    </row>
    <row r="417" spans="1:25" x14ac:dyDescent="0.25">
      <c r="A417" s="444" t="s">
        <v>70</v>
      </c>
      <c r="B417" s="606"/>
      <c r="C417" s="606"/>
      <c r="D417" s="606"/>
      <c r="E417" s="606"/>
      <c r="F417" s="606"/>
      <c r="G417" s="606"/>
      <c r="H417" s="448" t="s">
        <v>28</v>
      </c>
    </row>
    <row r="418" spans="1:25" ht="15.75" thickBot="1" x14ac:dyDescent="0.3">
      <c r="A418" s="403" t="s">
        <v>151</v>
      </c>
      <c r="B418" s="607"/>
      <c r="C418" s="607"/>
      <c r="D418" s="607"/>
      <c r="E418" s="607"/>
      <c r="F418" s="607"/>
      <c r="G418" s="607"/>
      <c r="H418" s="449" t="s">
        <v>28</v>
      </c>
    </row>
    <row r="419" spans="1:25" ht="15.75" thickBot="1" x14ac:dyDescent="0.3"/>
    <row r="420" spans="1:25" ht="45.75" thickBot="1" x14ac:dyDescent="0.3">
      <c r="A420" s="13"/>
      <c r="B420" s="13"/>
      <c r="C420" s="13"/>
      <c r="E420" s="111" t="s">
        <v>71</v>
      </c>
      <c r="F420" s="467" t="s">
        <v>190</v>
      </c>
      <c r="G420" s="467" t="s">
        <v>152</v>
      </c>
      <c r="H420" s="438" t="s">
        <v>196</v>
      </c>
      <c r="I420" s="114" t="s">
        <v>90</v>
      </c>
      <c r="J420" s="114" t="s">
        <v>89</v>
      </c>
      <c r="K420" s="468" t="s">
        <v>72</v>
      </c>
      <c r="M420" s="441" t="s">
        <v>195</v>
      </c>
      <c r="N420" s="598" t="s">
        <v>194</v>
      </c>
      <c r="O420" s="599"/>
      <c r="P420" s="599"/>
      <c r="Q420" s="599"/>
      <c r="R420" s="599"/>
      <c r="S420" s="599"/>
      <c r="T420" s="599"/>
      <c r="U420" s="599"/>
      <c r="V420" s="599"/>
      <c r="W420" s="599"/>
      <c r="X420" s="599"/>
      <c r="Y420" s="600"/>
    </row>
    <row r="421" spans="1:25" ht="15.75" thickTop="1" x14ac:dyDescent="0.25">
      <c r="A421" s="13"/>
      <c r="B421" s="13"/>
      <c r="C421" s="13"/>
      <c r="E421" s="110">
        <v>1</v>
      </c>
      <c r="F421" s="426" t="s">
        <v>27</v>
      </c>
      <c r="G421" s="616" t="s">
        <v>191</v>
      </c>
      <c r="H421" s="450">
        <f t="shared" ref="H421:H431" si="30">IF(F421="SI",M421,0)</f>
        <v>0</v>
      </c>
      <c r="I421" s="610">
        <f>SUM(H421:H428)</f>
        <v>4507.4195118182179</v>
      </c>
      <c r="J421" s="610">
        <f>+J394</f>
        <v>6119</v>
      </c>
      <c r="K421" s="608" t="str">
        <f>IF((I421-J421)&gt;0,"SI","NO")</f>
        <v>NO</v>
      </c>
      <c r="M421" s="455">
        <v>1768.9710281856051</v>
      </c>
      <c r="N421" s="601"/>
      <c r="O421" s="602"/>
      <c r="P421" s="602"/>
      <c r="Q421" s="602"/>
      <c r="R421" s="602"/>
      <c r="S421" s="602"/>
      <c r="T421" s="602"/>
      <c r="U421" s="602"/>
      <c r="V421" s="602"/>
      <c r="W421" s="602"/>
      <c r="X421" s="602"/>
      <c r="Y421" s="603"/>
    </row>
    <row r="422" spans="1:25" x14ac:dyDescent="0.25">
      <c r="A422" s="13"/>
      <c r="B422" s="13"/>
      <c r="C422" s="13"/>
      <c r="E422" s="108">
        <f>+E421+1</f>
        <v>2</v>
      </c>
      <c r="F422" s="427" t="s">
        <v>28</v>
      </c>
      <c r="G422" s="617"/>
      <c r="H422" s="451">
        <f t="shared" si="30"/>
        <v>1789.5751351805638</v>
      </c>
      <c r="I422" s="611"/>
      <c r="J422" s="611"/>
      <c r="K422" s="609"/>
      <c r="M422" s="456">
        <v>1789.5751351805638</v>
      </c>
      <c r="N422" s="604"/>
      <c r="O422" s="556"/>
      <c r="P422" s="556"/>
      <c r="Q422" s="556"/>
      <c r="R422" s="556"/>
      <c r="S422" s="556"/>
      <c r="T422" s="556"/>
      <c r="U422" s="556"/>
      <c r="V422" s="556"/>
      <c r="W422" s="556"/>
      <c r="X422" s="556"/>
      <c r="Y422" s="557"/>
    </row>
    <row r="423" spans="1:25" x14ac:dyDescent="0.25">
      <c r="A423" s="13"/>
      <c r="B423" s="13"/>
      <c r="C423" s="13"/>
      <c r="E423" s="108">
        <f t="shared" ref="E423:E428" si="31">+E422+1</f>
        <v>3</v>
      </c>
      <c r="F423" s="427" t="s">
        <v>28</v>
      </c>
      <c r="G423" s="617"/>
      <c r="H423" s="451">
        <f t="shared" si="30"/>
        <v>1768.9710281856051</v>
      </c>
      <c r="I423" s="611"/>
      <c r="J423" s="611"/>
      <c r="K423" s="609"/>
      <c r="M423" s="456">
        <v>1768.9710281856051</v>
      </c>
      <c r="N423" s="604"/>
      <c r="O423" s="556"/>
      <c r="P423" s="556"/>
      <c r="Q423" s="556"/>
      <c r="R423" s="556"/>
      <c r="S423" s="556"/>
      <c r="T423" s="556"/>
      <c r="U423" s="556"/>
      <c r="V423" s="556"/>
      <c r="W423" s="556"/>
      <c r="X423" s="556"/>
      <c r="Y423" s="557"/>
    </row>
    <row r="424" spans="1:25" x14ac:dyDescent="0.25">
      <c r="A424" s="13"/>
      <c r="B424" s="13"/>
      <c r="C424" s="13"/>
      <c r="E424" s="108">
        <f t="shared" si="31"/>
        <v>4</v>
      </c>
      <c r="F424" s="427" t="s">
        <v>28</v>
      </c>
      <c r="G424" s="617"/>
      <c r="H424" s="451">
        <f t="shared" si="30"/>
        <v>684.54434424040653</v>
      </c>
      <c r="I424" s="611"/>
      <c r="J424" s="611"/>
      <c r="K424" s="609"/>
      <c r="M424" s="456">
        <v>684.54434424040653</v>
      </c>
      <c r="N424" s="604"/>
      <c r="O424" s="556"/>
      <c r="P424" s="556"/>
      <c r="Q424" s="556"/>
      <c r="R424" s="556"/>
      <c r="S424" s="556"/>
      <c r="T424" s="556"/>
      <c r="U424" s="556"/>
      <c r="V424" s="556"/>
      <c r="W424" s="556"/>
      <c r="X424" s="556"/>
      <c r="Y424" s="557"/>
    </row>
    <row r="425" spans="1:25" x14ac:dyDescent="0.25">
      <c r="A425" s="13"/>
      <c r="B425" s="13"/>
      <c r="C425" s="13"/>
      <c r="E425" s="108">
        <f t="shared" si="31"/>
        <v>5</v>
      </c>
      <c r="F425" s="427" t="s">
        <v>28</v>
      </c>
      <c r="G425" s="617"/>
      <c r="H425" s="451">
        <f t="shared" si="30"/>
        <v>264.32900421164214</v>
      </c>
      <c r="I425" s="611"/>
      <c r="J425" s="611"/>
      <c r="K425" s="609"/>
      <c r="M425" s="456">
        <v>264.32900421164214</v>
      </c>
      <c r="N425" s="604"/>
      <c r="O425" s="556"/>
      <c r="P425" s="556"/>
      <c r="Q425" s="556"/>
      <c r="R425" s="556"/>
      <c r="S425" s="556"/>
      <c r="T425" s="556"/>
      <c r="U425" s="556"/>
      <c r="V425" s="556"/>
      <c r="W425" s="556"/>
      <c r="X425" s="556"/>
      <c r="Y425" s="557"/>
    </row>
    <row r="426" spans="1:25" x14ac:dyDescent="0.25">
      <c r="A426" s="13"/>
      <c r="B426" s="13"/>
      <c r="C426" s="13"/>
      <c r="E426" s="108">
        <f t="shared" si="31"/>
        <v>6</v>
      </c>
      <c r="F426" s="427" t="s">
        <v>27</v>
      </c>
      <c r="G426" s="617"/>
      <c r="H426" s="451">
        <f t="shared" si="30"/>
        <v>0</v>
      </c>
      <c r="I426" s="611"/>
      <c r="J426" s="611"/>
      <c r="K426" s="609"/>
      <c r="M426" s="456">
        <v>4947.6967454999685</v>
      </c>
      <c r="N426" s="604"/>
      <c r="O426" s="556"/>
      <c r="P426" s="556"/>
      <c r="Q426" s="556"/>
      <c r="R426" s="556"/>
      <c r="S426" s="556"/>
      <c r="T426" s="556"/>
      <c r="U426" s="556"/>
      <c r="V426" s="556"/>
      <c r="W426" s="556"/>
      <c r="X426" s="556"/>
      <c r="Y426" s="557"/>
    </row>
    <row r="427" spans="1:25" x14ac:dyDescent="0.25">
      <c r="A427" s="13"/>
      <c r="B427" s="13"/>
      <c r="C427" s="13"/>
      <c r="E427" s="108">
        <f t="shared" si="31"/>
        <v>7</v>
      </c>
      <c r="F427" s="427" t="s">
        <v>27</v>
      </c>
      <c r="G427" s="617"/>
      <c r="H427" s="451">
        <f t="shared" si="30"/>
        <v>0</v>
      </c>
      <c r="I427" s="611"/>
      <c r="J427" s="611"/>
      <c r="K427" s="609"/>
      <c r="M427" s="456">
        <v>2151.2314342762875</v>
      </c>
      <c r="N427" s="604"/>
      <c r="O427" s="556"/>
      <c r="P427" s="556"/>
      <c r="Q427" s="556"/>
      <c r="R427" s="556"/>
      <c r="S427" s="556"/>
      <c r="T427" s="556"/>
      <c r="U427" s="556"/>
      <c r="V427" s="556"/>
      <c r="W427" s="556"/>
      <c r="X427" s="556"/>
      <c r="Y427" s="557"/>
    </row>
    <row r="428" spans="1:25" ht="15.75" thickBot="1" x14ac:dyDescent="0.3">
      <c r="A428" s="13"/>
      <c r="B428" s="13"/>
      <c r="C428" s="13"/>
      <c r="E428" s="399">
        <f t="shared" si="31"/>
        <v>8</v>
      </c>
      <c r="F428" s="428" t="s">
        <v>27</v>
      </c>
      <c r="G428" s="618"/>
      <c r="H428" s="452">
        <f t="shared" si="30"/>
        <v>0</v>
      </c>
      <c r="I428" s="611"/>
      <c r="J428" s="611"/>
      <c r="K428" s="609"/>
      <c r="M428" s="456">
        <v>269.41225429263523</v>
      </c>
      <c r="N428" s="604"/>
      <c r="O428" s="556"/>
      <c r="P428" s="556"/>
      <c r="Q428" s="556"/>
      <c r="R428" s="556"/>
      <c r="S428" s="556"/>
      <c r="T428" s="556"/>
      <c r="U428" s="556"/>
      <c r="V428" s="556"/>
      <c r="W428" s="556"/>
      <c r="X428" s="556"/>
      <c r="Y428" s="557"/>
    </row>
    <row r="429" spans="1:25" ht="15.75" thickTop="1" x14ac:dyDescent="0.25">
      <c r="C429" s="52"/>
      <c r="D429" s="52"/>
      <c r="E429" s="421">
        <v>3</v>
      </c>
      <c r="F429" s="429" t="str">
        <f>IFERROR((LOOKUP(E429,E421:E428,F421:F428)),"NO")</f>
        <v>SI</v>
      </c>
      <c r="G429" s="616" t="s">
        <v>192</v>
      </c>
      <c r="H429" s="453">
        <f t="shared" si="30"/>
        <v>1768.9710281856051</v>
      </c>
      <c r="I429" s="610">
        <f>SUM(H429:H431)</f>
        <v>2717.844376637654</v>
      </c>
      <c r="J429" s="610">
        <f>+J402</f>
        <v>2295</v>
      </c>
      <c r="K429" s="622" t="str">
        <f>IF((I429-J429)&gt;0,"SI","NO")</f>
        <v>SI</v>
      </c>
      <c r="M429" s="457">
        <f>IFERROR((LOOKUP(E429,E420:E427,H420:H427)),0)</f>
        <v>1768.9710281856051</v>
      </c>
      <c r="N429" s="604"/>
      <c r="O429" s="556"/>
      <c r="P429" s="556"/>
      <c r="Q429" s="556"/>
      <c r="R429" s="556"/>
      <c r="S429" s="556"/>
      <c r="T429" s="556"/>
      <c r="U429" s="556"/>
      <c r="V429" s="556"/>
      <c r="W429" s="556"/>
      <c r="X429" s="556"/>
      <c r="Y429" s="557"/>
    </row>
    <row r="430" spans="1:25" x14ac:dyDescent="0.25">
      <c r="E430" s="422">
        <v>4</v>
      </c>
      <c r="F430" s="62" t="str">
        <f>IFERROR((LOOKUP(E430,E421:E428,F421:F428)),"NO")</f>
        <v>SI</v>
      </c>
      <c r="G430" s="617"/>
      <c r="H430" s="452">
        <f t="shared" si="30"/>
        <v>684.54434424040653</v>
      </c>
      <c r="I430" s="611"/>
      <c r="J430" s="611"/>
      <c r="K430" s="623"/>
      <c r="M430" s="457">
        <f>IFERROR((LOOKUP(E430,E421:E428,H421:H428)),0)</f>
        <v>684.54434424040653</v>
      </c>
      <c r="N430" s="604"/>
      <c r="O430" s="556"/>
      <c r="P430" s="556"/>
      <c r="Q430" s="556"/>
      <c r="R430" s="556"/>
      <c r="S430" s="556"/>
      <c r="T430" s="556"/>
      <c r="U430" s="556"/>
      <c r="V430" s="556"/>
      <c r="W430" s="556"/>
      <c r="X430" s="556"/>
      <c r="Y430" s="557"/>
    </row>
    <row r="431" spans="1:25" ht="15.75" thickBot="1" x14ac:dyDescent="0.3">
      <c r="E431" s="423">
        <v>5</v>
      </c>
      <c r="F431" s="430" t="str">
        <f>IFERROR((LOOKUP(E431,E421:E428,F421:F428)),"NO")</f>
        <v>SI</v>
      </c>
      <c r="G431" s="618"/>
      <c r="H431" s="454">
        <f t="shared" si="30"/>
        <v>264.32900421164214</v>
      </c>
      <c r="I431" s="615"/>
      <c r="J431" s="615"/>
      <c r="K431" s="624"/>
      <c r="M431" s="457">
        <f>IFERROR((LOOKUP(E431,E421:E428,H421:H428)),0)</f>
        <v>264.32900421164214</v>
      </c>
      <c r="N431" s="604"/>
      <c r="O431" s="556"/>
      <c r="P431" s="556"/>
      <c r="Q431" s="556"/>
      <c r="R431" s="556"/>
      <c r="S431" s="556"/>
      <c r="T431" s="556"/>
      <c r="U431" s="556"/>
      <c r="V431" s="556"/>
      <c r="W431" s="556"/>
      <c r="X431" s="556"/>
      <c r="Y431" s="557"/>
    </row>
    <row r="432" spans="1:25" ht="46.5" thickTop="1" thickBot="1" x14ac:dyDescent="0.3">
      <c r="E432" s="400"/>
      <c r="F432" s="401"/>
      <c r="G432" s="402" t="s">
        <v>193</v>
      </c>
      <c r="H432" s="425">
        <v>3</v>
      </c>
      <c r="I432" s="397">
        <f>+H432</f>
        <v>3</v>
      </c>
      <c r="J432" s="397">
        <f>+J405</f>
        <v>1</v>
      </c>
      <c r="K432" s="398" t="str">
        <f>IF((I432)&gt;=J432,"SI","NO")</f>
        <v>SI</v>
      </c>
      <c r="M432" s="424"/>
      <c r="N432" s="619"/>
      <c r="O432" s="620"/>
      <c r="P432" s="620"/>
      <c r="Q432" s="620"/>
      <c r="R432" s="620"/>
      <c r="S432" s="620"/>
      <c r="T432" s="620"/>
      <c r="U432" s="620"/>
      <c r="V432" s="620"/>
      <c r="W432" s="620"/>
      <c r="X432" s="620"/>
      <c r="Y432" s="621"/>
    </row>
    <row r="435" spans="1:3" ht="15.75" thickBot="1" x14ac:dyDescent="0.3"/>
    <row r="436" spans="1:3" ht="15.75" thickBot="1" x14ac:dyDescent="0.3">
      <c r="A436" s="376" t="s">
        <v>182</v>
      </c>
      <c r="B436" s="595" t="str">
        <f>+A3</f>
        <v>GRUPO 1</v>
      </c>
      <c r="C436" s="596"/>
    </row>
    <row r="437" spans="1:3" ht="15.75" thickTop="1" x14ac:dyDescent="0.25">
      <c r="A437" s="373" t="str">
        <f>+B2</f>
        <v>CONSORCIO DESARROLLO DEL CESAR</v>
      </c>
      <c r="B437" s="374" t="str">
        <f>+J2</f>
        <v>HABILITADO</v>
      </c>
      <c r="C437" s="375"/>
    </row>
    <row r="438" spans="1:3" x14ac:dyDescent="0.25">
      <c r="A438" s="369" t="str">
        <f>+B29</f>
        <v>CONSORCIO OBRAS EN PAZ</v>
      </c>
      <c r="B438" s="370" t="str">
        <f>+J29</f>
        <v>HABILITADO</v>
      </c>
      <c r="C438" s="371"/>
    </row>
    <row r="439" spans="1:3" x14ac:dyDescent="0.25">
      <c r="A439" s="369" t="str">
        <f>+B56</f>
        <v>CONSORCIO PIC SIERRA NEVADA</v>
      </c>
      <c r="B439" s="370" t="str">
        <f>+J56</f>
        <v>HABILITADO</v>
      </c>
      <c r="C439" s="371"/>
    </row>
    <row r="440" spans="1:3" x14ac:dyDescent="0.25">
      <c r="A440" s="369" t="str">
        <f>+B83</f>
        <v>CONSORCIO LV PERIJÁ</v>
      </c>
      <c r="B440" s="370" t="str">
        <f>+J83</f>
        <v>HABILITADO</v>
      </c>
      <c r="C440" s="371"/>
    </row>
    <row r="441" spans="1:3" x14ac:dyDescent="0.25">
      <c r="A441" s="369" t="str">
        <f>+B110</f>
        <v>UNION TEMPORAL PERIJA 2017</v>
      </c>
      <c r="B441" s="370" t="str">
        <f>+J110</f>
        <v>NO HABILITADO</v>
      </c>
      <c r="C441" s="371"/>
    </row>
    <row r="442" spans="1:3" x14ac:dyDescent="0.25">
      <c r="A442" s="369" t="str">
        <f>+B137</f>
        <v>UNIÓN TEMPORAL OBRAS RENACER</v>
      </c>
      <c r="B442" s="370" t="str">
        <f>+J137</f>
        <v>NO HABILITADO</v>
      </c>
      <c r="C442" s="371"/>
    </row>
    <row r="443" spans="1:3" x14ac:dyDescent="0.25">
      <c r="A443" s="369" t="str">
        <f>+B164</f>
        <v>CONSORCIO INFRAESTRUCTURA SIERRA NEVADA</v>
      </c>
      <c r="B443" s="370" t="str">
        <f>+J164</f>
        <v>NO HABILITADO</v>
      </c>
      <c r="C443" s="371"/>
    </row>
    <row r="444" spans="1:3" x14ac:dyDescent="0.25">
      <c r="A444" s="369" t="str">
        <f>+B191</f>
        <v>UNION TEMPORAL PARA EL FORTALECIMIENTO COMUNITARIO EN LOS TERRITORIOS 2017</v>
      </c>
      <c r="B444" s="370" t="str">
        <f>+J191</f>
        <v>NO HABILITADO</v>
      </c>
      <c r="C444" s="371"/>
    </row>
    <row r="445" spans="1:3" x14ac:dyDescent="0.25">
      <c r="A445" s="369" t="str">
        <f>+B218</f>
        <v>UNION TEMPORAL RENACER 2017</v>
      </c>
      <c r="B445" s="370" t="str">
        <f>+J218</f>
        <v>NO HABILITADO</v>
      </c>
      <c r="C445" s="371"/>
    </row>
    <row r="446" spans="1:3" x14ac:dyDescent="0.25">
      <c r="A446" s="369" t="str">
        <f>+B245</f>
        <v>WILLIAM ARTURO DAZA FLOREZ</v>
      </c>
      <c r="B446" s="370" t="str">
        <f>+J245</f>
        <v>NO HABILITADO</v>
      </c>
      <c r="C446" s="371"/>
    </row>
    <row r="447" spans="1:3" x14ac:dyDescent="0.25">
      <c r="A447" s="369" t="str">
        <f>+B272</f>
        <v>FEDERACIÓN NACIONAL DE CAFETEROS</v>
      </c>
      <c r="B447" s="370" t="str">
        <f>+J272</f>
        <v>NO HABILITADO</v>
      </c>
      <c r="C447" s="371"/>
    </row>
    <row r="448" spans="1:3" x14ac:dyDescent="0.25">
      <c r="A448" s="369" t="str">
        <f>+B299</f>
        <v>UNION TEMPORAL PROSPERIDAD</v>
      </c>
      <c r="B448" s="370" t="str">
        <f>+J299</f>
        <v>NO HABILITADO</v>
      </c>
      <c r="C448" s="371"/>
    </row>
    <row r="449" spans="1:3" x14ac:dyDescent="0.25">
      <c r="A449" s="369">
        <f>+B326</f>
        <v>0</v>
      </c>
      <c r="B449" s="370" t="str">
        <f>+J326</f>
        <v>NO HABILITADO</v>
      </c>
      <c r="C449" s="371"/>
    </row>
    <row r="450" spans="1:3" x14ac:dyDescent="0.25">
      <c r="A450" s="369">
        <f>+B353</f>
        <v>0</v>
      </c>
      <c r="B450" s="370" t="str">
        <f>+J353</f>
        <v>NO HABILITADO</v>
      </c>
      <c r="C450" s="371"/>
    </row>
    <row r="451" spans="1:3" x14ac:dyDescent="0.25">
      <c r="A451" s="369">
        <f>+B380</f>
        <v>0</v>
      </c>
      <c r="B451" s="370" t="str">
        <f>+J380</f>
        <v>NO HABILITADO</v>
      </c>
      <c r="C451" s="371"/>
    </row>
    <row r="452" spans="1:3" x14ac:dyDescent="0.25">
      <c r="A452" s="369">
        <f>+B407</f>
        <v>0</v>
      </c>
      <c r="B452" s="370" t="str">
        <f>+J407</f>
        <v>NO HABILITADO</v>
      </c>
      <c r="C452" s="371"/>
    </row>
  </sheetData>
  <mergeCells count="433">
    <mergeCell ref="N432:Y432"/>
    <mergeCell ref="N425:Y425"/>
    <mergeCell ref="N426:Y426"/>
    <mergeCell ref="N427:Y427"/>
    <mergeCell ref="N428:Y428"/>
    <mergeCell ref="G429:G431"/>
    <mergeCell ref="I429:I431"/>
    <mergeCell ref="J429:J431"/>
    <mergeCell ref="K429:K431"/>
    <mergeCell ref="N429:Y429"/>
    <mergeCell ref="N430:Y430"/>
    <mergeCell ref="N431:Y431"/>
    <mergeCell ref="B418:G418"/>
    <mergeCell ref="N420:Y420"/>
    <mergeCell ref="G421:G428"/>
    <mergeCell ref="I421:I428"/>
    <mergeCell ref="J421:J428"/>
    <mergeCell ref="K421:K428"/>
    <mergeCell ref="N421:Y421"/>
    <mergeCell ref="N422:Y422"/>
    <mergeCell ref="N423:Y423"/>
    <mergeCell ref="N424:Y424"/>
    <mergeCell ref="N405:Y405"/>
    <mergeCell ref="B413:G413"/>
    <mergeCell ref="B414:G414"/>
    <mergeCell ref="B415:G415"/>
    <mergeCell ref="B416:G416"/>
    <mergeCell ref="B417:G417"/>
    <mergeCell ref="G402:G404"/>
    <mergeCell ref="I402:I404"/>
    <mergeCell ref="J402:J404"/>
    <mergeCell ref="K402:K404"/>
    <mergeCell ref="N402:Y402"/>
    <mergeCell ref="N403:Y403"/>
    <mergeCell ref="N404:Y404"/>
    <mergeCell ref="N396:Y396"/>
    <mergeCell ref="N397:Y397"/>
    <mergeCell ref="N398:Y398"/>
    <mergeCell ref="N399:Y399"/>
    <mergeCell ref="N400:Y400"/>
    <mergeCell ref="N401:Y401"/>
    <mergeCell ref="B389:G389"/>
    <mergeCell ref="B390:G390"/>
    <mergeCell ref="B391:G391"/>
    <mergeCell ref="N393:Y393"/>
    <mergeCell ref="G394:G401"/>
    <mergeCell ref="I394:I401"/>
    <mergeCell ref="J394:J401"/>
    <mergeCell ref="K394:K401"/>
    <mergeCell ref="N394:Y394"/>
    <mergeCell ref="N395:Y395"/>
    <mergeCell ref="N376:Y376"/>
    <mergeCell ref="N377:Y377"/>
    <mergeCell ref="N378:Y378"/>
    <mergeCell ref="B386:G386"/>
    <mergeCell ref="B387:G387"/>
    <mergeCell ref="B388:G388"/>
    <mergeCell ref="N370:Y370"/>
    <mergeCell ref="N371:Y371"/>
    <mergeCell ref="N372:Y372"/>
    <mergeCell ref="N373:Y373"/>
    <mergeCell ref="N374:Y374"/>
    <mergeCell ref="G375:G377"/>
    <mergeCell ref="I375:I377"/>
    <mergeCell ref="J375:J377"/>
    <mergeCell ref="K375:K377"/>
    <mergeCell ref="N375:Y375"/>
    <mergeCell ref="B363:G363"/>
    <mergeCell ref="B364:G364"/>
    <mergeCell ref="N366:Y366"/>
    <mergeCell ref="G367:G374"/>
    <mergeCell ref="I367:I374"/>
    <mergeCell ref="J367:J374"/>
    <mergeCell ref="K367:K374"/>
    <mergeCell ref="N367:Y367"/>
    <mergeCell ref="N368:Y368"/>
    <mergeCell ref="N369:Y369"/>
    <mergeCell ref="N350:Y350"/>
    <mergeCell ref="N351:Y351"/>
    <mergeCell ref="B359:G359"/>
    <mergeCell ref="B360:G360"/>
    <mergeCell ref="B361:G361"/>
    <mergeCell ref="B362:G362"/>
    <mergeCell ref="N344:Y344"/>
    <mergeCell ref="N345:Y345"/>
    <mergeCell ref="N346:Y346"/>
    <mergeCell ref="N347:Y347"/>
    <mergeCell ref="G348:G350"/>
    <mergeCell ref="I348:I350"/>
    <mergeCell ref="J348:J350"/>
    <mergeCell ref="K348:K350"/>
    <mergeCell ref="N348:Y348"/>
    <mergeCell ref="N349:Y349"/>
    <mergeCell ref="B337:G337"/>
    <mergeCell ref="N339:Y339"/>
    <mergeCell ref="G340:G347"/>
    <mergeCell ref="I340:I347"/>
    <mergeCell ref="J340:J347"/>
    <mergeCell ref="K340:K347"/>
    <mergeCell ref="N340:Y340"/>
    <mergeCell ref="N341:Y341"/>
    <mergeCell ref="N342:Y342"/>
    <mergeCell ref="N343:Y343"/>
    <mergeCell ref="N324:Y324"/>
    <mergeCell ref="B332:G332"/>
    <mergeCell ref="B333:G333"/>
    <mergeCell ref="B334:G334"/>
    <mergeCell ref="B335:G335"/>
    <mergeCell ref="B336:G336"/>
    <mergeCell ref="G321:G323"/>
    <mergeCell ref="I321:I323"/>
    <mergeCell ref="J321:J323"/>
    <mergeCell ref="K321:K323"/>
    <mergeCell ref="N321:Y321"/>
    <mergeCell ref="N322:Y322"/>
    <mergeCell ref="N323:Y323"/>
    <mergeCell ref="N315:Y315"/>
    <mergeCell ref="N316:Y316"/>
    <mergeCell ref="N317:Y317"/>
    <mergeCell ref="N318:Y318"/>
    <mergeCell ref="N319:Y319"/>
    <mergeCell ref="N320:Y320"/>
    <mergeCell ref="B308:G308"/>
    <mergeCell ref="B309:G309"/>
    <mergeCell ref="B310:G310"/>
    <mergeCell ref="N312:Y312"/>
    <mergeCell ref="G313:G320"/>
    <mergeCell ref="I313:I320"/>
    <mergeCell ref="J313:J320"/>
    <mergeCell ref="K313:K320"/>
    <mergeCell ref="N313:Y313"/>
    <mergeCell ref="N314:Y314"/>
    <mergeCell ref="N295:Y295"/>
    <mergeCell ref="N296:Y296"/>
    <mergeCell ref="N297:Y297"/>
    <mergeCell ref="B305:G305"/>
    <mergeCell ref="B306:G306"/>
    <mergeCell ref="B307:G307"/>
    <mergeCell ref="N289:Y289"/>
    <mergeCell ref="N290:Y290"/>
    <mergeCell ref="N291:Y291"/>
    <mergeCell ref="N292:Y292"/>
    <mergeCell ref="N293:Y293"/>
    <mergeCell ref="G294:G296"/>
    <mergeCell ref="I294:I296"/>
    <mergeCell ref="J294:J296"/>
    <mergeCell ref="K294:K296"/>
    <mergeCell ref="N294:Y294"/>
    <mergeCell ref="B283:G283"/>
    <mergeCell ref="N285:Y285"/>
    <mergeCell ref="G286:G293"/>
    <mergeCell ref="I286:I293"/>
    <mergeCell ref="J286:J293"/>
    <mergeCell ref="K286:K293"/>
    <mergeCell ref="N286:Y286"/>
    <mergeCell ref="N287:Y287"/>
    <mergeCell ref="N288:Y288"/>
    <mergeCell ref="N269:Y269"/>
    <mergeCell ref="N270:Y270"/>
    <mergeCell ref="B278:G278"/>
    <mergeCell ref="B279:G279"/>
    <mergeCell ref="B280:G280"/>
    <mergeCell ref="B281:G281"/>
    <mergeCell ref="N263:Y263"/>
    <mergeCell ref="N264:Y264"/>
    <mergeCell ref="N265:Y265"/>
    <mergeCell ref="N266:Y266"/>
    <mergeCell ref="G267:G269"/>
    <mergeCell ref="I267:I269"/>
    <mergeCell ref="J267:J269"/>
    <mergeCell ref="K267:K269"/>
    <mergeCell ref="N267:Y267"/>
    <mergeCell ref="N268:Y268"/>
    <mergeCell ref="N258:Y258"/>
    <mergeCell ref="G259:G266"/>
    <mergeCell ref="I259:I266"/>
    <mergeCell ref="J259:J266"/>
    <mergeCell ref="K259:K266"/>
    <mergeCell ref="N259:Y259"/>
    <mergeCell ref="N260:Y260"/>
    <mergeCell ref="N261:Y261"/>
    <mergeCell ref="N262:Y262"/>
    <mergeCell ref="N243:Y243"/>
    <mergeCell ref="B251:G251"/>
    <mergeCell ref="B252:G252"/>
    <mergeCell ref="B253:G253"/>
    <mergeCell ref="B254:G254"/>
    <mergeCell ref="B255:G255"/>
    <mergeCell ref="G240:G242"/>
    <mergeCell ref="I240:I242"/>
    <mergeCell ref="J240:J242"/>
    <mergeCell ref="K240:K242"/>
    <mergeCell ref="N240:Y240"/>
    <mergeCell ref="N241:Y241"/>
    <mergeCell ref="N242:Y242"/>
    <mergeCell ref="N234:Y234"/>
    <mergeCell ref="N235:Y235"/>
    <mergeCell ref="N236:Y236"/>
    <mergeCell ref="N237:Y237"/>
    <mergeCell ref="N238:Y238"/>
    <mergeCell ref="N239:Y239"/>
    <mergeCell ref="B227:G227"/>
    <mergeCell ref="B228:G228"/>
    <mergeCell ref="B229:G229"/>
    <mergeCell ref="N231:Y231"/>
    <mergeCell ref="G232:G239"/>
    <mergeCell ref="I232:I239"/>
    <mergeCell ref="J232:J239"/>
    <mergeCell ref="K232:K239"/>
    <mergeCell ref="N232:Y232"/>
    <mergeCell ref="N233:Y233"/>
    <mergeCell ref="N215:Y215"/>
    <mergeCell ref="N216:Y216"/>
    <mergeCell ref="B224:G224"/>
    <mergeCell ref="B225:G225"/>
    <mergeCell ref="B226:G226"/>
    <mergeCell ref="N208:Y208"/>
    <mergeCell ref="N209:Y209"/>
    <mergeCell ref="N210:Y210"/>
    <mergeCell ref="N211:Y211"/>
    <mergeCell ref="N212:Y212"/>
    <mergeCell ref="G213:G215"/>
    <mergeCell ref="I213:I215"/>
    <mergeCell ref="J213:J215"/>
    <mergeCell ref="K213:K215"/>
    <mergeCell ref="N213:Y213"/>
    <mergeCell ref="N204:Y204"/>
    <mergeCell ref="G205:G212"/>
    <mergeCell ref="I205:I212"/>
    <mergeCell ref="J205:J212"/>
    <mergeCell ref="K205:K212"/>
    <mergeCell ref="N205:Y205"/>
    <mergeCell ref="N206:Y206"/>
    <mergeCell ref="N207:Y207"/>
    <mergeCell ref="N214:Y214"/>
    <mergeCell ref="N188:Y188"/>
    <mergeCell ref="N189:Y189"/>
    <mergeCell ref="B197:G197"/>
    <mergeCell ref="B198:G198"/>
    <mergeCell ref="B199:G199"/>
    <mergeCell ref="B200:G200"/>
    <mergeCell ref="N182:Y182"/>
    <mergeCell ref="N183:Y183"/>
    <mergeCell ref="N184:Y184"/>
    <mergeCell ref="N185:Y185"/>
    <mergeCell ref="G186:G188"/>
    <mergeCell ref="I186:I188"/>
    <mergeCell ref="J186:J188"/>
    <mergeCell ref="K186:K188"/>
    <mergeCell ref="N186:Y186"/>
    <mergeCell ref="N187:Y187"/>
    <mergeCell ref="N177:Y177"/>
    <mergeCell ref="G178:G185"/>
    <mergeCell ref="I178:I185"/>
    <mergeCell ref="J178:J185"/>
    <mergeCell ref="K178:K185"/>
    <mergeCell ref="N178:Y178"/>
    <mergeCell ref="N179:Y179"/>
    <mergeCell ref="N180:Y180"/>
    <mergeCell ref="N181:Y181"/>
    <mergeCell ref="N162:Y162"/>
    <mergeCell ref="B170:G170"/>
    <mergeCell ref="B171:G171"/>
    <mergeCell ref="B172:G172"/>
    <mergeCell ref="B173:G173"/>
    <mergeCell ref="B174:G174"/>
    <mergeCell ref="N156:Y156"/>
    <mergeCell ref="N157:Y157"/>
    <mergeCell ref="N158:Y158"/>
    <mergeCell ref="G159:G161"/>
    <mergeCell ref="I159:I161"/>
    <mergeCell ref="J159:J161"/>
    <mergeCell ref="K159:K161"/>
    <mergeCell ref="N159:Y159"/>
    <mergeCell ref="N160:Y160"/>
    <mergeCell ref="N161:Y161"/>
    <mergeCell ref="N150:Y150"/>
    <mergeCell ref="G151:G158"/>
    <mergeCell ref="I151:I158"/>
    <mergeCell ref="J151:J158"/>
    <mergeCell ref="K151:K158"/>
    <mergeCell ref="N151:Y151"/>
    <mergeCell ref="N152:Y152"/>
    <mergeCell ref="N153:Y153"/>
    <mergeCell ref="N154:Y154"/>
    <mergeCell ref="N155:Y155"/>
    <mergeCell ref="B143:G143"/>
    <mergeCell ref="B144:G144"/>
    <mergeCell ref="B145:G145"/>
    <mergeCell ref="B146:G146"/>
    <mergeCell ref="B147:G147"/>
    <mergeCell ref="B148:G148"/>
    <mergeCell ref="B436:C436"/>
    <mergeCell ref="I43:I50"/>
    <mergeCell ref="J43:J50"/>
    <mergeCell ref="I51:I53"/>
    <mergeCell ref="G70:G77"/>
    <mergeCell ref="G124:G131"/>
    <mergeCell ref="G132:G134"/>
    <mergeCell ref="I124:I131"/>
    <mergeCell ref="I78:I80"/>
    <mergeCell ref="J78:J80"/>
    <mergeCell ref="B117:G117"/>
    <mergeCell ref="G97:G104"/>
    <mergeCell ref="G105:G107"/>
    <mergeCell ref="B175:G175"/>
    <mergeCell ref="B201:G201"/>
    <mergeCell ref="B202:G202"/>
    <mergeCell ref="B256:G256"/>
    <mergeCell ref="B282:G282"/>
    <mergeCell ref="K70:K77"/>
    <mergeCell ref="B36:G36"/>
    <mergeCell ref="B37:G37"/>
    <mergeCell ref="B8:G8"/>
    <mergeCell ref="B9:G9"/>
    <mergeCell ref="B10:G10"/>
    <mergeCell ref="B11:G11"/>
    <mergeCell ref="J51:J53"/>
    <mergeCell ref="I70:I77"/>
    <mergeCell ref="J70:J77"/>
    <mergeCell ref="B12:G12"/>
    <mergeCell ref="B13:G13"/>
    <mergeCell ref="B35:G35"/>
    <mergeCell ref="B63:G63"/>
    <mergeCell ref="B64:G64"/>
    <mergeCell ref="B65:G65"/>
    <mergeCell ref="B66:G66"/>
    <mergeCell ref="B67:G67"/>
    <mergeCell ref="K51:K53"/>
    <mergeCell ref="J16:J23"/>
    <mergeCell ref="K24:K26"/>
    <mergeCell ref="G16:G23"/>
    <mergeCell ref="G43:G50"/>
    <mergeCell ref="G24:G26"/>
    <mergeCell ref="K78:K80"/>
    <mergeCell ref="B120:G120"/>
    <mergeCell ref="B121:G121"/>
    <mergeCell ref="K97:K104"/>
    <mergeCell ref="I105:I107"/>
    <mergeCell ref="I97:I104"/>
    <mergeCell ref="J97:J104"/>
    <mergeCell ref="K124:K131"/>
    <mergeCell ref="I132:I134"/>
    <mergeCell ref="J132:J134"/>
    <mergeCell ref="K132:K134"/>
    <mergeCell ref="J105:J107"/>
    <mergeCell ref="K105:K107"/>
    <mergeCell ref="J124:J131"/>
    <mergeCell ref="B89:G89"/>
    <mergeCell ref="B90:G90"/>
    <mergeCell ref="B91:G91"/>
    <mergeCell ref="B118:G118"/>
    <mergeCell ref="B119:G119"/>
    <mergeCell ref="B92:G92"/>
    <mergeCell ref="G78:G80"/>
    <mergeCell ref="B93:G93"/>
    <mergeCell ref="B94:G94"/>
    <mergeCell ref="B116:G116"/>
    <mergeCell ref="N123:Y123"/>
    <mergeCell ref="N124:Y124"/>
    <mergeCell ref="N125:Y125"/>
    <mergeCell ref="N126:Y126"/>
    <mergeCell ref="N127:Y127"/>
    <mergeCell ref="N128:Y128"/>
    <mergeCell ref="N135:Y135"/>
    <mergeCell ref="N129:Y129"/>
    <mergeCell ref="N130:Y130"/>
    <mergeCell ref="N131:Y131"/>
    <mergeCell ref="N132:Y132"/>
    <mergeCell ref="N133:Y133"/>
    <mergeCell ref="N134:Y134"/>
    <mergeCell ref="N105:Y105"/>
    <mergeCell ref="N106:Y106"/>
    <mergeCell ref="N107:Y107"/>
    <mergeCell ref="N108:Y108"/>
    <mergeCell ref="N69:Y69"/>
    <mergeCell ref="N70:Y70"/>
    <mergeCell ref="N71:Y71"/>
    <mergeCell ref="N72:Y72"/>
    <mergeCell ref="N73:Y73"/>
    <mergeCell ref="N74:Y74"/>
    <mergeCell ref="N75:Y75"/>
    <mergeCell ref="N76:Y76"/>
    <mergeCell ref="N77:Y77"/>
    <mergeCell ref="N80:Y80"/>
    <mergeCell ref="N81:Y81"/>
    <mergeCell ref="N96:Y96"/>
    <mergeCell ref="N97:Y97"/>
    <mergeCell ref="N98:Y98"/>
    <mergeCell ref="N99:Y99"/>
    <mergeCell ref="N100:Y100"/>
    <mergeCell ref="N101:Y101"/>
    <mergeCell ref="N102:Y102"/>
    <mergeCell ref="N103:Y103"/>
    <mergeCell ref="N104:Y104"/>
    <mergeCell ref="N78:Y78"/>
    <mergeCell ref="N79:Y79"/>
    <mergeCell ref="N20:Y20"/>
    <mergeCell ref="N21:Y21"/>
    <mergeCell ref="N22:Y22"/>
    <mergeCell ref="N23:Y23"/>
    <mergeCell ref="N48:Y48"/>
    <mergeCell ref="N49:Y49"/>
    <mergeCell ref="N24:Y24"/>
    <mergeCell ref="N25:Y25"/>
    <mergeCell ref="N26:Y26"/>
    <mergeCell ref="N27:Y27"/>
    <mergeCell ref="N54:Y54"/>
    <mergeCell ref="N42:Y42"/>
    <mergeCell ref="N43:Y43"/>
    <mergeCell ref="N44:Y44"/>
    <mergeCell ref="N45:Y45"/>
    <mergeCell ref="N46:Y46"/>
    <mergeCell ref="N47:Y47"/>
    <mergeCell ref="N50:Y50"/>
    <mergeCell ref="N51:Y51"/>
    <mergeCell ref="N52:Y52"/>
    <mergeCell ref="N15:Y15"/>
    <mergeCell ref="N16:Y16"/>
    <mergeCell ref="N17:Y17"/>
    <mergeCell ref="N18:Y18"/>
    <mergeCell ref="N19:Y19"/>
    <mergeCell ref="B38:G38"/>
    <mergeCell ref="B39:G39"/>
    <mergeCell ref="B40:G40"/>
    <mergeCell ref="B62:G62"/>
    <mergeCell ref="N53:Y53"/>
    <mergeCell ref="K43:K50"/>
    <mergeCell ref="K16:K23"/>
    <mergeCell ref="I16:I23"/>
    <mergeCell ref="J24:J26"/>
    <mergeCell ref="I24:I26"/>
    <mergeCell ref="G51:G53"/>
  </mergeCells>
  <pageMargins left="0.7" right="0.7" top="0.75" bottom="0.75" header="0.3" footer="0.3"/>
  <pageSetup scale="42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B2" sqref="B2"/>
    </sheetView>
  </sheetViews>
  <sheetFormatPr baseColWidth="10" defaultColWidth="11" defaultRowHeight="15.75" x14ac:dyDescent="0.25"/>
  <cols>
    <col min="1" max="1" width="17.28515625" style="2" customWidth="1"/>
    <col min="2" max="2" width="29.42578125" style="2" bestFit="1" customWidth="1"/>
    <col min="3" max="3" width="18.5703125" style="2" bestFit="1" customWidth="1"/>
    <col min="4" max="4" width="13.5703125" style="2" customWidth="1"/>
    <col min="5" max="10" width="11.7109375" style="2" customWidth="1"/>
    <col min="11" max="11" width="3.28515625" style="2" customWidth="1"/>
    <col min="12" max="16384" width="11" style="2"/>
  </cols>
  <sheetData>
    <row r="1" spans="1:14" x14ac:dyDescent="0.25">
      <c r="A1" s="213" t="str">
        <f>+'DATOS BASE DEL GRUPO'!A3</f>
        <v>GRUPO 1</v>
      </c>
      <c r="C1" s="213"/>
      <c r="D1" s="213"/>
      <c r="E1" s="213"/>
      <c r="F1" s="213"/>
      <c r="G1" s="178"/>
    </row>
    <row r="2" spans="1:14" ht="16.5" thickBot="1" x14ac:dyDescent="0.3">
      <c r="A2" s="6" t="s">
        <v>111</v>
      </c>
      <c r="B2" s="3">
        <f>+'DATOS BASE DEL GRUPO'!B4</f>
        <v>5643000000</v>
      </c>
    </row>
    <row r="3" spans="1:14" ht="16.5" thickBot="1" x14ac:dyDescent="0.3">
      <c r="A3" s="6"/>
      <c r="B3" s="112"/>
      <c r="E3" s="233" t="s">
        <v>22</v>
      </c>
      <c r="F3" s="320"/>
      <c r="G3" s="320"/>
      <c r="H3" s="320"/>
      <c r="I3" s="320"/>
      <c r="J3" s="11">
        <v>400</v>
      </c>
      <c r="L3" s="528" t="s">
        <v>157</v>
      </c>
      <c r="M3" s="529"/>
      <c r="N3" s="530"/>
    </row>
    <row r="4" spans="1:14" ht="17.25" thickTop="1" thickBot="1" x14ac:dyDescent="0.3">
      <c r="A4" s="178" t="s">
        <v>16</v>
      </c>
      <c r="B4" s="178" t="s">
        <v>76</v>
      </c>
      <c r="C4" s="178" t="s">
        <v>139</v>
      </c>
      <c r="E4" s="627" t="s">
        <v>24</v>
      </c>
      <c r="F4" s="628"/>
      <c r="G4" s="629" t="s">
        <v>25</v>
      </c>
      <c r="H4" s="628"/>
      <c r="I4" s="629" t="s">
        <v>23</v>
      </c>
      <c r="J4" s="630"/>
      <c r="L4" s="156" t="s">
        <v>24</v>
      </c>
      <c r="M4" s="157" t="s">
        <v>25</v>
      </c>
      <c r="N4" s="158" t="s">
        <v>23</v>
      </c>
    </row>
    <row r="5" spans="1:14" ht="16.5" thickTop="1" x14ac:dyDescent="0.25">
      <c r="A5" s="2">
        <v>1</v>
      </c>
      <c r="B5" s="2" t="str">
        <f>+CONSOLIDADO!A7</f>
        <v>CONSORCIO DESARROLLO DEL CESAR</v>
      </c>
      <c r="C5" s="4">
        <f>+CONSOLIDADO!AF7</f>
        <v>1149000000</v>
      </c>
      <c r="D5" s="271">
        <f>IF(C5=0,,C5)</f>
        <v>1149000000</v>
      </c>
      <c r="E5" s="159">
        <f t="shared" ref="E5:E20" si="0">$J$3*(1-(+($C$21-C5)/$C$21))</f>
        <v>495.90421797774178</v>
      </c>
      <c r="F5" s="160">
        <f t="shared" ref="F5:F20" si="1">$J$3*(1-2*(+ABS($C$21-C5)/$C$21))</f>
        <v>208.1915640445165</v>
      </c>
      <c r="G5" s="161">
        <f t="shared" ref="G5:G20" si="2">$J$3*(1-(+($C$22-C5)/$C$22))</f>
        <v>423.24497599476467</v>
      </c>
      <c r="H5" s="160">
        <f t="shared" ref="H5:H20" si="3">$J$3*(1-2*(+ABS($C$22-C5)/$C$22))</f>
        <v>353.5100480104706</v>
      </c>
      <c r="I5" s="161" t="e">
        <f t="shared" ref="I5:I20" si="4">$J$3*(1-(+($C$28-C5)/$C$28))</f>
        <v>#NUM!</v>
      </c>
      <c r="J5" s="162" t="e">
        <f t="shared" ref="J5:J20" si="5">$J$3*(1-2*(+ABS($C$28-C5)/$C$28))</f>
        <v>#NUM!</v>
      </c>
      <c r="L5" s="153">
        <f>ROUND((IF(E5&gt;400,F5,E5)),0)</f>
        <v>208</v>
      </c>
      <c r="M5" s="154">
        <f>ROUND((IF(G5&gt;400,H5,G5)),0)</f>
        <v>354</v>
      </c>
      <c r="N5" s="155" t="e">
        <f>ROUND((IF(I5&gt;400,J5,I5)),0)</f>
        <v>#NUM!</v>
      </c>
    </row>
    <row r="6" spans="1:14" x14ac:dyDescent="0.25">
      <c r="A6" s="2">
        <f>+A5+1</f>
        <v>2</v>
      </c>
      <c r="B6" s="2" t="str">
        <f>+CONSOLIDADO!A11</f>
        <v>CONSORCIO OBRAS EN PAZ</v>
      </c>
      <c r="C6" s="4">
        <f>+CONSOLIDADO!AF11</f>
        <v>1243920000</v>
      </c>
      <c r="D6" s="271">
        <f>IF(C6=0,,C6)</f>
        <v>1243920000</v>
      </c>
      <c r="E6" s="163">
        <f t="shared" si="0"/>
        <v>536.87134449684299</v>
      </c>
      <c r="F6" s="164">
        <f t="shared" si="1"/>
        <v>126.2573110063141</v>
      </c>
      <c r="G6" s="165">
        <f t="shared" si="2"/>
        <v>458.20965234065073</v>
      </c>
      <c r="H6" s="164">
        <f t="shared" si="3"/>
        <v>283.58069531869853</v>
      </c>
      <c r="I6" s="165" t="e">
        <f t="shared" si="4"/>
        <v>#NUM!</v>
      </c>
      <c r="J6" s="166" t="e">
        <f t="shared" si="5"/>
        <v>#NUM!</v>
      </c>
      <c r="L6" s="129">
        <f>ROUND((IF(E6&gt;400,F6,E6)),0)</f>
        <v>126</v>
      </c>
      <c r="M6" s="130">
        <f>ROUND((IF(G6&gt;400,H6,G6)),0)</f>
        <v>284</v>
      </c>
      <c r="N6" s="131" t="e">
        <f>ROUND((IF(I6&gt;400,J6,I6)),0)</f>
        <v>#NUM!</v>
      </c>
    </row>
    <row r="7" spans="1:14" x14ac:dyDescent="0.25">
      <c r="A7" s="2">
        <f t="shared" ref="A7:A20" si="6">+A6+1</f>
        <v>3</v>
      </c>
      <c r="B7" s="2" t="str">
        <f>+CONSOLIDADO!A15</f>
        <v>CONSORCIO PIC SIERRA NEVADA</v>
      </c>
      <c r="C7" s="4">
        <f>+CONSOLIDADO!AF15</f>
        <v>1237000000</v>
      </c>
      <c r="D7" s="271">
        <f>IF(C7=0,,C7)</f>
        <v>1237000000</v>
      </c>
      <c r="E7" s="163">
        <f t="shared" si="0"/>
        <v>533.88469768360892</v>
      </c>
      <c r="F7" s="164">
        <f t="shared" si="1"/>
        <v>132.2306046327823</v>
      </c>
      <c r="G7" s="165">
        <f t="shared" si="2"/>
        <v>455.66060513970751</v>
      </c>
      <c r="H7" s="164">
        <f t="shared" si="3"/>
        <v>288.67878972058503</v>
      </c>
      <c r="I7" s="165" t="e">
        <f t="shared" si="4"/>
        <v>#NUM!</v>
      </c>
      <c r="J7" s="166" t="e">
        <f t="shared" si="5"/>
        <v>#NUM!</v>
      </c>
      <c r="L7" s="129">
        <f>ROUND((IF(E7&gt;400,F7,E7)),0)</f>
        <v>132</v>
      </c>
      <c r="M7" s="130">
        <f>ROUND((IF(G7&gt;400,H7,G7)),0)</f>
        <v>289</v>
      </c>
      <c r="N7" s="131" t="e">
        <f>ROUND((IF(I7&gt;400,J7,I7)),0)</f>
        <v>#NUM!</v>
      </c>
    </row>
    <row r="8" spans="1:14" x14ac:dyDescent="0.25">
      <c r="A8" s="2">
        <f t="shared" si="6"/>
        <v>4</v>
      </c>
      <c r="B8" s="3" t="str">
        <f>+CONSOLIDADO!A19</f>
        <v>CONSORCIO LV PERIJÁ</v>
      </c>
      <c r="C8" s="4">
        <f>+CONSOLIDADO!AF19</f>
        <v>1238750000</v>
      </c>
      <c r="D8" s="271">
        <f t="shared" ref="D8:D20" si="7">IF(C8=0,,C8)</f>
        <v>1238750000</v>
      </c>
      <c r="E8" s="163">
        <f t="shared" si="0"/>
        <v>534.63999131412322</v>
      </c>
      <c r="F8" s="164">
        <f t="shared" si="1"/>
        <v>130.7200173717535</v>
      </c>
      <c r="G8" s="165">
        <f t="shared" si="2"/>
        <v>456.30523412838534</v>
      </c>
      <c r="H8" s="164">
        <f t="shared" si="3"/>
        <v>287.38953174322933</v>
      </c>
      <c r="I8" s="165" t="e">
        <f t="shared" si="4"/>
        <v>#NUM!</v>
      </c>
      <c r="J8" s="166" t="e">
        <f t="shared" si="5"/>
        <v>#NUM!</v>
      </c>
      <c r="L8" s="129">
        <f>ROUND((IF(E8&gt;400,F8,E8)),0)</f>
        <v>131</v>
      </c>
      <c r="M8" s="130">
        <f>ROUND((IF(G8&gt;400,H8,G8)),0)</f>
        <v>287</v>
      </c>
      <c r="N8" s="131" t="e">
        <f>ROUND((IF(I8&gt;400,J8,I8)),0)</f>
        <v>#NUM!</v>
      </c>
    </row>
    <row r="9" spans="1:14" x14ac:dyDescent="0.25">
      <c r="A9" s="2">
        <f t="shared" si="6"/>
        <v>5</v>
      </c>
      <c r="B9" s="3" t="str">
        <f>+CONSOLIDADO!A23</f>
        <v>UNION TEMPORAL PERIJA 2017</v>
      </c>
      <c r="C9" s="4">
        <f>+CONSOLIDADO!AF23</f>
        <v>1245000000</v>
      </c>
      <c r="D9" s="271">
        <f t="shared" si="7"/>
        <v>1245000000</v>
      </c>
      <c r="E9" s="163">
        <f t="shared" si="0"/>
        <v>537.33746856596042</v>
      </c>
      <c r="F9" s="164">
        <f t="shared" si="1"/>
        <v>125.32506286807919</v>
      </c>
      <c r="G9" s="165">
        <f t="shared" si="2"/>
        <v>458.60748051652047</v>
      </c>
      <c r="H9" s="164">
        <f t="shared" si="3"/>
        <v>282.78503896695901</v>
      </c>
      <c r="I9" s="165" t="e">
        <f t="shared" si="4"/>
        <v>#NUM!</v>
      </c>
      <c r="J9" s="166" t="e">
        <f t="shared" si="5"/>
        <v>#NUM!</v>
      </c>
      <c r="L9" s="129">
        <f t="shared" ref="L9:L19" si="8">ROUND((IF(E9&gt;400,F9,E9)),0)</f>
        <v>125</v>
      </c>
      <c r="M9" s="130">
        <f t="shared" ref="M9:M19" si="9">ROUND((IF(G9&gt;400,H9,G9)),0)</f>
        <v>283</v>
      </c>
      <c r="N9" s="131" t="e">
        <f t="shared" ref="N9:N19" si="10">ROUND((IF(I9&gt;400,J9,I9)),0)</f>
        <v>#NUM!</v>
      </c>
    </row>
    <row r="10" spans="1:14" x14ac:dyDescent="0.25">
      <c r="A10" s="2">
        <f t="shared" si="6"/>
        <v>6</v>
      </c>
      <c r="B10" s="3" t="str">
        <f>+CONSOLIDADO!A27</f>
        <v>UNIÓN TEMPORAL OBRAS RENACER</v>
      </c>
      <c r="C10" s="4">
        <f>+CONSOLIDADO!AF27</f>
        <v>1245000000</v>
      </c>
      <c r="D10" s="271">
        <f t="shared" si="7"/>
        <v>1245000000</v>
      </c>
      <c r="E10" s="163">
        <f t="shared" si="0"/>
        <v>537.33746856596042</v>
      </c>
      <c r="F10" s="164">
        <f t="shared" si="1"/>
        <v>125.32506286807919</v>
      </c>
      <c r="G10" s="165">
        <f t="shared" si="2"/>
        <v>458.60748051652047</v>
      </c>
      <c r="H10" s="164">
        <f t="shared" si="3"/>
        <v>282.78503896695901</v>
      </c>
      <c r="I10" s="165" t="e">
        <f t="shared" si="4"/>
        <v>#NUM!</v>
      </c>
      <c r="J10" s="166" t="e">
        <f t="shared" si="5"/>
        <v>#NUM!</v>
      </c>
      <c r="L10" s="129">
        <f t="shared" si="8"/>
        <v>125</v>
      </c>
      <c r="M10" s="130">
        <f t="shared" si="9"/>
        <v>283</v>
      </c>
      <c r="N10" s="131" t="e">
        <f t="shared" si="10"/>
        <v>#NUM!</v>
      </c>
    </row>
    <row r="11" spans="1:14" x14ac:dyDescent="0.25">
      <c r="A11" s="2">
        <f t="shared" si="6"/>
        <v>7</v>
      </c>
      <c r="B11" s="3" t="str">
        <f>+CONSOLIDADO!A31</f>
        <v>CONSORCIO INFRAESTRUCTURA SIERRA NEVADA</v>
      </c>
      <c r="C11" s="4">
        <f>+CONSOLIDADO!AF31</f>
        <v>1245000000</v>
      </c>
      <c r="D11" s="271">
        <f t="shared" si="7"/>
        <v>1245000000</v>
      </c>
      <c r="E11" s="163">
        <f t="shared" si="0"/>
        <v>537.33746856596042</v>
      </c>
      <c r="F11" s="164">
        <f t="shared" si="1"/>
        <v>125.32506286807919</v>
      </c>
      <c r="G11" s="165">
        <f t="shared" si="2"/>
        <v>458.60748051652047</v>
      </c>
      <c r="H11" s="164">
        <f t="shared" si="3"/>
        <v>282.78503896695901</v>
      </c>
      <c r="I11" s="165" t="e">
        <f t="shared" si="4"/>
        <v>#NUM!</v>
      </c>
      <c r="J11" s="166" t="e">
        <f t="shared" si="5"/>
        <v>#NUM!</v>
      </c>
      <c r="L11" s="129">
        <f t="shared" si="8"/>
        <v>125</v>
      </c>
      <c r="M11" s="130">
        <f t="shared" si="9"/>
        <v>283</v>
      </c>
      <c r="N11" s="131" t="e">
        <f t="shared" si="10"/>
        <v>#NUM!</v>
      </c>
    </row>
    <row r="12" spans="1:14" x14ac:dyDescent="0.25">
      <c r="A12" s="2">
        <f t="shared" si="6"/>
        <v>8</v>
      </c>
      <c r="B12" s="3" t="str">
        <f>+CONSOLIDADO!A35</f>
        <v>UNION TEMPORAL PARA EL FORTALECIMIENTO COMUNITARIO EN LOS TERRITORIOS 2017</v>
      </c>
      <c r="C12" s="4">
        <f>+CONSOLIDADO!AF35</f>
        <v>1245000000</v>
      </c>
      <c r="D12" s="271">
        <f t="shared" si="7"/>
        <v>1245000000</v>
      </c>
      <c r="E12" s="163">
        <f t="shared" si="0"/>
        <v>537.33746856596042</v>
      </c>
      <c r="F12" s="164">
        <f t="shared" si="1"/>
        <v>125.32506286807919</v>
      </c>
      <c r="G12" s="165">
        <f t="shared" si="2"/>
        <v>458.60748051652047</v>
      </c>
      <c r="H12" s="164">
        <f t="shared" si="3"/>
        <v>282.78503896695901</v>
      </c>
      <c r="I12" s="165" t="e">
        <f t="shared" si="4"/>
        <v>#NUM!</v>
      </c>
      <c r="J12" s="166" t="e">
        <f t="shared" si="5"/>
        <v>#NUM!</v>
      </c>
      <c r="L12" s="129">
        <f t="shared" si="8"/>
        <v>125</v>
      </c>
      <c r="M12" s="130">
        <f t="shared" si="9"/>
        <v>283</v>
      </c>
      <c r="N12" s="131" t="e">
        <f t="shared" si="10"/>
        <v>#NUM!</v>
      </c>
    </row>
    <row r="13" spans="1:14" x14ac:dyDescent="0.25">
      <c r="A13" s="2">
        <f t="shared" si="6"/>
        <v>9</v>
      </c>
      <c r="B13" s="3" t="str">
        <f>+CONSOLIDADO!A39</f>
        <v>UNION TEMPORAL RENACER 2017</v>
      </c>
      <c r="C13" s="4">
        <f>+CONSOLIDADO!AF39</f>
        <v>1245000000</v>
      </c>
      <c r="D13" s="271">
        <f t="shared" si="7"/>
        <v>1245000000</v>
      </c>
      <c r="E13" s="163">
        <f t="shared" si="0"/>
        <v>537.33746856596042</v>
      </c>
      <c r="F13" s="164">
        <f t="shared" si="1"/>
        <v>125.32506286807919</v>
      </c>
      <c r="G13" s="165">
        <f t="shared" si="2"/>
        <v>458.60748051652047</v>
      </c>
      <c r="H13" s="164">
        <f t="shared" si="3"/>
        <v>282.78503896695901</v>
      </c>
      <c r="I13" s="165" t="e">
        <f t="shared" si="4"/>
        <v>#NUM!</v>
      </c>
      <c r="J13" s="166" t="e">
        <f t="shared" si="5"/>
        <v>#NUM!</v>
      </c>
      <c r="L13" s="129">
        <f t="shared" si="8"/>
        <v>125</v>
      </c>
      <c r="M13" s="130">
        <f t="shared" si="9"/>
        <v>283</v>
      </c>
      <c r="N13" s="131" t="e">
        <f t="shared" si="10"/>
        <v>#NUM!</v>
      </c>
    </row>
    <row r="14" spans="1:14" x14ac:dyDescent="0.25">
      <c r="A14" s="2">
        <f t="shared" si="6"/>
        <v>10</v>
      </c>
      <c r="B14" s="3" t="str">
        <f>+CONSOLIDADO!A43</f>
        <v>WILLIAM ARTURO DAZA FLOREZ</v>
      </c>
      <c r="C14" s="4">
        <f>+CONSOLIDADO!AF43</f>
        <v>1245000000</v>
      </c>
      <c r="D14" s="271">
        <f t="shared" si="7"/>
        <v>1245000000</v>
      </c>
      <c r="E14" s="163">
        <f t="shared" si="0"/>
        <v>537.33746856596042</v>
      </c>
      <c r="F14" s="164">
        <f t="shared" si="1"/>
        <v>125.32506286807919</v>
      </c>
      <c r="G14" s="165">
        <f t="shared" si="2"/>
        <v>458.60748051652047</v>
      </c>
      <c r="H14" s="164">
        <f t="shared" si="3"/>
        <v>282.78503896695901</v>
      </c>
      <c r="I14" s="165" t="e">
        <f t="shared" si="4"/>
        <v>#NUM!</v>
      </c>
      <c r="J14" s="166" t="e">
        <f t="shared" si="5"/>
        <v>#NUM!</v>
      </c>
      <c r="L14" s="129">
        <f t="shared" si="8"/>
        <v>125</v>
      </c>
      <c r="M14" s="130">
        <f t="shared" si="9"/>
        <v>283</v>
      </c>
      <c r="N14" s="131" t="e">
        <f t="shared" si="10"/>
        <v>#NUM!</v>
      </c>
    </row>
    <row r="15" spans="1:14" x14ac:dyDescent="0.25">
      <c r="A15" s="2">
        <f t="shared" si="6"/>
        <v>11</v>
      </c>
      <c r="B15" s="3" t="str">
        <f>+CONSOLIDADO!A47</f>
        <v>FEDERACIÓN NACIONAL DE CAFETEROS</v>
      </c>
      <c r="C15" s="4">
        <f>+CONSOLIDADO!AF47</f>
        <v>1245000000</v>
      </c>
      <c r="D15" s="271">
        <f t="shared" si="7"/>
        <v>1245000000</v>
      </c>
      <c r="E15" s="163">
        <f t="shared" si="0"/>
        <v>537.33746856596042</v>
      </c>
      <c r="F15" s="164">
        <f t="shared" si="1"/>
        <v>125.32506286807919</v>
      </c>
      <c r="G15" s="165">
        <f t="shared" si="2"/>
        <v>458.60748051652047</v>
      </c>
      <c r="H15" s="164">
        <f t="shared" si="3"/>
        <v>282.78503896695901</v>
      </c>
      <c r="I15" s="165" t="e">
        <f t="shared" si="4"/>
        <v>#NUM!</v>
      </c>
      <c r="J15" s="166" t="e">
        <f t="shared" si="5"/>
        <v>#NUM!</v>
      </c>
      <c r="L15" s="129">
        <f t="shared" si="8"/>
        <v>125</v>
      </c>
      <c r="M15" s="130">
        <f t="shared" si="9"/>
        <v>283</v>
      </c>
      <c r="N15" s="131" t="e">
        <f t="shared" si="10"/>
        <v>#NUM!</v>
      </c>
    </row>
    <row r="16" spans="1:14" x14ac:dyDescent="0.25">
      <c r="A16" s="2">
        <f t="shared" si="6"/>
        <v>12</v>
      </c>
      <c r="B16" s="3" t="str">
        <f>+CONSOLIDADO!A51</f>
        <v>UNION TEMPORAL PROSPERIDAD</v>
      </c>
      <c r="C16" s="4">
        <f>+CONSOLIDADO!AF51</f>
        <v>1245000000</v>
      </c>
      <c r="D16" s="271">
        <f t="shared" si="7"/>
        <v>1245000000</v>
      </c>
      <c r="E16" s="163">
        <f t="shared" si="0"/>
        <v>537.33746856596042</v>
      </c>
      <c r="F16" s="164">
        <f t="shared" si="1"/>
        <v>125.32506286807919</v>
      </c>
      <c r="G16" s="165">
        <f t="shared" si="2"/>
        <v>458.60748051652047</v>
      </c>
      <c r="H16" s="164">
        <f t="shared" si="3"/>
        <v>282.78503896695901</v>
      </c>
      <c r="I16" s="165" t="e">
        <f t="shared" si="4"/>
        <v>#NUM!</v>
      </c>
      <c r="J16" s="166" t="e">
        <f t="shared" si="5"/>
        <v>#NUM!</v>
      </c>
      <c r="L16" s="129">
        <f t="shared" si="8"/>
        <v>125</v>
      </c>
      <c r="M16" s="130">
        <f t="shared" si="9"/>
        <v>283</v>
      </c>
      <c r="N16" s="131" t="e">
        <f t="shared" si="10"/>
        <v>#NUM!</v>
      </c>
    </row>
    <row r="17" spans="1:14" x14ac:dyDescent="0.25">
      <c r="A17" s="2">
        <f t="shared" si="6"/>
        <v>13</v>
      </c>
      <c r="B17" s="3">
        <f>+CONSOLIDADO!A55</f>
        <v>0</v>
      </c>
      <c r="C17" s="4">
        <f>+CONSOLIDADO!AF55</f>
        <v>0</v>
      </c>
      <c r="D17" s="271">
        <f t="shared" si="7"/>
        <v>0</v>
      </c>
      <c r="E17" s="163">
        <f t="shared" si="0"/>
        <v>0</v>
      </c>
      <c r="F17" s="164">
        <f t="shared" si="1"/>
        <v>-400</v>
      </c>
      <c r="G17" s="165">
        <f t="shared" si="2"/>
        <v>0</v>
      </c>
      <c r="H17" s="164">
        <f t="shared" si="3"/>
        <v>-400</v>
      </c>
      <c r="I17" s="165" t="e">
        <f t="shared" si="4"/>
        <v>#NUM!</v>
      </c>
      <c r="J17" s="166" t="e">
        <f t="shared" si="5"/>
        <v>#NUM!</v>
      </c>
      <c r="L17" s="129">
        <f t="shared" si="8"/>
        <v>0</v>
      </c>
      <c r="M17" s="130">
        <f t="shared" si="9"/>
        <v>0</v>
      </c>
      <c r="N17" s="131" t="e">
        <f t="shared" si="10"/>
        <v>#NUM!</v>
      </c>
    </row>
    <row r="18" spans="1:14" x14ac:dyDescent="0.25">
      <c r="A18" s="2">
        <f t="shared" si="6"/>
        <v>14</v>
      </c>
      <c r="B18" s="3">
        <f>+CONSOLIDADO!A59</f>
        <v>0</v>
      </c>
      <c r="C18" s="4">
        <f>+CONSOLIDADO!AF59</f>
        <v>0</v>
      </c>
      <c r="D18" s="271">
        <f t="shared" si="7"/>
        <v>0</v>
      </c>
      <c r="E18" s="163">
        <f t="shared" si="0"/>
        <v>0</v>
      </c>
      <c r="F18" s="164">
        <f t="shared" si="1"/>
        <v>-400</v>
      </c>
      <c r="G18" s="165">
        <f t="shared" si="2"/>
        <v>0</v>
      </c>
      <c r="H18" s="164">
        <f t="shared" si="3"/>
        <v>-400</v>
      </c>
      <c r="I18" s="165" t="e">
        <f t="shared" si="4"/>
        <v>#NUM!</v>
      </c>
      <c r="J18" s="166" t="e">
        <f t="shared" si="5"/>
        <v>#NUM!</v>
      </c>
      <c r="L18" s="129">
        <f t="shared" si="8"/>
        <v>0</v>
      </c>
      <c r="M18" s="130">
        <f t="shared" si="9"/>
        <v>0</v>
      </c>
      <c r="N18" s="131" t="e">
        <f t="shared" si="10"/>
        <v>#NUM!</v>
      </c>
    </row>
    <row r="19" spans="1:14" x14ac:dyDescent="0.25">
      <c r="A19" s="2">
        <f t="shared" si="6"/>
        <v>15</v>
      </c>
      <c r="B19" s="3">
        <f>+CONSOLIDADO!A63</f>
        <v>0</v>
      </c>
      <c r="C19" s="4">
        <f>+CONSOLIDADO!AF63</f>
        <v>0</v>
      </c>
      <c r="D19" s="271">
        <f t="shared" si="7"/>
        <v>0</v>
      </c>
      <c r="E19" s="163">
        <f t="shared" si="0"/>
        <v>0</v>
      </c>
      <c r="F19" s="164">
        <f t="shared" si="1"/>
        <v>-400</v>
      </c>
      <c r="G19" s="165">
        <f t="shared" si="2"/>
        <v>0</v>
      </c>
      <c r="H19" s="164">
        <f t="shared" si="3"/>
        <v>-400</v>
      </c>
      <c r="I19" s="165" t="e">
        <f t="shared" si="4"/>
        <v>#NUM!</v>
      </c>
      <c r="J19" s="166" t="e">
        <f t="shared" si="5"/>
        <v>#NUM!</v>
      </c>
      <c r="L19" s="129">
        <f t="shared" si="8"/>
        <v>0</v>
      </c>
      <c r="M19" s="130">
        <f t="shared" si="9"/>
        <v>0</v>
      </c>
      <c r="N19" s="131" t="e">
        <f t="shared" si="10"/>
        <v>#NUM!</v>
      </c>
    </row>
    <row r="20" spans="1:14" ht="16.5" thickBot="1" x14ac:dyDescent="0.3">
      <c r="A20" s="2">
        <f t="shared" si="6"/>
        <v>16</v>
      </c>
      <c r="B20" s="3">
        <f>+CONSOLIDADO!A67</f>
        <v>0</v>
      </c>
      <c r="C20" s="4">
        <f>+CONSOLIDADO!AF67</f>
        <v>0</v>
      </c>
      <c r="D20" s="271">
        <f t="shared" si="7"/>
        <v>0</v>
      </c>
      <c r="E20" s="167">
        <f t="shared" si="0"/>
        <v>0</v>
      </c>
      <c r="F20" s="168">
        <f t="shared" si="1"/>
        <v>-400</v>
      </c>
      <c r="G20" s="169">
        <f t="shared" si="2"/>
        <v>0</v>
      </c>
      <c r="H20" s="168">
        <f t="shared" si="3"/>
        <v>-400</v>
      </c>
      <c r="I20" s="169" t="e">
        <f t="shared" si="4"/>
        <v>#NUM!</v>
      </c>
      <c r="J20" s="170" t="e">
        <f t="shared" si="5"/>
        <v>#NUM!</v>
      </c>
      <c r="L20" s="132">
        <f>ROUND((IF(E20&gt;400,F20,E20)),0)</f>
        <v>0</v>
      </c>
      <c r="M20" s="133">
        <f>ROUND((IF(G20&gt;400,H20,G20)),0)</f>
        <v>0</v>
      </c>
      <c r="N20" s="134" t="e">
        <f>ROUND((IF(I20&gt;400,J20,I20)),0)</f>
        <v>#NUM!</v>
      </c>
    </row>
    <row r="21" spans="1:14" x14ac:dyDescent="0.25">
      <c r="A21" s="10" t="s">
        <v>17</v>
      </c>
      <c r="B21" s="6"/>
      <c r="C21" s="7">
        <f>AVERAGE(D5:D20)</f>
        <v>926791875</v>
      </c>
      <c r="D21" s="13"/>
    </row>
    <row r="22" spans="1:14" x14ac:dyDescent="0.25">
      <c r="A22" s="10" t="s">
        <v>18</v>
      </c>
      <c r="B22" s="6"/>
      <c r="C22" s="7">
        <f>(MAX(D5:D20)+C21)/2</f>
        <v>1085895937.5</v>
      </c>
    </row>
    <row r="23" spans="1:14" x14ac:dyDescent="0.25">
      <c r="A23" s="5" t="s">
        <v>20</v>
      </c>
      <c r="B23" s="2">
        <f>+CONSOLIDADO!F72</f>
        <v>12</v>
      </c>
      <c r="I23" s="13"/>
    </row>
    <row r="24" spans="1:14" ht="47.25" x14ac:dyDescent="0.25">
      <c r="A24" s="179" t="s">
        <v>21</v>
      </c>
      <c r="B24" s="181">
        <f>INT(+B23/3+0.99)</f>
        <v>4</v>
      </c>
      <c r="C24" s="4">
        <f>IF(D24&lt;=$B$24,$B$2,0)</f>
        <v>5643000000</v>
      </c>
      <c r="D24" s="112">
        <v>1</v>
      </c>
      <c r="F24" s="13"/>
    </row>
    <row r="25" spans="1:14" x14ac:dyDescent="0.25">
      <c r="A25" s="347"/>
      <c r="B25" s="348"/>
      <c r="C25" s="460"/>
      <c r="D25" s="112">
        <f>+D24+1</f>
        <v>2</v>
      </c>
      <c r="F25" s="13"/>
    </row>
    <row r="26" spans="1:14" x14ac:dyDescent="0.25">
      <c r="A26" s="347"/>
      <c r="B26" s="348"/>
      <c r="C26" s="460"/>
      <c r="D26" s="112">
        <f>+D25+1</f>
        <v>3</v>
      </c>
      <c r="F26" s="13"/>
    </row>
    <row r="27" spans="1:14" ht="15.75" customHeight="1" x14ac:dyDescent="0.25">
      <c r="A27" s="180"/>
      <c r="B27" s="182"/>
      <c r="C27" s="8"/>
      <c r="F27" s="13"/>
    </row>
    <row r="28" spans="1:14" x14ac:dyDescent="0.25">
      <c r="A28" s="10" t="s">
        <v>19</v>
      </c>
      <c r="B28" s="6"/>
      <c r="C28" s="9" t="e">
        <f>GEOMEAN(D5:D20,C24:C27)</f>
        <v>#NUM!</v>
      </c>
      <c r="D28" s="6" t="e">
        <f>IF(C28=CONSOLIDADO!T85,"OK","ERROR")</f>
        <v>#NUM!</v>
      </c>
      <c r="F28" s="13"/>
    </row>
    <row r="29" spans="1:14" x14ac:dyDescent="0.25">
      <c r="F29" s="13"/>
    </row>
  </sheetData>
  <mergeCells count="4">
    <mergeCell ref="E4:F4"/>
    <mergeCell ref="G4:H4"/>
    <mergeCell ref="I4:J4"/>
    <mergeCell ref="L3:N3"/>
  </mergeCells>
  <pageMargins left="0.7" right="0.7" top="0.75" bottom="0.75" header="0.3" footer="0.3"/>
  <pageSetup orientation="portrait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activeCell="H6" sqref="H6"/>
    </sheetView>
  </sheetViews>
  <sheetFormatPr baseColWidth="10" defaultRowHeight="15" x14ac:dyDescent="0.25"/>
  <cols>
    <col min="1" max="1" width="12" style="45" customWidth="1"/>
    <col min="2" max="2" width="24" style="45" customWidth="1"/>
    <col min="3" max="3" width="18" style="45" customWidth="1"/>
    <col min="4" max="4" width="16.85546875" style="45" customWidth="1"/>
    <col min="5" max="5" width="18.28515625" style="45" bestFit="1" customWidth="1"/>
    <col min="6" max="6" width="12.85546875" style="45" customWidth="1"/>
    <col min="7" max="7" width="17" style="45" bestFit="1" customWidth="1"/>
    <col min="8" max="8" width="15.5703125" style="45" bestFit="1" customWidth="1"/>
    <col min="9" max="9" width="9.140625" style="45" customWidth="1"/>
    <col min="10" max="10" width="15.5703125" style="45" customWidth="1"/>
    <col min="11" max="11" width="15.5703125" style="45" bestFit="1" customWidth="1"/>
    <col min="12" max="12" width="15.85546875" style="45" customWidth="1"/>
    <col min="13" max="16384" width="11.42578125" style="45"/>
  </cols>
  <sheetData>
    <row r="1" spans="1:11" s="44" customFormat="1" x14ac:dyDescent="0.25">
      <c r="A1" s="633" t="s">
        <v>85</v>
      </c>
      <c r="B1" s="633"/>
      <c r="C1" s="633"/>
      <c r="D1" s="633"/>
      <c r="E1" s="633"/>
      <c r="F1" s="633"/>
    </row>
    <row r="2" spans="1:11" ht="12" customHeight="1" x14ac:dyDescent="0.25">
      <c r="D2" s="48"/>
      <c r="E2" s="48"/>
      <c r="F2" s="1"/>
      <c r="G2" s="1"/>
      <c r="H2" s="1"/>
    </row>
    <row r="3" spans="1:11" ht="15" customHeight="1" x14ac:dyDescent="0.25">
      <c r="A3" s="294" t="s">
        <v>29</v>
      </c>
      <c r="B3" s="295" t="str">
        <f>+'CALIFICACION PRECIO'!B5</f>
        <v>CONSORCIO DESARROLLO DEL CESAR</v>
      </c>
      <c r="D3" s="48"/>
      <c r="E3" s="48"/>
      <c r="F3" s="1"/>
      <c r="G3" s="1"/>
      <c r="H3" s="1"/>
    </row>
    <row r="4" spans="1:11" x14ac:dyDescent="0.25">
      <c r="A4" s="296" t="str">
        <f>+'DATOS BASE DEL GRUPO'!A3</f>
        <v>GRUPO 1</v>
      </c>
      <c r="B4" s="297" t="str">
        <f>+'DATOS BASE DEL GRUPO'!B3</f>
        <v>SIERRA NEVADA-PERIJÁ-ZONA BANANERA</v>
      </c>
      <c r="C4" s="13"/>
      <c r="E4" s="48"/>
      <c r="F4" s="1"/>
      <c r="G4" s="1"/>
      <c r="H4" s="1"/>
    </row>
    <row r="5" spans="1:11" ht="15.75" thickBot="1" x14ac:dyDescent="0.3">
      <c r="C5" s="44"/>
    </row>
    <row r="6" spans="1:11" ht="15.75" thickBot="1" x14ac:dyDescent="0.3">
      <c r="A6"/>
      <c r="B6" s="634" t="s">
        <v>158</v>
      </c>
      <c r="C6" s="565"/>
      <c r="D6" s="114" t="s">
        <v>90</v>
      </c>
      <c r="E6" s="114" t="s">
        <v>91</v>
      </c>
      <c r="F6" s="396" t="s">
        <v>87</v>
      </c>
      <c r="G6" s="13"/>
    </row>
    <row r="7" spans="1:11" ht="16.5" thickTop="1" thickBot="1" x14ac:dyDescent="0.3">
      <c r="A7"/>
      <c r="B7" s="403" t="str">
        <f>+'HABILITANTES TECNICOS DEL GRUPO'!G24</f>
        <v>Para Experiencia "B" EN LA ZONA</v>
      </c>
      <c r="C7" s="405"/>
      <c r="D7" s="406">
        <f>+'HABILITANTES TECNICOS DEL GRUPO'!I24</f>
        <v>3185.5033840890205</v>
      </c>
      <c r="E7" s="305">
        <f>'DATOS BASE DEL GRUPO'!B4/'DATOS BASE DEL GRUPO'!B1</f>
        <v>7649.2747218784443</v>
      </c>
      <c r="F7" s="407">
        <f>+D7/E7</f>
        <v>0.41644515328725851</v>
      </c>
      <c r="G7" s="13"/>
    </row>
    <row r="8" spans="1:11" x14ac:dyDescent="0.25">
      <c r="G8" s="13"/>
    </row>
    <row r="9" spans="1:11" ht="8.25" customHeight="1" x14ac:dyDescent="0.25">
      <c r="D9" s="48"/>
      <c r="E9" s="48"/>
      <c r="F9" s="1"/>
      <c r="G9" s="13"/>
      <c r="H9" s="1"/>
    </row>
    <row r="10" spans="1:11" x14ac:dyDescent="0.25">
      <c r="A10" s="294" t="s">
        <v>29</v>
      </c>
      <c r="B10" s="295" t="str">
        <f>+'CALIFICACION PRECIO'!B6</f>
        <v>CONSORCIO OBRAS EN PAZ</v>
      </c>
      <c r="D10" s="48"/>
      <c r="E10" s="48"/>
      <c r="F10" s="1"/>
      <c r="G10" s="13"/>
      <c r="H10" s="1"/>
    </row>
    <row r="11" spans="1:11" x14ac:dyDescent="0.25">
      <c r="A11" s="296" t="str">
        <f>+A4</f>
        <v>GRUPO 1</v>
      </c>
      <c r="B11" s="297" t="str">
        <f>+B4</f>
        <v>SIERRA NEVADA-PERIJÁ-ZONA BANANERA</v>
      </c>
      <c r="C11" s="13"/>
      <c r="E11" s="48"/>
      <c r="F11" s="1"/>
      <c r="G11" s="13"/>
      <c r="H11" s="1"/>
      <c r="I11" s="1"/>
      <c r="J11" s="1"/>
      <c r="K11" s="1"/>
    </row>
    <row r="12" spans="1:11" ht="15.75" thickBot="1" x14ac:dyDescent="0.3">
      <c r="C12" s="44"/>
      <c r="G12" s="13"/>
    </row>
    <row r="13" spans="1:11" ht="15.75" thickBot="1" x14ac:dyDescent="0.3">
      <c r="A13"/>
      <c r="B13" s="634" t="s">
        <v>158</v>
      </c>
      <c r="C13" s="565"/>
      <c r="D13" s="114" t="s">
        <v>90</v>
      </c>
      <c r="E13" s="114" t="s">
        <v>91</v>
      </c>
      <c r="F13" s="396" t="s">
        <v>87</v>
      </c>
      <c r="G13" s="13"/>
    </row>
    <row r="14" spans="1:11" ht="16.5" thickTop="1" thickBot="1" x14ac:dyDescent="0.3">
      <c r="A14"/>
      <c r="B14" s="403" t="str">
        <f>+'HABILITANTES TECNICOS DEL GRUPO'!G51</f>
        <v>Para Experiencia "B" EN LA ZONA</v>
      </c>
      <c r="C14" s="405"/>
      <c r="D14" s="408">
        <f>+'HABILITANTES TECNICOS DEL GRUPO'!I51</f>
        <v>6343.5676224308554</v>
      </c>
      <c r="E14" s="408">
        <f>+E7</f>
        <v>7649.2747218784443</v>
      </c>
      <c r="F14" s="404">
        <f>+D14/E14</f>
        <v>0.82930315004728394</v>
      </c>
      <c r="G14" s="13"/>
    </row>
    <row r="15" spans="1:11" x14ac:dyDescent="0.25">
      <c r="G15" s="13"/>
    </row>
    <row r="16" spans="1:11" ht="8.25" customHeight="1" x14ac:dyDescent="0.25">
      <c r="D16" s="48"/>
      <c r="E16" s="48"/>
      <c r="F16" s="1"/>
      <c r="G16" s="13"/>
      <c r="H16" s="1"/>
      <c r="I16" s="1"/>
      <c r="J16" s="1"/>
      <c r="K16" s="1"/>
    </row>
    <row r="17" spans="1:11" x14ac:dyDescent="0.25">
      <c r="A17" s="294" t="s">
        <v>29</v>
      </c>
      <c r="B17" s="295" t="str">
        <f>+'CALIFICACION PRECIO'!B7</f>
        <v>CONSORCIO PIC SIERRA NEVADA</v>
      </c>
      <c r="D17" s="48"/>
      <c r="E17" s="48"/>
      <c r="F17" s="1"/>
      <c r="G17" s="13"/>
      <c r="H17" s="1"/>
      <c r="I17" s="1"/>
      <c r="J17" s="1"/>
      <c r="K17" s="1"/>
    </row>
    <row r="18" spans="1:11" x14ac:dyDescent="0.25">
      <c r="A18" s="296" t="str">
        <f>+A11</f>
        <v>GRUPO 1</v>
      </c>
      <c r="B18" s="297" t="str">
        <f>+B11</f>
        <v>SIERRA NEVADA-PERIJÁ-ZONA BANANERA</v>
      </c>
      <c r="C18" s="13"/>
      <c r="E18" s="48"/>
      <c r="F18" s="1"/>
      <c r="G18" s="13"/>
      <c r="H18" s="1"/>
      <c r="I18" s="1"/>
      <c r="J18" s="1"/>
      <c r="K18" s="1"/>
    </row>
    <row r="19" spans="1:11" ht="15.75" thickBot="1" x14ac:dyDescent="0.3">
      <c r="A19"/>
      <c r="C19" s="44"/>
      <c r="G19" s="13"/>
    </row>
    <row r="20" spans="1:11" ht="15.75" thickBot="1" x14ac:dyDescent="0.3">
      <c r="A20"/>
      <c r="B20" s="634" t="s">
        <v>158</v>
      </c>
      <c r="C20" s="565"/>
      <c r="D20" s="114" t="s">
        <v>90</v>
      </c>
      <c r="E20" s="114" t="s">
        <v>91</v>
      </c>
      <c r="F20" s="396" t="s">
        <v>87</v>
      </c>
      <c r="G20" s="13"/>
    </row>
    <row r="21" spans="1:11" ht="16.5" thickTop="1" thickBot="1" x14ac:dyDescent="0.3">
      <c r="A21"/>
      <c r="B21" s="403" t="str">
        <f>+'HABILITANTES TECNICOS DEL GRUPO'!G78</f>
        <v>Para Experiencia "B" EN LA ZONA</v>
      </c>
      <c r="C21" s="405"/>
      <c r="D21" s="408">
        <f>+'HABILITANTES TECNICOS DEL GRUPO'!I78</f>
        <v>5723.7395911982512</v>
      </c>
      <c r="E21" s="408">
        <f>+E14</f>
        <v>7649.2747218784443</v>
      </c>
      <c r="F21" s="404">
        <f>+D21/E21</f>
        <v>0.74827219564061676</v>
      </c>
      <c r="G21" s="13"/>
    </row>
    <row r="22" spans="1:11" x14ac:dyDescent="0.25">
      <c r="A22"/>
      <c r="G22" s="13"/>
    </row>
    <row r="23" spans="1:11" ht="8.25" customHeight="1" x14ac:dyDescent="0.25">
      <c r="D23" s="48"/>
      <c r="E23" s="48"/>
      <c r="F23" s="1"/>
      <c r="G23" s="13"/>
      <c r="H23" s="1"/>
      <c r="I23" s="1"/>
      <c r="J23" s="1"/>
      <c r="K23" s="1"/>
    </row>
    <row r="24" spans="1:11" x14ac:dyDescent="0.25">
      <c r="A24" s="294" t="s">
        <v>29</v>
      </c>
      <c r="B24" s="295" t="str">
        <f>+'CALIFICACION PRECIO'!B8</f>
        <v>CONSORCIO LV PERIJÁ</v>
      </c>
      <c r="D24" s="48"/>
      <c r="E24" s="48"/>
      <c r="F24" s="1"/>
      <c r="G24" s="13"/>
      <c r="H24" s="1"/>
      <c r="I24" s="1"/>
      <c r="J24" s="1"/>
      <c r="K24" s="1"/>
    </row>
    <row r="25" spans="1:11" x14ac:dyDescent="0.25">
      <c r="A25" s="296" t="str">
        <f>+A18</f>
        <v>GRUPO 1</v>
      </c>
      <c r="B25" s="297" t="str">
        <f>+B18</f>
        <v>SIERRA NEVADA-PERIJÁ-ZONA BANANERA</v>
      </c>
      <c r="C25" s="13"/>
      <c r="E25" s="48"/>
      <c r="F25" s="1"/>
      <c r="G25" s="13"/>
      <c r="H25" s="1"/>
      <c r="I25" s="1"/>
      <c r="J25" s="1"/>
      <c r="K25" s="1"/>
    </row>
    <row r="26" spans="1:11" ht="15.75" thickBot="1" x14ac:dyDescent="0.3">
      <c r="A26"/>
      <c r="C26" s="44"/>
      <c r="G26" s="13"/>
    </row>
    <row r="27" spans="1:11" ht="15.75" thickBot="1" x14ac:dyDescent="0.3">
      <c r="A27"/>
      <c r="B27" s="634" t="s">
        <v>158</v>
      </c>
      <c r="C27" s="565"/>
      <c r="D27" s="114" t="s">
        <v>90</v>
      </c>
      <c r="E27" s="114" t="s">
        <v>91</v>
      </c>
      <c r="F27" s="396" t="s">
        <v>87</v>
      </c>
      <c r="G27" s="13"/>
    </row>
    <row r="28" spans="1:11" ht="16.5" thickTop="1" thickBot="1" x14ac:dyDescent="0.3">
      <c r="A28"/>
      <c r="B28" s="403" t="str">
        <f>+'HABILITANTES TECNICOS DEL GRUPO'!G105</f>
        <v>Para Experiencia "B" EN LA ZONA</v>
      </c>
      <c r="C28" s="405"/>
      <c r="D28" s="406">
        <f>+'HABILITANTES TECNICOS DEL GRUPO'!I105</f>
        <v>5571.2422310994589</v>
      </c>
      <c r="E28" s="406">
        <f>+E21</f>
        <v>7649.2747218784443</v>
      </c>
      <c r="F28" s="407">
        <f>+D28/E28</f>
        <v>0.72833601010101001</v>
      </c>
      <c r="G28" s="13"/>
    </row>
    <row r="29" spans="1:11" x14ac:dyDescent="0.25">
      <c r="A29"/>
      <c r="G29" s="13"/>
    </row>
    <row r="30" spans="1:11" ht="8.25" customHeight="1" x14ac:dyDescent="0.25">
      <c r="D30" s="48"/>
      <c r="E30" s="48"/>
      <c r="F30" s="1"/>
      <c r="G30" s="13"/>
      <c r="H30" s="1"/>
      <c r="I30" s="1"/>
      <c r="J30" s="1"/>
      <c r="K30" s="1"/>
    </row>
    <row r="31" spans="1:11" x14ac:dyDescent="0.25">
      <c r="A31" s="294" t="s">
        <v>29</v>
      </c>
      <c r="B31" s="295">
        <f>+'CALIFICACION PRECIO'!B20</f>
        <v>0</v>
      </c>
      <c r="D31" s="48"/>
      <c r="E31" s="48"/>
      <c r="F31" s="1"/>
      <c r="G31" s="13"/>
      <c r="H31" s="1"/>
      <c r="I31" s="1"/>
      <c r="J31" s="1"/>
      <c r="K31" s="1"/>
    </row>
    <row r="32" spans="1:11" x14ac:dyDescent="0.25">
      <c r="A32" s="296" t="str">
        <f>+A25</f>
        <v>GRUPO 1</v>
      </c>
      <c r="B32" s="297" t="str">
        <f>+B25</f>
        <v>SIERRA NEVADA-PERIJÁ-ZONA BANANERA</v>
      </c>
      <c r="C32" s="13"/>
      <c r="E32" s="48"/>
      <c r="F32" s="1"/>
      <c r="G32" s="13"/>
      <c r="H32" s="1"/>
      <c r="I32" s="1"/>
      <c r="J32" s="1"/>
      <c r="K32" s="1"/>
    </row>
    <row r="33" spans="1:13" ht="15.75" thickBot="1" x14ac:dyDescent="0.3">
      <c r="C33" s="44"/>
      <c r="G33" s="13"/>
    </row>
    <row r="34" spans="1:13" ht="15.75" thickBot="1" x14ac:dyDescent="0.3">
      <c r="A34"/>
      <c r="B34" s="634" t="s">
        <v>158</v>
      </c>
      <c r="C34" s="565"/>
      <c r="D34" s="114" t="s">
        <v>90</v>
      </c>
      <c r="E34" s="114" t="s">
        <v>91</v>
      </c>
      <c r="F34" s="396" t="s">
        <v>87</v>
      </c>
      <c r="G34" s="13"/>
    </row>
    <row r="35" spans="1:13" ht="16.5" thickTop="1" thickBot="1" x14ac:dyDescent="0.3">
      <c r="A35"/>
      <c r="B35" s="403" t="str">
        <f>+'HABILITANTES TECNICOS DEL GRUPO'!G132</f>
        <v>Para Experiencia "B" EN LA ZONA</v>
      </c>
      <c r="C35" s="405"/>
      <c r="D35" s="408">
        <f>+'HABILITANTES TECNICOS DEL GRUPO'!I132</f>
        <v>2717.844376637654</v>
      </c>
      <c r="E35" s="408">
        <f>+E28</f>
        <v>7649.2747218784443</v>
      </c>
      <c r="F35" s="404">
        <f>+D35/E35</f>
        <v>0.35530746057061846</v>
      </c>
      <c r="G35" s="13"/>
    </row>
    <row r="36" spans="1:13" x14ac:dyDescent="0.25">
      <c r="A36"/>
    </row>
    <row r="37" spans="1:13" ht="15.75" thickBot="1" x14ac:dyDescent="0.3">
      <c r="D37" s="13"/>
    </row>
    <row r="38" spans="1:13" s="2" customFormat="1" ht="15.75" x14ac:dyDescent="0.25">
      <c r="A38" s="631" t="s">
        <v>16</v>
      </c>
      <c r="B38" s="116" t="s">
        <v>94</v>
      </c>
      <c r="C38" s="116">
        <v>300</v>
      </c>
      <c r="D38" s="281" t="s">
        <v>82</v>
      </c>
      <c r="E38" s="282" t="str">
        <f>+A4</f>
        <v>GRUPO 1</v>
      </c>
      <c r="F38" s="13"/>
      <c r="G38" s="13"/>
      <c r="H38" s="13"/>
      <c r="I38" s="13"/>
      <c r="J38" s="13"/>
      <c r="K38" s="13"/>
    </row>
    <row r="39" spans="1:13" s="2" customFormat="1" ht="15.75" x14ac:dyDescent="0.25">
      <c r="A39" s="632"/>
      <c r="B39" s="117" t="s">
        <v>93</v>
      </c>
      <c r="C39" s="276" t="s">
        <v>159</v>
      </c>
      <c r="D39" s="118" t="s">
        <v>92</v>
      </c>
      <c r="E39" s="13"/>
      <c r="F39" s="107"/>
      <c r="G39" s="13"/>
      <c r="H39" s="13"/>
      <c r="I39" s="13"/>
      <c r="J39" s="13"/>
      <c r="K39" s="13"/>
    </row>
    <row r="40" spans="1:13" s="2" customFormat="1" ht="15.75" x14ac:dyDescent="0.25">
      <c r="A40" s="119">
        <v>1</v>
      </c>
      <c r="B40" s="120" t="str">
        <f>+B3</f>
        <v>CONSORCIO DESARROLLO DEL CESAR</v>
      </c>
      <c r="C40" s="121">
        <f>+F7</f>
        <v>0.41644515328725851</v>
      </c>
      <c r="D40" s="277">
        <f>MAX(G40,J40,M40)</f>
        <v>100</v>
      </c>
      <c r="E40" s="278">
        <f>IF(C40&gt;70.01%,300,0)</f>
        <v>0</v>
      </c>
      <c r="F40" s="128"/>
      <c r="G40" s="115">
        <f>+E40</f>
        <v>0</v>
      </c>
      <c r="H40" s="278">
        <f>IF(C40&gt;50.01%,200,0)</f>
        <v>0</v>
      </c>
      <c r="I40" s="278">
        <f>IF(C40&lt;=70%,200,0)</f>
        <v>200</v>
      </c>
      <c r="J40" s="115">
        <f>IF(H40=I40,200,0)</f>
        <v>0</v>
      </c>
      <c r="K40" s="278">
        <f>IF(C40&gt;30%,100,0)</f>
        <v>100</v>
      </c>
      <c r="L40" s="278">
        <f>IF(C40&lt;50%,100,0)</f>
        <v>100</v>
      </c>
      <c r="M40" s="115">
        <f>IF(K40=L40,100,0)</f>
        <v>100</v>
      </c>
    </row>
    <row r="41" spans="1:13" s="2" customFormat="1" ht="15.75" x14ac:dyDescent="0.25">
      <c r="A41" s="119">
        <f>+A40+1</f>
        <v>2</v>
      </c>
      <c r="B41" s="120" t="str">
        <f>+B10</f>
        <v>CONSORCIO OBRAS EN PAZ</v>
      </c>
      <c r="C41" s="121">
        <f>+F14</f>
        <v>0.82930315004728394</v>
      </c>
      <c r="D41" s="277">
        <f>MAX(G41,J41,M41)</f>
        <v>300</v>
      </c>
      <c r="E41" s="278">
        <f>IF(C41&gt;70.01%,300,0)</f>
        <v>300</v>
      </c>
      <c r="F41" s="278"/>
      <c r="G41" s="115">
        <f>+E41</f>
        <v>300</v>
      </c>
      <c r="H41" s="278">
        <f>IF(C41&gt;50.01%,200,0)</f>
        <v>200</v>
      </c>
      <c r="I41" s="278">
        <f>IF(C41&lt;=70%,200,0)</f>
        <v>0</v>
      </c>
      <c r="J41" s="115">
        <f>IF(H41=I41,200,0)</f>
        <v>0</v>
      </c>
      <c r="K41" s="278">
        <f>IF(C41&gt;30%,100,0)</f>
        <v>100</v>
      </c>
      <c r="L41" s="278">
        <f>IF(C41&lt;50%,100,0)</f>
        <v>0</v>
      </c>
      <c r="M41" s="115">
        <f>IF(K41=L41,100,0)</f>
        <v>0</v>
      </c>
    </row>
    <row r="42" spans="1:13" s="2" customFormat="1" ht="15.75" x14ac:dyDescent="0.25">
      <c r="A42" s="119">
        <f>+A41+1</f>
        <v>3</v>
      </c>
      <c r="B42" s="120" t="str">
        <f>+B17</f>
        <v>CONSORCIO PIC SIERRA NEVADA</v>
      </c>
      <c r="C42" s="121">
        <f>+F21</f>
        <v>0.74827219564061676</v>
      </c>
      <c r="D42" s="277">
        <f>MAX(G42,J42,M42)</f>
        <v>300</v>
      </c>
      <c r="E42" s="278">
        <f>IF(C42&gt;70.01%,300,0)</f>
        <v>300</v>
      </c>
      <c r="F42" s="278"/>
      <c r="G42" s="115">
        <f>+E42</f>
        <v>300</v>
      </c>
      <c r="H42" s="278">
        <f>IF(C42&gt;50.01%,200,0)</f>
        <v>200</v>
      </c>
      <c r="I42" s="278">
        <f>IF(C42&lt;=70%,200,0)</f>
        <v>0</v>
      </c>
      <c r="J42" s="115">
        <f>IF(H42=I42,200,0)</f>
        <v>0</v>
      </c>
      <c r="K42" s="278">
        <f>IF(C42&gt;30%,100,0)</f>
        <v>100</v>
      </c>
      <c r="L42" s="278">
        <f>IF(C42&lt;50%,100,0)</f>
        <v>0</v>
      </c>
      <c r="M42" s="115">
        <f>IF(K42=L42,100,0)</f>
        <v>0</v>
      </c>
    </row>
    <row r="43" spans="1:13" s="2" customFormat="1" ht="15.75" x14ac:dyDescent="0.25">
      <c r="A43" s="119">
        <f>+A42+1</f>
        <v>4</v>
      </c>
      <c r="B43" s="120" t="str">
        <f>+B24</f>
        <v>CONSORCIO LV PERIJÁ</v>
      </c>
      <c r="C43" s="121">
        <f>+F28</f>
        <v>0.72833601010101001</v>
      </c>
      <c r="D43" s="277">
        <f>MAX(G43,J43,M43)</f>
        <v>300</v>
      </c>
      <c r="E43" s="278">
        <f>IF(C43&gt;70.01%,300,0)</f>
        <v>300</v>
      </c>
      <c r="F43" s="278"/>
      <c r="G43" s="115">
        <f>+E43</f>
        <v>300</v>
      </c>
      <c r="H43" s="278">
        <f>IF(C43&gt;50.01%,200,0)</f>
        <v>200</v>
      </c>
      <c r="I43" s="278">
        <f>IF(C43&lt;=70%,200,0)</f>
        <v>0</v>
      </c>
      <c r="J43" s="115">
        <f>IF(H43=I43,200,0)</f>
        <v>0</v>
      </c>
      <c r="K43" s="278">
        <f>IF(C43&gt;30%,100,0)</f>
        <v>100</v>
      </c>
      <c r="L43" s="278">
        <f>IF(C43&lt;50%,100,0)</f>
        <v>0</v>
      </c>
      <c r="M43" s="115">
        <f>IF(K43=L43,100,0)</f>
        <v>0</v>
      </c>
    </row>
    <row r="44" spans="1:13" s="2" customFormat="1" ht="16.5" thickBot="1" x14ac:dyDescent="0.3">
      <c r="A44" s="122">
        <f>+A43+1</f>
        <v>5</v>
      </c>
      <c r="B44" s="123">
        <f>+B31</f>
        <v>0</v>
      </c>
      <c r="C44" s="124">
        <f>+F35</f>
        <v>0.35530746057061846</v>
      </c>
      <c r="D44" s="279">
        <f>MAX(G44,J44,M44)</f>
        <v>100</v>
      </c>
      <c r="E44" s="278">
        <f>IF(C44&gt;70.01%,300,0)</f>
        <v>0</v>
      </c>
      <c r="F44" s="278"/>
      <c r="G44" s="115">
        <f>+E44</f>
        <v>0</v>
      </c>
      <c r="H44" s="278">
        <f>IF(C44&gt;50.01%,200,0)</f>
        <v>0</v>
      </c>
      <c r="I44" s="278">
        <f>IF(C44&lt;=70%,200,0)</f>
        <v>200</v>
      </c>
      <c r="J44" s="115">
        <f>IF(H44=I44,200,0)</f>
        <v>0</v>
      </c>
      <c r="K44" s="278">
        <f>IF(C44&gt;30%,100,0)</f>
        <v>100</v>
      </c>
      <c r="L44" s="278">
        <f>IF(C44&lt;50%,100,0)</f>
        <v>100</v>
      </c>
      <c r="M44" s="115">
        <f>IF(K44=L44,100,0)</f>
        <v>100</v>
      </c>
    </row>
    <row r="45" spans="1:13" s="13" customFormat="1" x14ac:dyDescent="0.25"/>
    <row r="46" spans="1:13" x14ac:dyDescent="0.25">
      <c r="D46" s="13"/>
    </row>
    <row r="47" spans="1:13" ht="15.75" thickBot="1" x14ac:dyDescent="0.3">
      <c r="D47" s="13"/>
    </row>
    <row r="48" spans="1:13" ht="15.75" x14ac:dyDescent="0.25">
      <c r="A48" s="631" t="s">
        <v>16</v>
      </c>
      <c r="B48" s="116" t="s">
        <v>95</v>
      </c>
      <c r="C48" s="116">
        <v>200</v>
      </c>
      <c r="D48" s="281" t="s">
        <v>82</v>
      </c>
      <c r="E48" s="303" t="str">
        <f>+A4</f>
        <v>GRUPO 1</v>
      </c>
    </row>
    <row r="49" spans="1:8" ht="15.75" x14ac:dyDescent="0.25">
      <c r="A49" s="632"/>
      <c r="B49" s="117" t="s">
        <v>93</v>
      </c>
      <c r="C49" s="276" t="s">
        <v>96</v>
      </c>
      <c r="D49" s="118" t="s">
        <v>92</v>
      </c>
    </row>
    <row r="50" spans="1:8" ht="15.75" x14ac:dyDescent="0.25">
      <c r="A50" s="119">
        <f t="shared" ref="A50:B54" si="0">+A40</f>
        <v>1</v>
      </c>
      <c r="B50" s="120" t="str">
        <f t="shared" si="0"/>
        <v>CONSORCIO DESARROLLO DEL CESAR</v>
      </c>
      <c r="C50" s="126">
        <f>+'HABILITANTES TECNICOS DEL GRUPO'!I27</f>
        <v>2</v>
      </c>
      <c r="D50" s="277">
        <f>MAX(E50:G50)</f>
        <v>50</v>
      </c>
      <c r="E50" s="128">
        <f>IF(C50&gt;=4,200,0)</f>
        <v>0</v>
      </c>
      <c r="F50" s="128">
        <f>IF(C50&gt;=3,100,0)</f>
        <v>0</v>
      </c>
      <c r="G50" s="128">
        <f>IF(C50&gt;=2,50,0)</f>
        <v>50</v>
      </c>
      <c r="H50" s="280"/>
    </row>
    <row r="51" spans="1:8" ht="15.75" x14ac:dyDescent="0.25">
      <c r="A51" s="119">
        <f t="shared" si="0"/>
        <v>2</v>
      </c>
      <c r="B51" s="120" t="str">
        <f t="shared" si="0"/>
        <v>CONSORCIO OBRAS EN PAZ</v>
      </c>
      <c r="C51" s="126">
        <f>+'HABILITANTES TECNICOS DEL GRUPO'!I54</f>
        <v>1</v>
      </c>
      <c r="D51" s="277">
        <f>MAX(E51:G51)</f>
        <v>0</v>
      </c>
      <c r="E51" s="128">
        <f>IF(C51&gt;=4,200,0)</f>
        <v>0</v>
      </c>
      <c r="F51" s="128">
        <f>IF(C51&gt;=3,100,0)</f>
        <v>0</v>
      </c>
      <c r="G51" s="128">
        <f>IF(C51&gt;=2,50,0)</f>
        <v>0</v>
      </c>
      <c r="H51" s="280"/>
    </row>
    <row r="52" spans="1:8" ht="15.75" x14ac:dyDescent="0.25">
      <c r="A52" s="119">
        <f t="shared" si="0"/>
        <v>3</v>
      </c>
      <c r="B52" s="120" t="str">
        <f t="shared" si="0"/>
        <v>CONSORCIO PIC SIERRA NEVADA</v>
      </c>
      <c r="C52" s="126">
        <f>+'HABILITANTES TECNICOS DEL GRUPO'!I81</f>
        <v>3</v>
      </c>
      <c r="D52" s="277">
        <f>MAX(E52:G52)</f>
        <v>100</v>
      </c>
      <c r="E52" s="128">
        <f>IF(C52&gt;=4,200,0)</f>
        <v>0</v>
      </c>
      <c r="F52" s="128">
        <f>IF(C52&gt;=3,100,0)</f>
        <v>100</v>
      </c>
      <c r="G52" s="128">
        <f>IF(C52&gt;=2,50,0)</f>
        <v>50</v>
      </c>
      <c r="H52" s="280"/>
    </row>
    <row r="53" spans="1:8" ht="15.75" x14ac:dyDescent="0.25">
      <c r="A53" s="119">
        <f t="shared" si="0"/>
        <v>4</v>
      </c>
      <c r="B53" s="120" t="str">
        <f t="shared" si="0"/>
        <v>CONSORCIO LV PERIJÁ</v>
      </c>
      <c r="C53" s="126">
        <f>+'HABILITANTES TECNICOS DEL GRUPO'!I108</f>
        <v>4</v>
      </c>
      <c r="D53" s="277">
        <f>MAX(E53:G53)</f>
        <v>200</v>
      </c>
      <c r="E53" s="128">
        <f>IF(C53&gt;=4,200,0)</f>
        <v>200</v>
      </c>
      <c r="F53" s="128">
        <f>IF(C53&gt;=3,100,0)</f>
        <v>100</v>
      </c>
      <c r="G53" s="128">
        <f>IF(C53&gt;=2,50,0)</f>
        <v>50</v>
      </c>
      <c r="H53" s="280"/>
    </row>
    <row r="54" spans="1:8" ht="16.5" thickBot="1" x14ac:dyDescent="0.3">
      <c r="A54" s="122">
        <f t="shared" si="0"/>
        <v>5</v>
      </c>
      <c r="B54" s="123">
        <f t="shared" si="0"/>
        <v>0</v>
      </c>
      <c r="C54" s="127">
        <f>+'HABILITANTES TECNICOS DEL GRUPO'!I135</f>
        <v>3</v>
      </c>
      <c r="D54" s="279">
        <f>MAX(E54:G54)</f>
        <v>100</v>
      </c>
      <c r="E54" s="128">
        <f>IF(C54&gt;=4,200,0)</f>
        <v>0</v>
      </c>
      <c r="F54" s="128">
        <f>IF(C54&gt;=3,100,0)</f>
        <v>100</v>
      </c>
      <c r="G54" s="128">
        <f>IF(C54&gt;=2,50,0)</f>
        <v>50</v>
      </c>
      <c r="H54" s="280"/>
    </row>
    <row r="57" spans="1:8" ht="15.75" thickBot="1" x14ac:dyDescent="0.3"/>
    <row r="58" spans="1:8" ht="15.75" x14ac:dyDescent="0.25">
      <c r="A58" s="631" t="s">
        <v>16</v>
      </c>
      <c r="B58" s="116" t="s">
        <v>97</v>
      </c>
      <c r="C58" s="116">
        <v>100</v>
      </c>
      <c r="D58" s="281" t="s">
        <v>82</v>
      </c>
      <c r="E58" s="303" t="str">
        <f>+A4</f>
        <v>GRUPO 1</v>
      </c>
    </row>
    <row r="59" spans="1:8" ht="15.75" x14ac:dyDescent="0.25">
      <c r="A59" s="632"/>
      <c r="B59" s="117" t="s">
        <v>93</v>
      </c>
      <c r="C59" s="125" t="s">
        <v>97</v>
      </c>
      <c r="D59" s="118" t="s">
        <v>92</v>
      </c>
    </row>
    <row r="60" spans="1:8" ht="15.75" x14ac:dyDescent="0.25">
      <c r="A60" s="119">
        <f t="shared" ref="A60:B64" si="1">+A50</f>
        <v>1</v>
      </c>
      <c r="B60" s="120" t="str">
        <f t="shared" si="1"/>
        <v>CONSORCIO DESARROLLO DEL CESAR</v>
      </c>
      <c r="C60" s="126" t="s">
        <v>98</v>
      </c>
      <c r="D60" s="277">
        <v>100</v>
      </c>
      <c r="F60" s="45" t="s">
        <v>98</v>
      </c>
      <c r="G60" s="45">
        <v>100</v>
      </c>
    </row>
    <row r="61" spans="1:8" ht="15.75" x14ac:dyDescent="0.25">
      <c r="A61" s="119">
        <f t="shared" si="1"/>
        <v>2</v>
      </c>
      <c r="B61" s="120" t="str">
        <f t="shared" si="1"/>
        <v>CONSORCIO OBRAS EN PAZ</v>
      </c>
      <c r="C61" s="126" t="s">
        <v>98</v>
      </c>
      <c r="D61" s="277">
        <v>100</v>
      </c>
      <c r="F61" s="45" t="s">
        <v>166</v>
      </c>
      <c r="G61" s="45">
        <v>50</v>
      </c>
    </row>
    <row r="62" spans="1:8" ht="15.75" x14ac:dyDescent="0.25">
      <c r="A62" s="119">
        <f t="shared" si="1"/>
        <v>3</v>
      </c>
      <c r="B62" s="120" t="str">
        <f t="shared" si="1"/>
        <v>CONSORCIO PIC SIERRA NEVADA</v>
      </c>
      <c r="C62" s="126" t="s">
        <v>98</v>
      </c>
      <c r="D62" s="277">
        <v>100</v>
      </c>
      <c r="F62" s="45" t="s">
        <v>167</v>
      </c>
      <c r="G62" s="45">
        <v>0</v>
      </c>
    </row>
    <row r="63" spans="1:8" ht="15.75" x14ac:dyDescent="0.25">
      <c r="A63" s="119">
        <f t="shared" si="1"/>
        <v>4</v>
      </c>
      <c r="B63" s="120" t="str">
        <f t="shared" si="1"/>
        <v>CONSORCIO LV PERIJÁ</v>
      </c>
      <c r="C63" s="126" t="s">
        <v>166</v>
      </c>
      <c r="D63" s="277">
        <v>50</v>
      </c>
    </row>
    <row r="64" spans="1:8" ht="16.5" thickBot="1" x14ac:dyDescent="0.3">
      <c r="A64" s="122">
        <f t="shared" si="1"/>
        <v>5</v>
      </c>
      <c r="B64" s="123">
        <f t="shared" si="1"/>
        <v>0</v>
      </c>
      <c r="C64" s="127" t="s">
        <v>98</v>
      </c>
      <c r="D64" s="279">
        <v>100</v>
      </c>
    </row>
  </sheetData>
  <mergeCells count="9">
    <mergeCell ref="A48:A49"/>
    <mergeCell ref="A58:A59"/>
    <mergeCell ref="A1:F1"/>
    <mergeCell ref="B6:C6"/>
    <mergeCell ref="B13:C13"/>
    <mergeCell ref="B27:C27"/>
    <mergeCell ref="B20:C20"/>
    <mergeCell ref="B34:C34"/>
    <mergeCell ref="A38:A39"/>
  </mergeCells>
  <pageMargins left="0.7" right="0.7" top="0.75" bottom="0.75" header="0.3" footer="0.3"/>
  <pageSetup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9"/>
  <sheetViews>
    <sheetView topLeftCell="A22" zoomScaleNormal="100" workbookViewId="0">
      <selection activeCell="A72" sqref="A72"/>
    </sheetView>
  </sheetViews>
  <sheetFormatPr baseColWidth="10" defaultRowHeight="15" x14ac:dyDescent="0.25"/>
  <cols>
    <col min="1" max="1" width="46.85546875" style="45" customWidth="1"/>
    <col min="2" max="2" width="11.42578125" style="45"/>
    <col min="3" max="4" width="12" style="45" customWidth="1"/>
    <col min="5" max="5" width="12.28515625" style="45" bestFit="1" customWidth="1"/>
    <col min="6" max="6" width="14.85546875" style="45" bestFit="1" customWidth="1"/>
    <col min="7" max="8" width="14.140625" style="45" bestFit="1" customWidth="1"/>
    <col min="9" max="9" width="15.85546875" style="45" customWidth="1"/>
    <col min="10" max="16384" width="11.42578125" style="45"/>
  </cols>
  <sheetData>
    <row r="1" spans="1:6" s="44" customFormat="1" x14ac:dyDescent="0.25">
      <c r="A1" s="52" t="s">
        <v>198</v>
      </c>
      <c r="B1" s="52"/>
      <c r="E1" s="13"/>
      <c r="F1" s="45"/>
    </row>
    <row r="2" spans="1:6" s="44" customFormat="1" x14ac:dyDescent="0.25">
      <c r="A2" s="72" t="str">
        <f>+'DATOS BASE DEL GRUPO'!A3</f>
        <v>GRUPO 1</v>
      </c>
      <c r="B2" s="298" t="str">
        <f>+'DATOS BASE DEL GRUPO'!B3</f>
        <v>SIERRA NEVADA-PERIJÁ-ZONA BANANERA</v>
      </c>
      <c r="E2" s="13"/>
      <c r="F2" s="45"/>
    </row>
    <row r="3" spans="1:6" x14ac:dyDescent="0.25">
      <c r="A3" s="49"/>
      <c r="B3" s="328" t="s">
        <v>29</v>
      </c>
      <c r="C3" s="49" t="str">
        <f>+CONSOLIDADO!A7</f>
        <v>CONSORCIO DESARROLLO DEL CESAR</v>
      </c>
      <c r="D3" s="49"/>
      <c r="E3" s="49"/>
    </row>
    <row r="4" spans="1:6" x14ac:dyDescent="0.25">
      <c r="A4" s="49"/>
      <c r="B4" s="328"/>
      <c r="C4" s="364">
        <f>+CONSOLIDADO!B7</f>
        <v>79</v>
      </c>
      <c r="D4" s="49"/>
      <c r="E4" s="49"/>
    </row>
    <row r="5" spans="1:6" x14ac:dyDescent="0.25">
      <c r="A5" s="48"/>
      <c r="B5" s="135" t="s">
        <v>99</v>
      </c>
      <c r="C5" s="48" t="str">
        <f>+'HABILITANTES JURIDICOS'!J2</f>
        <v>HABILITADO</v>
      </c>
      <c r="D5" s="48"/>
    </row>
    <row r="6" spans="1:6" x14ac:dyDescent="0.25">
      <c r="B6" s="135" t="s">
        <v>100</v>
      </c>
      <c r="C6" s="48" t="str">
        <f>+'HABILI FINANCIEROS CON_DES CESA'!J2</f>
        <v>HABILITADO</v>
      </c>
      <c r="D6" s="48"/>
      <c r="E6" s="335">
        <f>COUNTIF(C5:C9,"NO HABILITADO")</f>
        <v>0</v>
      </c>
    </row>
    <row r="7" spans="1:6" x14ac:dyDescent="0.25">
      <c r="B7" s="135" t="s">
        <v>101</v>
      </c>
      <c r="C7" s="48" t="str">
        <f>+'HABILITANTES TECNICOS DEL GRUPO'!J2</f>
        <v>HABILITADO</v>
      </c>
      <c r="D7" s="48"/>
      <c r="E7" s="336" t="str">
        <f>IF(E6&gt;0,"DESCALIFICADO","FINALISTA")</f>
        <v>FINALISTA</v>
      </c>
    </row>
    <row r="8" spans="1:6" x14ac:dyDescent="0.25">
      <c r="B8" s="135" t="s">
        <v>188</v>
      </c>
      <c r="C8" s="48" t="str">
        <f>IF('DATOS BASE DEL GRUPO'!I10=0,"NO HABILITADO","HABILITADO")</f>
        <v>HABILITADO</v>
      </c>
      <c r="D8" s="48"/>
      <c r="E8" s="386"/>
    </row>
    <row r="9" spans="1:6" ht="15.75" thickBot="1" x14ac:dyDescent="0.3">
      <c r="B9" s="46" t="s">
        <v>181</v>
      </c>
      <c r="C9" s="45" t="str">
        <f>IF(C12&gt;0,"HABILITADO","NO HABILITADO")</f>
        <v>HABILITADO</v>
      </c>
    </row>
    <row r="10" spans="1:6" s="52" customFormat="1" x14ac:dyDescent="0.25">
      <c r="A10" s="635" t="s">
        <v>77</v>
      </c>
      <c r="B10" s="637" t="s">
        <v>82</v>
      </c>
      <c r="C10" s="639" t="s">
        <v>84</v>
      </c>
      <c r="D10" s="640"/>
      <c r="E10" s="641"/>
    </row>
    <row r="11" spans="1:6" s="52" customFormat="1" ht="15.75" thickBot="1" x14ac:dyDescent="0.3">
      <c r="A11" s="636"/>
      <c r="B11" s="638"/>
      <c r="C11" s="113" t="str">
        <f>+'CALIFICACION PRECIO'!E4</f>
        <v>1/2 Aritm</v>
      </c>
      <c r="D11" s="337" t="str">
        <f>+'CALIFICACION PRECIO'!G4</f>
        <v>1/2 Aritm Alta</v>
      </c>
      <c r="E11" s="171" t="str">
        <f>+'CALIFICACION PRECIO'!I4</f>
        <v>1/2 Geom.</v>
      </c>
    </row>
    <row r="12" spans="1:6" ht="27" customHeight="1" thickTop="1" x14ac:dyDescent="0.25">
      <c r="A12" s="56" t="s">
        <v>78</v>
      </c>
      <c r="B12" s="57">
        <v>400</v>
      </c>
      <c r="C12" s="301">
        <f>+'DATOS BASE DEL GRUPO'!E10</f>
        <v>208</v>
      </c>
      <c r="D12" s="338">
        <f>+'DATOS BASE DEL GRUPO'!F10</f>
        <v>354</v>
      </c>
      <c r="E12" s="172" t="e">
        <f>+'DATOS BASE DEL GRUPO'!G10</f>
        <v>#NUM!</v>
      </c>
    </row>
    <row r="13" spans="1:6" ht="27" customHeight="1" x14ac:dyDescent="0.25">
      <c r="A13" s="65" t="s">
        <v>79</v>
      </c>
      <c r="B13" s="61">
        <v>300</v>
      </c>
      <c r="C13" s="302">
        <f>+'CALIF GRUPO EXP E IND NAL '!D40</f>
        <v>100</v>
      </c>
      <c r="D13" s="339">
        <f t="shared" ref="D13:E15" si="0">+C13</f>
        <v>100</v>
      </c>
      <c r="E13" s="173">
        <f t="shared" si="0"/>
        <v>100</v>
      </c>
    </row>
    <row r="14" spans="1:6" ht="27" customHeight="1" x14ac:dyDescent="0.25">
      <c r="A14" s="65" t="s">
        <v>80</v>
      </c>
      <c r="B14" s="61">
        <v>200</v>
      </c>
      <c r="C14" s="302">
        <f>+'CALIF GRUPO EXP E IND NAL '!D50</f>
        <v>50</v>
      </c>
      <c r="D14" s="339">
        <f t="shared" si="0"/>
        <v>50</v>
      </c>
      <c r="E14" s="173">
        <f t="shared" si="0"/>
        <v>50</v>
      </c>
    </row>
    <row r="15" spans="1:6" ht="27" customHeight="1" thickBot="1" x14ac:dyDescent="0.3">
      <c r="A15" s="150" t="s">
        <v>81</v>
      </c>
      <c r="B15" s="151">
        <v>100</v>
      </c>
      <c r="C15" s="152">
        <f>+'CALIF GRUPO EXP E IND NAL '!D60</f>
        <v>100</v>
      </c>
      <c r="D15" s="340">
        <f t="shared" si="0"/>
        <v>100</v>
      </c>
      <c r="E15" s="174">
        <f t="shared" si="0"/>
        <v>100</v>
      </c>
    </row>
    <row r="16" spans="1:6" ht="27" customHeight="1" thickTop="1" thickBot="1" x14ac:dyDescent="0.3">
      <c r="A16" s="147" t="s">
        <v>83</v>
      </c>
      <c r="B16" s="148">
        <f>SUM(B12:B15)</f>
        <v>1000</v>
      </c>
      <c r="C16" s="149">
        <f>SUM(C12:C15)</f>
        <v>458</v>
      </c>
      <c r="D16" s="341">
        <f>SUM(D12:D15)</f>
        <v>604</v>
      </c>
      <c r="E16" s="175" t="e">
        <f>SUM(E12:E15)</f>
        <v>#NUM!</v>
      </c>
    </row>
    <row r="17" spans="1:5" ht="15.75" thickBot="1" x14ac:dyDescent="0.3">
      <c r="E17" s="13"/>
    </row>
    <row r="18" spans="1:5" ht="15.75" thickTop="1" x14ac:dyDescent="0.25">
      <c r="A18" s="326"/>
      <c r="B18" s="327" t="s">
        <v>29</v>
      </c>
      <c r="C18" s="326" t="str">
        <f>+CONSOLIDADO!A11</f>
        <v>CONSORCIO OBRAS EN PAZ</v>
      </c>
      <c r="D18" s="326"/>
      <c r="E18" s="326"/>
    </row>
    <row r="19" spans="1:5" x14ac:dyDescent="0.25">
      <c r="A19" s="49"/>
      <c r="B19" s="328"/>
      <c r="C19" s="364">
        <f>+CONSOLIDADO!B11</f>
        <v>77</v>
      </c>
      <c r="D19" s="49"/>
      <c r="E19" s="49"/>
    </row>
    <row r="20" spans="1:5" x14ac:dyDescent="0.25">
      <c r="A20" s="48"/>
      <c r="B20" s="135" t="s">
        <v>99</v>
      </c>
      <c r="C20" s="48" t="str">
        <f>+'HABILITANTES JURIDICOS'!J28</f>
        <v>HABILITADO</v>
      </c>
      <c r="D20" s="48"/>
      <c r="E20" s="1"/>
    </row>
    <row r="21" spans="1:5" x14ac:dyDescent="0.25">
      <c r="B21" s="135" t="s">
        <v>100</v>
      </c>
      <c r="C21" s="48" t="str">
        <f>+'HABILI FINANCIEROS CON_OBRA EN '!J2</f>
        <v>HABILITADO</v>
      </c>
      <c r="D21" s="48"/>
      <c r="E21" s="335">
        <f>COUNTIF(C20:C24,"NO HABILITADO")</f>
        <v>0</v>
      </c>
    </row>
    <row r="22" spans="1:5" x14ac:dyDescent="0.25">
      <c r="B22" s="135" t="s">
        <v>101</v>
      </c>
      <c r="C22" s="48" t="str">
        <f>+'HABILITANTES TECNICOS DEL GRUPO'!J29</f>
        <v>HABILITADO</v>
      </c>
      <c r="D22" s="48"/>
      <c r="E22" s="336" t="str">
        <f>IF(E21&gt;0,"DESCALIFICADO","FINALISTA")</f>
        <v>FINALISTA</v>
      </c>
    </row>
    <row r="23" spans="1:5" x14ac:dyDescent="0.25">
      <c r="B23" s="135" t="s">
        <v>188</v>
      </c>
      <c r="C23" s="48" t="str">
        <f>IF('DATOS BASE DEL GRUPO'!I11=0,"NO HABILITADO","HABILITADO")</f>
        <v>HABILITADO</v>
      </c>
      <c r="D23" s="48"/>
      <c r="E23" s="386"/>
    </row>
    <row r="24" spans="1:5" ht="15.75" thickBot="1" x14ac:dyDescent="0.3">
      <c r="B24" s="46" t="s">
        <v>181</v>
      </c>
      <c r="C24" s="45" t="str">
        <f>IF(C27&gt;0,"HABILITADO","NO HABILITADO")</f>
        <v>HABILITADO</v>
      </c>
    </row>
    <row r="25" spans="1:5" s="52" customFormat="1" x14ac:dyDescent="0.25">
      <c r="A25" s="635" t="s">
        <v>77</v>
      </c>
      <c r="B25" s="637" t="s">
        <v>82</v>
      </c>
      <c r="C25" s="639" t="s">
        <v>84</v>
      </c>
      <c r="D25" s="640"/>
      <c r="E25" s="641"/>
    </row>
    <row r="26" spans="1:5" s="52" customFormat="1" ht="15.75" thickBot="1" x14ac:dyDescent="0.3">
      <c r="A26" s="636"/>
      <c r="B26" s="638"/>
      <c r="C26" s="113" t="str">
        <f>+C11</f>
        <v>1/2 Aritm</v>
      </c>
      <c r="D26" s="337" t="str">
        <f>+D11</f>
        <v>1/2 Aritm Alta</v>
      </c>
      <c r="E26" s="171" t="str">
        <f>+E11</f>
        <v>1/2 Geom.</v>
      </c>
    </row>
    <row r="27" spans="1:5" ht="27" customHeight="1" thickTop="1" x14ac:dyDescent="0.25">
      <c r="A27" s="56" t="s">
        <v>78</v>
      </c>
      <c r="B27" s="57">
        <v>400</v>
      </c>
      <c r="C27" s="301">
        <f>+'DATOS BASE DEL GRUPO'!E11</f>
        <v>126</v>
      </c>
      <c r="D27" s="338">
        <f>+'DATOS BASE DEL GRUPO'!F11</f>
        <v>284</v>
      </c>
      <c r="E27" s="172" t="e">
        <f>+'DATOS BASE DEL GRUPO'!G11</f>
        <v>#NUM!</v>
      </c>
    </row>
    <row r="28" spans="1:5" ht="27" customHeight="1" x14ac:dyDescent="0.25">
      <c r="A28" s="65" t="s">
        <v>79</v>
      </c>
      <c r="B28" s="61">
        <v>300</v>
      </c>
      <c r="C28" s="302">
        <f>+'CALIF GRUPO EXP E IND NAL '!D41</f>
        <v>300</v>
      </c>
      <c r="D28" s="339">
        <f t="shared" ref="D28:E30" si="1">+C28</f>
        <v>300</v>
      </c>
      <c r="E28" s="173">
        <f t="shared" si="1"/>
        <v>300</v>
      </c>
    </row>
    <row r="29" spans="1:5" ht="27" customHeight="1" x14ac:dyDescent="0.25">
      <c r="A29" s="65" t="s">
        <v>80</v>
      </c>
      <c r="B29" s="61">
        <v>200</v>
      </c>
      <c r="C29" s="302">
        <f>+'CALIF GRUPO EXP E IND NAL '!D51</f>
        <v>0</v>
      </c>
      <c r="D29" s="339">
        <f t="shared" si="1"/>
        <v>0</v>
      </c>
      <c r="E29" s="173">
        <f t="shared" si="1"/>
        <v>0</v>
      </c>
    </row>
    <row r="30" spans="1:5" ht="27" customHeight="1" thickBot="1" x14ac:dyDescent="0.3">
      <c r="A30" s="150" t="s">
        <v>81</v>
      </c>
      <c r="B30" s="151">
        <v>100</v>
      </c>
      <c r="C30" s="152">
        <f>+'CALIF GRUPO EXP E IND NAL '!D61</f>
        <v>100</v>
      </c>
      <c r="D30" s="340">
        <f t="shared" si="1"/>
        <v>100</v>
      </c>
      <c r="E30" s="174">
        <f t="shared" si="1"/>
        <v>100</v>
      </c>
    </row>
    <row r="31" spans="1:5" ht="27" customHeight="1" thickTop="1" thickBot="1" x14ac:dyDescent="0.3">
      <c r="A31" s="147" t="s">
        <v>83</v>
      </c>
      <c r="B31" s="148">
        <f>SUM(B27:B30)</f>
        <v>1000</v>
      </c>
      <c r="C31" s="149">
        <f>SUM(C27:C30)</f>
        <v>526</v>
      </c>
      <c r="D31" s="341">
        <f>SUM(D27:D30)</f>
        <v>684</v>
      </c>
      <c r="E31" s="175" t="e">
        <f>SUM(E27:E30)</f>
        <v>#NUM!</v>
      </c>
    </row>
    <row r="32" spans="1:5" ht="15.75" thickBot="1" x14ac:dyDescent="0.3">
      <c r="E32" s="13"/>
    </row>
    <row r="33" spans="1:5" ht="15.75" thickTop="1" x14ac:dyDescent="0.25">
      <c r="A33" s="326"/>
      <c r="B33" s="327" t="s">
        <v>29</v>
      </c>
      <c r="C33" s="326" t="str">
        <f>+CONSOLIDADO!A15</f>
        <v>CONSORCIO PIC SIERRA NEVADA</v>
      </c>
      <c r="D33" s="326"/>
      <c r="E33" s="326"/>
    </row>
    <row r="34" spans="1:5" x14ac:dyDescent="0.25">
      <c r="A34" s="49"/>
      <c r="B34" s="328"/>
      <c r="C34" s="364">
        <f>+CONSOLIDADO!B15</f>
        <v>104</v>
      </c>
      <c r="D34" s="49"/>
      <c r="E34" s="49"/>
    </row>
    <row r="35" spans="1:5" x14ac:dyDescent="0.25">
      <c r="A35" s="48"/>
      <c r="B35" s="135" t="s">
        <v>99</v>
      </c>
      <c r="C35" s="48" t="str">
        <f>+'HABILITANTES JURIDICOS'!J54</f>
        <v>HABILITADO</v>
      </c>
      <c r="D35" s="48"/>
      <c r="E35" s="1"/>
    </row>
    <row r="36" spans="1:5" x14ac:dyDescent="0.25">
      <c r="B36" s="135" t="s">
        <v>100</v>
      </c>
      <c r="C36" s="48" t="str">
        <f>+'HABILI FINANCIEROS CON_PIC SIER'!J2</f>
        <v>NO HABILITADO</v>
      </c>
      <c r="D36" s="48"/>
      <c r="E36" s="335">
        <f>COUNTIF(C35:C39,"NO HABILITADO")</f>
        <v>1</v>
      </c>
    </row>
    <row r="37" spans="1:5" x14ac:dyDescent="0.25">
      <c r="B37" s="135" t="s">
        <v>101</v>
      </c>
      <c r="C37" s="48" t="str">
        <f>+'HABILITANTES TECNICOS DEL GRUPO'!J56</f>
        <v>HABILITADO</v>
      </c>
      <c r="D37" s="48"/>
      <c r="E37" s="336" t="str">
        <f>IF(E36&gt;0,"DESCALIFICADO","FINALISTA")</f>
        <v>DESCALIFICADO</v>
      </c>
    </row>
    <row r="38" spans="1:5" x14ac:dyDescent="0.25">
      <c r="B38" s="135" t="s">
        <v>188</v>
      </c>
      <c r="C38" s="48" t="str">
        <f>IF('DATOS BASE DEL GRUPO'!I12=0,"NO HABILITADO","HABILITADO")</f>
        <v>HABILITADO</v>
      </c>
      <c r="D38" s="48"/>
      <c r="E38" s="386"/>
    </row>
    <row r="39" spans="1:5" ht="15.75" thickBot="1" x14ac:dyDescent="0.3">
      <c r="B39" s="46" t="s">
        <v>181</v>
      </c>
      <c r="C39" s="45" t="str">
        <f>IF(C42&gt;0,"HABILITADO","NO HABILITADO")</f>
        <v>HABILITADO</v>
      </c>
    </row>
    <row r="40" spans="1:5" s="52" customFormat="1" x14ac:dyDescent="0.25">
      <c r="A40" s="635" t="s">
        <v>77</v>
      </c>
      <c r="B40" s="637" t="s">
        <v>82</v>
      </c>
      <c r="C40" s="639" t="s">
        <v>84</v>
      </c>
      <c r="D40" s="640"/>
      <c r="E40" s="641"/>
    </row>
    <row r="41" spans="1:5" s="52" customFormat="1" ht="15.75" thickBot="1" x14ac:dyDescent="0.3">
      <c r="A41" s="636"/>
      <c r="B41" s="638"/>
      <c r="C41" s="113" t="str">
        <f>+C26</f>
        <v>1/2 Aritm</v>
      </c>
      <c r="D41" s="337" t="str">
        <f>+D26</f>
        <v>1/2 Aritm Alta</v>
      </c>
      <c r="E41" s="171" t="str">
        <f>+E26</f>
        <v>1/2 Geom.</v>
      </c>
    </row>
    <row r="42" spans="1:5" ht="27" customHeight="1" thickTop="1" x14ac:dyDescent="0.25">
      <c r="A42" s="56" t="s">
        <v>78</v>
      </c>
      <c r="B42" s="57">
        <v>400</v>
      </c>
      <c r="C42" s="301">
        <f>+'DATOS BASE DEL GRUPO'!E12</f>
        <v>132</v>
      </c>
      <c r="D42" s="338">
        <f>+'DATOS BASE DEL GRUPO'!F12</f>
        <v>289</v>
      </c>
      <c r="E42" s="172" t="e">
        <f>+'DATOS BASE DEL GRUPO'!G12</f>
        <v>#NUM!</v>
      </c>
    </row>
    <row r="43" spans="1:5" ht="27" customHeight="1" x14ac:dyDescent="0.25">
      <c r="A43" s="65" t="s">
        <v>79</v>
      </c>
      <c r="B43" s="61">
        <v>300</v>
      </c>
      <c r="C43" s="302">
        <f>+'CALIF GRUPO EXP E IND NAL '!D42</f>
        <v>300</v>
      </c>
      <c r="D43" s="339">
        <f t="shared" ref="D43:E45" si="2">+C43</f>
        <v>300</v>
      </c>
      <c r="E43" s="173">
        <f t="shared" si="2"/>
        <v>300</v>
      </c>
    </row>
    <row r="44" spans="1:5" ht="27" customHeight="1" x14ac:dyDescent="0.25">
      <c r="A44" s="65" t="s">
        <v>80</v>
      </c>
      <c r="B44" s="61">
        <v>200</v>
      </c>
      <c r="C44" s="302">
        <f>+'CALIF GRUPO EXP E IND NAL '!D52</f>
        <v>100</v>
      </c>
      <c r="D44" s="339">
        <f t="shared" si="2"/>
        <v>100</v>
      </c>
      <c r="E44" s="173">
        <f t="shared" si="2"/>
        <v>100</v>
      </c>
    </row>
    <row r="45" spans="1:5" ht="27" customHeight="1" thickBot="1" x14ac:dyDescent="0.3">
      <c r="A45" s="150" t="s">
        <v>81</v>
      </c>
      <c r="B45" s="151">
        <v>100</v>
      </c>
      <c r="C45" s="152">
        <f>+'CALIF GRUPO EXP E IND NAL '!D62</f>
        <v>100</v>
      </c>
      <c r="D45" s="340">
        <f t="shared" si="2"/>
        <v>100</v>
      </c>
      <c r="E45" s="174">
        <f t="shared" si="2"/>
        <v>100</v>
      </c>
    </row>
    <row r="46" spans="1:5" ht="27" customHeight="1" thickTop="1" thickBot="1" x14ac:dyDescent="0.3">
      <c r="A46" s="147" t="s">
        <v>83</v>
      </c>
      <c r="B46" s="148">
        <f>SUM(B42:B45)</f>
        <v>1000</v>
      </c>
      <c r="C46" s="149">
        <f>SUM(C42:C45)</f>
        <v>632</v>
      </c>
      <c r="D46" s="341">
        <f>SUM(D42:D45)</f>
        <v>789</v>
      </c>
      <c r="E46" s="175" t="e">
        <f>SUM(E42:E45)</f>
        <v>#NUM!</v>
      </c>
    </row>
    <row r="47" spans="1:5" ht="15.75" thickBot="1" x14ac:dyDescent="0.3">
      <c r="E47" s="13"/>
    </row>
    <row r="48" spans="1:5" ht="15.75" thickTop="1" x14ac:dyDescent="0.25">
      <c r="A48" s="326"/>
      <c r="B48" s="327" t="s">
        <v>29</v>
      </c>
      <c r="C48" s="326" t="str">
        <f>+CONSOLIDADO!A19</f>
        <v>CONSORCIO LV PERIJÁ</v>
      </c>
      <c r="D48" s="326"/>
      <c r="E48" s="326"/>
    </row>
    <row r="49" spans="1:5" x14ac:dyDescent="0.25">
      <c r="A49" s="49"/>
      <c r="B49" s="328"/>
      <c r="C49" s="364">
        <f>+CONSOLIDADO!B19</f>
        <v>98</v>
      </c>
      <c r="D49" s="49"/>
      <c r="E49" s="49"/>
    </row>
    <row r="50" spans="1:5" x14ac:dyDescent="0.25">
      <c r="A50" s="48"/>
      <c r="B50" s="135" t="s">
        <v>99</v>
      </c>
      <c r="C50" s="48" t="str">
        <f>+'HABILITANTES JURIDICOS'!J80</f>
        <v>HABILITADO</v>
      </c>
      <c r="D50" s="48"/>
      <c r="E50" s="1"/>
    </row>
    <row r="51" spans="1:5" x14ac:dyDescent="0.25">
      <c r="B51" s="135" t="s">
        <v>100</v>
      </c>
      <c r="C51" s="48" t="str">
        <f>+'HABILI FINANCIEROS CON_LV PERIJ'!J2</f>
        <v>HABILITADO</v>
      </c>
      <c r="D51" s="48"/>
      <c r="E51" s="335">
        <f>COUNTIF(C50:C54,"NO HABILITADO")</f>
        <v>0</v>
      </c>
    </row>
    <row r="52" spans="1:5" x14ac:dyDescent="0.25">
      <c r="B52" s="135" t="s">
        <v>101</v>
      </c>
      <c r="C52" s="48" t="str">
        <f>+'HABILITANTES TECNICOS DEL GRUPO'!J83</f>
        <v>HABILITADO</v>
      </c>
      <c r="D52" s="48"/>
      <c r="E52" s="336" t="str">
        <f>IF(E51&gt;0,"DESCALIFICADO","FINALISTA")</f>
        <v>FINALISTA</v>
      </c>
    </row>
    <row r="53" spans="1:5" x14ac:dyDescent="0.25">
      <c r="B53" s="135" t="s">
        <v>188</v>
      </c>
      <c r="C53" s="48" t="str">
        <f>IF('DATOS BASE DEL GRUPO'!I13=0,"NO HABILITADO","HABILITADO")</f>
        <v>HABILITADO</v>
      </c>
      <c r="D53" s="48"/>
      <c r="E53" s="386"/>
    </row>
    <row r="54" spans="1:5" ht="15.75" thickBot="1" x14ac:dyDescent="0.3">
      <c r="B54" s="46" t="s">
        <v>181</v>
      </c>
      <c r="C54" s="45" t="str">
        <f>IF(C57&gt;0,"HABILITADO","NO HABILITADO")</f>
        <v>HABILITADO</v>
      </c>
    </row>
    <row r="55" spans="1:5" s="52" customFormat="1" x14ac:dyDescent="0.25">
      <c r="A55" s="635" t="s">
        <v>77</v>
      </c>
      <c r="B55" s="637" t="s">
        <v>82</v>
      </c>
      <c r="C55" s="639" t="s">
        <v>84</v>
      </c>
      <c r="D55" s="640"/>
      <c r="E55" s="641"/>
    </row>
    <row r="56" spans="1:5" s="52" customFormat="1" ht="15.75" thickBot="1" x14ac:dyDescent="0.3">
      <c r="A56" s="636"/>
      <c r="B56" s="638"/>
      <c r="C56" s="113" t="str">
        <f>+C41</f>
        <v>1/2 Aritm</v>
      </c>
      <c r="D56" s="337" t="str">
        <f>+D41</f>
        <v>1/2 Aritm Alta</v>
      </c>
      <c r="E56" s="171" t="str">
        <f>+E41</f>
        <v>1/2 Geom.</v>
      </c>
    </row>
    <row r="57" spans="1:5" ht="27" customHeight="1" thickTop="1" x14ac:dyDescent="0.25">
      <c r="A57" s="56" t="s">
        <v>78</v>
      </c>
      <c r="B57" s="57">
        <v>400</v>
      </c>
      <c r="C57" s="301">
        <f>+'DATOS BASE DEL GRUPO'!E13</f>
        <v>131</v>
      </c>
      <c r="D57" s="338">
        <f>+'DATOS BASE DEL GRUPO'!F13</f>
        <v>287</v>
      </c>
      <c r="E57" s="172" t="e">
        <f>+'DATOS BASE DEL GRUPO'!G13</f>
        <v>#NUM!</v>
      </c>
    </row>
    <row r="58" spans="1:5" ht="27" customHeight="1" x14ac:dyDescent="0.25">
      <c r="A58" s="65" t="s">
        <v>79</v>
      </c>
      <c r="B58" s="61">
        <v>300</v>
      </c>
      <c r="C58" s="302">
        <f>+'CALIF GRUPO EXP E IND NAL '!D43</f>
        <v>300</v>
      </c>
      <c r="D58" s="339">
        <f t="shared" ref="D58:E60" si="3">+C58</f>
        <v>300</v>
      </c>
      <c r="E58" s="173">
        <f t="shared" si="3"/>
        <v>300</v>
      </c>
    </row>
    <row r="59" spans="1:5" ht="27" customHeight="1" x14ac:dyDescent="0.25">
      <c r="A59" s="65" t="s">
        <v>80</v>
      </c>
      <c r="B59" s="61">
        <v>200</v>
      </c>
      <c r="C59" s="302">
        <f>+'CALIF GRUPO EXP E IND NAL '!D53</f>
        <v>200</v>
      </c>
      <c r="D59" s="339">
        <f t="shared" si="3"/>
        <v>200</v>
      </c>
      <c r="E59" s="173">
        <f t="shared" si="3"/>
        <v>200</v>
      </c>
    </row>
    <row r="60" spans="1:5" ht="27" customHeight="1" thickBot="1" x14ac:dyDescent="0.3">
      <c r="A60" s="150" t="s">
        <v>81</v>
      </c>
      <c r="B60" s="151">
        <v>100</v>
      </c>
      <c r="C60" s="152">
        <f>+'CALIF GRUPO EXP E IND NAL '!D63</f>
        <v>50</v>
      </c>
      <c r="D60" s="340">
        <f t="shared" si="3"/>
        <v>50</v>
      </c>
      <c r="E60" s="174">
        <f t="shared" si="3"/>
        <v>50</v>
      </c>
    </row>
    <row r="61" spans="1:5" ht="27" customHeight="1" thickTop="1" thickBot="1" x14ac:dyDescent="0.3">
      <c r="A61" s="147" t="s">
        <v>83</v>
      </c>
      <c r="B61" s="148">
        <f>SUM(B57:B60)</f>
        <v>1000</v>
      </c>
      <c r="C61" s="149">
        <f>SUM(C57:C60)</f>
        <v>681</v>
      </c>
      <c r="D61" s="341">
        <f>SUM(D57:D60)</f>
        <v>837</v>
      </c>
      <c r="E61" s="175" t="e">
        <f>SUM(E57:E60)</f>
        <v>#NUM!</v>
      </c>
    </row>
    <row r="62" spans="1:5" ht="15.75" thickBot="1" x14ac:dyDescent="0.3">
      <c r="E62" s="13"/>
    </row>
    <row r="63" spans="1:5" ht="15.75" thickTop="1" x14ac:dyDescent="0.25">
      <c r="A63" s="326"/>
      <c r="B63" s="327" t="s">
        <v>29</v>
      </c>
      <c r="C63" s="326" t="str">
        <f>+CONSOLIDADO!A23</f>
        <v>UNION TEMPORAL PERIJA 2017</v>
      </c>
      <c r="D63" s="326"/>
      <c r="E63" s="326"/>
    </row>
    <row r="64" spans="1:5" x14ac:dyDescent="0.25">
      <c r="A64" s="49"/>
      <c r="B64" s="328"/>
      <c r="C64" s="364">
        <f>+CONSOLIDADO!B23</f>
        <v>32</v>
      </c>
      <c r="D64" s="49"/>
      <c r="E64" s="49"/>
    </row>
    <row r="65" spans="1:5" x14ac:dyDescent="0.25">
      <c r="A65" s="48"/>
      <c r="B65" s="135" t="s">
        <v>99</v>
      </c>
      <c r="C65" s="48" t="str">
        <f>+'HABILITANTES JURIDICOS'!J106</f>
        <v>HABILITADO</v>
      </c>
      <c r="D65" s="48"/>
      <c r="E65" s="1"/>
    </row>
    <row r="66" spans="1:5" x14ac:dyDescent="0.25">
      <c r="B66" s="135" t="s">
        <v>100</v>
      </c>
      <c r="C66" s="48" t="str">
        <f>+'HABILI FINANCIEROS UT PERIJA 20'!J2</f>
        <v>NO HABILITADO</v>
      </c>
      <c r="D66" s="48"/>
      <c r="E66" s="335">
        <f>COUNTIF(C65:C69,"NO HABILITADO")</f>
        <v>2</v>
      </c>
    </row>
    <row r="67" spans="1:5" x14ac:dyDescent="0.25">
      <c r="B67" s="135" t="s">
        <v>101</v>
      </c>
      <c r="C67" s="48" t="str">
        <f>+'HABILITANTES TECNICOS DEL GRUPO'!J110</f>
        <v>NO HABILITADO</v>
      </c>
      <c r="D67" s="48"/>
      <c r="E67" s="336" t="str">
        <f>IF(E66&gt;0,"DESCALIFICADO","FINALISTA")</f>
        <v>DESCALIFICADO</v>
      </c>
    </row>
    <row r="68" spans="1:5" x14ac:dyDescent="0.25">
      <c r="B68" s="135" t="s">
        <v>188</v>
      </c>
      <c r="C68" s="48" t="str">
        <f>IF('DATOS BASE DEL GRUPO'!I14=0,"NO HABILITADO","HABILITADO")</f>
        <v>HABILITADO</v>
      </c>
      <c r="D68" s="48"/>
      <c r="E68" s="386"/>
    </row>
    <row r="69" spans="1:5" ht="15.75" thickBot="1" x14ac:dyDescent="0.3">
      <c r="B69" s="46" t="s">
        <v>181</v>
      </c>
      <c r="C69" s="45" t="str">
        <f>IF(C72&gt;0,"HABILITADO","NO HABILITADO")</f>
        <v>HABILITADO</v>
      </c>
    </row>
    <row r="70" spans="1:5" s="52" customFormat="1" x14ac:dyDescent="0.25">
      <c r="A70" s="635" t="s">
        <v>77</v>
      </c>
      <c r="B70" s="637" t="s">
        <v>82</v>
      </c>
      <c r="C70" s="639" t="s">
        <v>84</v>
      </c>
      <c r="D70" s="640"/>
      <c r="E70" s="641"/>
    </row>
    <row r="71" spans="1:5" s="52" customFormat="1" ht="15.75" thickBot="1" x14ac:dyDescent="0.3">
      <c r="A71" s="636"/>
      <c r="B71" s="638"/>
      <c r="C71" s="113" t="str">
        <f>+C56</f>
        <v>1/2 Aritm</v>
      </c>
      <c r="D71" s="337" t="str">
        <f>+D56</f>
        <v>1/2 Aritm Alta</v>
      </c>
      <c r="E71" s="171" t="str">
        <f>+E56</f>
        <v>1/2 Geom.</v>
      </c>
    </row>
    <row r="72" spans="1:5" ht="27" customHeight="1" thickTop="1" x14ac:dyDescent="0.25">
      <c r="A72" s="56" t="s">
        <v>78</v>
      </c>
      <c r="B72" s="57">
        <v>400</v>
      </c>
      <c r="C72" s="301">
        <f>+'DATOS BASE DEL GRUPO'!E14</f>
        <v>125</v>
      </c>
      <c r="D72" s="338">
        <f>+'DATOS BASE DEL GRUPO'!F14</f>
        <v>283</v>
      </c>
      <c r="E72" s="172" t="e">
        <f>+'DATOS BASE DEL GRUPO'!G14</f>
        <v>#NUM!</v>
      </c>
    </row>
    <row r="73" spans="1:5" ht="27" customHeight="1" x14ac:dyDescent="0.25">
      <c r="A73" s="65" t="s">
        <v>79</v>
      </c>
      <c r="B73" s="61">
        <v>300</v>
      </c>
      <c r="C73" s="302">
        <f>+'CALIF GRUPO EXP E IND NAL '!D44</f>
        <v>100</v>
      </c>
      <c r="D73" s="339">
        <f t="shared" ref="D73:E75" si="4">+C73</f>
        <v>100</v>
      </c>
      <c r="E73" s="173">
        <f t="shared" si="4"/>
        <v>100</v>
      </c>
    </row>
    <row r="74" spans="1:5" ht="27" customHeight="1" x14ac:dyDescent="0.25">
      <c r="A74" s="65" t="s">
        <v>80</v>
      </c>
      <c r="B74" s="61">
        <v>200</v>
      </c>
      <c r="C74" s="302">
        <f>+'CALIF GRUPO EXP E IND NAL '!D54</f>
        <v>100</v>
      </c>
      <c r="D74" s="339">
        <f t="shared" si="4"/>
        <v>100</v>
      </c>
      <c r="E74" s="173">
        <f t="shared" si="4"/>
        <v>100</v>
      </c>
    </row>
    <row r="75" spans="1:5" ht="27" customHeight="1" thickBot="1" x14ac:dyDescent="0.3">
      <c r="A75" s="150" t="s">
        <v>81</v>
      </c>
      <c r="B75" s="151">
        <v>100</v>
      </c>
      <c r="C75" s="152">
        <f>+'CALIF GRUPO EXP E IND NAL '!D64</f>
        <v>100</v>
      </c>
      <c r="D75" s="340">
        <f t="shared" si="4"/>
        <v>100</v>
      </c>
      <c r="E75" s="174">
        <f t="shared" si="4"/>
        <v>100</v>
      </c>
    </row>
    <row r="76" spans="1:5" ht="27" customHeight="1" thickTop="1" thickBot="1" x14ac:dyDescent="0.3">
      <c r="A76" s="147" t="s">
        <v>83</v>
      </c>
      <c r="B76" s="148">
        <f>SUM(B72:B75)</f>
        <v>1000</v>
      </c>
      <c r="C76" s="149">
        <f>SUM(C72:C75)</f>
        <v>425</v>
      </c>
      <c r="D76" s="341">
        <f>SUM(D72:D75)</f>
        <v>583</v>
      </c>
      <c r="E76" s="175" t="e">
        <f>SUM(E72:E75)</f>
        <v>#NUM!</v>
      </c>
    </row>
    <row r="78" spans="1:5" ht="18.75" x14ac:dyDescent="0.25">
      <c r="C78" s="329">
        <f>MAX(C76,C61,C46,C31,C16)</f>
        <v>681</v>
      </c>
      <c r="D78" s="331">
        <f>MAX(D76,D61,D46,D31,D16)</f>
        <v>837</v>
      </c>
      <c r="E78" s="329" t="e">
        <f>MAX(E76,E61,E46,E31,E16)</f>
        <v>#NUM!</v>
      </c>
    </row>
    <row r="79" spans="1:5" ht="18.75" x14ac:dyDescent="0.25">
      <c r="A79" s="642" t="s">
        <v>168</v>
      </c>
      <c r="B79" s="642"/>
      <c r="C79" s="393" t="e">
        <f ca="1">_xlfn.IFS(C78=C16,C3,C78=C31,C18,C78=C46,C33,C78=C61,C48,C78=C76,C63)</f>
        <v>#NAME?</v>
      </c>
      <c r="D79" s="392" t="e">
        <f ca="1">_xlfn.IFS(D78=D16,C3,D78=D31,C18,D78=D46,C33,D78=D61,C48,D78=D76,C63)</f>
        <v>#NAME?</v>
      </c>
      <c r="E79" s="393" t="e">
        <f ca="1">_xlfn.IFS(E78=E16,C3,E78=E31,C18,E78=E46,C33,E78=E61,C48,E78=E76,C63)</f>
        <v>#NAME?</v>
      </c>
    </row>
    <row r="80" spans="1:5" x14ac:dyDescent="0.25">
      <c r="A80" s="332" t="str">
        <f>+C70</f>
        <v>METODO</v>
      </c>
      <c r="B80" s="334" t="s">
        <v>179</v>
      </c>
      <c r="C80" s="333" t="str">
        <f>+D71</f>
        <v>1/2 Aritm Alta</v>
      </c>
    </row>
    <row r="83" spans="1:3" ht="15.75" thickBot="1" x14ac:dyDescent="0.3"/>
    <row r="84" spans="1:3" ht="15.75" thickBot="1" x14ac:dyDescent="0.3">
      <c r="A84" s="376" t="s">
        <v>189</v>
      </c>
      <c r="B84" s="595" t="str">
        <f>+A2</f>
        <v>GRUPO 1</v>
      </c>
      <c r="C84" s="596"/>
    </row>
    <row r="85" spans="1:3" ht="15.75" thickTop="1" x14ac:dyDescent="0.25">
      <c r="A85" s="373" t="str">
        <f>+C3</f>
        <v>CONSORCIO DESARROLLO DEL CESAR</v>
      </c>
      <c r="B85" s="384" t="str">
        <f>+E7</f>
        <v>FINALISTA</v>
      </c>
      <c r="C85" s="385"/>
    </row>
    <row r="86" spans="1:3" x14ac:dyDescent="0.25">
      <c r="A86" s="369" t="str">
        <f>+C18</f>
        <v>CONSORCIO OBRAS EN PAZ</v>
      </c>
      <c r="B86" s="380" t="str">
        <f>+E22</f>
        <v>FINALISTA</v>
      </c>
      <c r="C86" s="381"/>
    </row>
    <row r="87" spans="1:3" x14ac:dyDescent="0.25">
      <c r="A87" s="369" t="str">
        <f>+C33</f>
        <v>CONSORCIO PIC SIERRA NEVADA</v>
      </c>
      <c r="B87" s="380" t="str">
        <f>+E37</f>
        <v>DESCALIFICADO</v>
      </c>
      <c r="C87" s="381"/>
    </row>
    <row r="88" spans="1:3" x14ac:dyDescent="0.25">
      <c r="A88" s="369" t="str">
        <f>+C48</f>
        <v>CONSORCIO LV PERIJÁ</v>
      </c>
      <c r="B88" s="380" t="str">
        <f>+E52</f>
        <v>FINALISTA</v>
      </c>
      <c r="C88" s="381"/>
    </row>
    <row r="89" spans="1:3" ht="15.75" thickBot="1" x14ac:dyDescent="0.3">
      <c r="A89" s="372" t="str">
        <f>+C63</f>
        <v>UNION TEMPORAL PERIJA 2017</v>
      </c>
      <c r="B89" s="382" t="str">
        <f>+E67</f>
        <v>DESCALIFICADO</v>
      </c>
      <c r="C89" s="383"/>
    </row>
  </sheetData>
  <mergeCells count="17">
    <mergeCell ref="B84:C84"/>
    <mergeCell ref="A79:B79"/>
    <mergeCell ref="A70:A71"/>
    <mergeCell ref="B70:B71"/>
    <mergeCell ref="C70:E70"/>
    <mergeCell ref="A40:A41"/>
    <mergeCell ref="B40:B41"/>
    <mergeCell ref="C40:E40"/>
    <mergeCell ref="A55:A56"/>
    <mergeCell ref="B55:B56"/>
    <mergeCell ref="C55:E55"/>
    <mergeCell ref="A10:A11"/>
    <mergeCell ref="B10:B11"/>
    <mergeCell ref="C10:E10"/>
    <mergeCell ref="A25:A26"/>
    <mergeCell ref="B25:B26"/>
    <mergeCell ref="C25:E25"/>
  </mergeCells>
  <pageMargins left="0.7" right="0.7" top="0.75" bottom="0.75" header="0.3" footer="0.3"/>
  <pageSetup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showGridLines="0" tabSelected="1" view="pageBreakPreview" topLeftCell="A3" zoomScaleNormal="110" zoomScaleSheetLayoutView="100" workbookViewId="0">
      <pane xSplit="5" ySplit="3" topLeftCell="F25" activePane="bottomRight" state="frozen"/>
      <selection activeCell="A3" sqref="A3"/>
      <selection pane="topRight" activeCell="F3" sqref="F3"/>
      <selection pane="bottomLeft" activeCell="A6" sqref="A6"/>
      <selection pane="bottomRight" activeCell="Q32" sqref="Q32"/>
    </sheetView>
  </sheetViews>
  <sheetFormatPr baseColWidth="10" defaultRowHeight="12" x14ac:dyDescent="0.25"/>
  <cols>
    <col min="1" max="1" width="33.28515625" style="183" customWidth="1"/>
    <col min="2" max="2" width="8.7109375" style="183" customWidth="1"/>
    <col min="3" max="3" width="62" style="183" customWidth="1"/>
    <col min="4" max="4" width="14.7109375" style="183" customWidth="1"/>
    <col min="5" max="5" width="2.7109375" style="183" hidden="1" customWidth="1"/>
    <col min="6" max="6" width="2.7109375" style="183" customWidth="1"/>
    <col min="7" max="15" width="2.7109375" style="183" hidden="1" customWidth="1"/>
    <col min="16" max="16" width="14" style="183" customWidth="1"/>
    <col min="17" max="17" width="11.7109375" style="183" customWidth="1"/>
    <col min="18" max="18" width="13.28515625" style="183" customWidth="1"/>
    <col min="19" max="19" width="13.5703125" style="183" customWidth="1"/>
    <col min="20" max="30" width="14.7109375" style="183" hidden="1" customWidth="1"/>
    <col min="31" max="31" width="2.85546875" style="183" customWidth="1"/>
    <col min="32" max="32" width="14.7109375" style="183" customWidth="1"/>
    <col min="33" max="33" width="16.42578125" style="183" hidden="1" customWidth="1"/>
    <col min="34" max="39" width="0" style="183" hidden="1" customWidth="1"/>
    <col min="40" max="16384" width="11.42578125" style="183"/>
  </cols>
  <sheetData>
    <row r="1" spans="1:34" ht="41.25" x14ac:dyDescent="0.25">
      <c r="Q1" s="214"/>
      <c r="R1" s="214"/>
      <c r="S1" s="215" t="s">
        <v>125</v>
      </c>
      <c r="T1" s="290" t="str">
        <f>+'PPTO OFICIAL'!B3</f>
        <v>SIERRA NEVADA-PERIJÁ-ZONA BANANERA</v>
      </c>
      <c r="U1" s="290" t="str">
        <f>+'PPTO OFICIAL'!B4</f>
        <v>ARAUCA</v>
      </c>
      <c r="V1" s="243" t="str">
        <f>+'PPTO OFICIAL'!B5</f>
        <v>BAJO CAUCA Y NORDESTE ANTIOQUEÑO - SUR DE CÓRDOBA -  URABÁ ANTIOQUEÑO</v>
      </c>
      <c r="W1" s="243" t="str">
        <f>+'PPTO OFICIAL'!B6</f>
        <v>CATATUMBO</v>
      </c>
      <c r="X1" s="243" t="str">
        <f>+'PPTO OFICIAL'!B7</f>
        <v>CHOCÓ</v>
      </c>
      <c r="Y1" s="243" t="str">
        <f>+'PPTO OFICIAL'!B8</f>
        <v>SUR DEL TOLIMA</v>
      </c>
      <c r="Z1" s="243" t="str">
        <f>+'PPTO OFICIAL'!B9</f>
        <v>ALTO PATÍA Y NORTE DEL CAUCA</v>
      </c>
      <c r="AA1" s="243" t="str">
        <f>+'PPTO OFICIAL'!B10</f>
        <v>PACÍFICO Y FRONTERA NARIÑENSE</v>
      </c>
      <c r="AB1" s="243" t="str">
        <f>+'PPTO OFICIAL'!B11</f>
        <v>PUTUMAYO</v>
      </c>
      <c r="AC1" s="243" t="str">
        <f>+'PPTO OFICIAL'!B12</f>
        <v>CUENCA DEL CAGUÁN Y PIEDEMONTE CAQUETEÑO</v>
      </c>
      <c r="AD1" s="243" t="str">
        <f>+'PPTO OFICIAL'!B13</f>
        <v>MACARENA GUAVIARE</v>
      </c>
      <c r="AF1" s="290" t="str">
        <f>+'DATOS BASE DEL GRUPO'!B3</f>
        <v>SIERRA NEVADA-PERIJÁ-ZONA BANANERA</v>
      </c>
    </row>
    <row r="2" spans="1:34" ht="15" x14ac:dyDescent="0.25">
      <c r="B2" s="208"/>
      <c r="C2" s="184"/>
      <c r="Q2" s="214"/>
      <c r="R2" s="214"/>
      <c r="S2" s="224" t="s">
        <v>111</v>
      </c>
      <c r="T2" s="291">
        <f>+'PPTO OFICIAL'!K3</f>
        <v>5643000000</v>
      </c>
      <c r="U2" s="291">
        <f>+'PPTO OFICIAL'!K4</f>
        <v>1254000000</v>
      </c>
      <c r="V2" s="225">
        <f>+'PPTO OFICIAL'!K5</f>
        <v>15048000000</v>
      </c>
      <c r="W2" s="225">
        <f>+'PPTO OFICIAL'!K6</f>
        <v>3762000000</v>
      </c>
      <c r="X2" s="225">
        <f>+'PPTO OFICIAL'!K7</f>
        <v>5643000000</v>
      </c>
      <c r="Y2" s="225">
        <f>+'PPTO OFICIAL'!K8</f>
        <v>1881000000</v>
      </c>
      <c r="Z2" s="225">
        <f>+'PPTO OFICIAL'!K9</f>
        <v>16929000000</v>
      </c>
      <c r="AA2" s="225">
        <f>+'PPTO OFICIAL'!K10</f>
        <v>7524000000</v>
      </c>
      <c r="AB2" s="225">
        <f>+'PPTO OFICIAL'!K11</f>
        <v>11286000000</v>
      </c>
      <c r="AC2" s="225">
        <f>+'PPTO OFICIAL'!K12</f>
        <v>9405000000</v>
      </c>
      <c r="AD2" s="225">
        <f>+'PPTO OFICIAL'!K13</f>
        <v>15048000000</v>
      </c>
      <c r="AF2" s="291">
        <f>+'DATOS BASE DEL GRUPO'!B4</f>
        <v>5643000000</v>
      </c>
    </row>
    <row r="3" spans="1:34" ht="18" customHeight="1" thickBot="1" x14ac:dyDescent="0.3"/>
    <row r="4" spans="1:34" ht="24.75" thickBot="1" x14ac:dyDescent="0.3">
      <c r="A4" s="210" t="s">
        <v>108</v>
      </c>
      <c r="B4" s="211" t="s">
        <v>180</v>
      </c>
      <c r="C4" s="211" t="s">
        <v>109</v>
      </c>
      <c r="D4" s="209" t="s">
        <v>110</v>
      </c>
      <c r="E4" s="533" t="s">
        <v>113</v>
      </c>
      <c r="F4" s="534"/>
      <c r="G4" s="534"/>
      <c r="H4" s="534"/>
      <c r="I4" s="534"/>
      <c r="J4" s="534"/>
      <c r="K4" s="534"/>
      <c r="L4" s="534"/>
      <c r="M4" s="534"/>
      <c r="N4" s="534"/>
      <c r="O4" s="535"/>
      <c r="P4" s="227" t="s">
        <v>127</v>
      </c>
      <c r="Q4" s="228" t="s">
        <v>129</v>
      </c>
      <c r="R4" s="228" t="s">
        <v>129</v>
      </c>
      <c r="S4" s="229" t="s">
        <v>127</v>
      </c>
      <c r="T4" s="536" t="s">
        <v>112</v>
      </c>
      <c r="U4" s="537"/>
      <c r="V4" s="537"/>
      <c r="W4" s="537"/>
      <c r="X4" s="537"/>
      <c r="Y4" s="537"/>
      <c r="Z4" s="537"/>
      <c r="AA4" s="537"/>
      <c r="AB4" s="537"/>
      <c r="AC4" s="537"/>
      <c r="AD4" s="538"/>
      <c r="AF4" s="198" t="s">
        <v>199</v>
      </c>
    </row>
    <row r="5" spans="1:34" ht="13.5" thickTop="1" thickBot="1" x14ac:dyDescent="0.3">
      <c r="A5" s="197"/>
      <c r="B5" s="198"/>
      <c r="C5" s="198"/>
      <c r="D5" s="201"/>
      <c r="E5" s="206">
        <v>1</v>
      </c>
      <c r="F5" s="199"/>
      <c r="G5" s="199">
        <f t="shared" ref="G5:O5" si="0">+F5+1</f>
        <v>1</v>
      </c>
      <c r="H5" s="199">
        <f t="shared" si="0"/>
        <v>2</v>
      </c>
      <c r="I5" s="199">
        <f t="shared" si="0"/>
        <v>3</v>
      </c>
      <c r="J5" s="199">
        <f t="shared" si="0"/>
        <v>4</v>
      </c>
      <c r="K5" s="199">
        <f t="shared" si="0"/>
        <v>5</v>
      </c>
      <c r="L5" s="199">
        <f t="shared" si="0"/>
        <v>6</v>
      </c>
      <c r="M5" s="199">
        <f t="shared" si="0"/>
        <v>7</v>
      </c>
      <c r="N5" s="199">
        <f t="shared" si="0"/>
        <v>8</v>
      </c>
      <c r="O5" s="207">
        <f t="shared" si="0"/>
        <v>9</v>
      </c>
      <c r="P5" s="230" t="s">
        <v>128</v>
      </c>
      <c r="Q5" s="231" t="s">
        <v>128</v>
      </c>
      <c r="R5" s="231" t="s">
        <v>86</v>
      </c>
      <c r="S5" s="232" t="s">
        <v>130</v>
      </c>
      <c r="T5" s="202" t="s">
        <v>114</v>
      </c>
      <c r="U5" s="198" t="s">
        <v>115</v>
      </c>
      <c r="V5" s="198" t="s">
        <v>116</v>
      </c>
      <c r="W5" s="198" t="s">
        <v>117</v>
      </c>
      <c r="X5" s="198" t="s">
        <v>118</v>
      </c>
      <c r="Y5" s="198" t="s">
        <v>119</v>
      </c>
      <c r="Z5" s="198" t="s">
        <v>120</v>
      </c>
      <c r="AA5" s="198" t="s">
        <v>121</v>
      </c>
      <c r="AB5" s="198" t="s">
        <v>122</v>
      </c>
      <c r="AC5" s="198" t="s">
        <v>123</v>
      </c>
      <c r="AD5" s="200" t="s">
        <v>124</v>
      </c>
      <c r="AF5" s="198" t="str">
        <f>+'DATOS BASE DEL GRUPO'!A3</f>
        <v>GRUPO 1</v>
      </c>
    </row>
    <row r="6" spans="1:34" ht="11.25" customHeight="1" thickTop="1" thickBot="1" x14ac:dyDescent="0.3">
      <c r="A6" s="216"/>
      <c r="B6" s="217"/>
      <c r="C6" s="217"/>
      <c r="D6" s="218"/>
      <c r="E6" s="219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219"/>
      <c r="Q6" s="220"/>
      <c r="R6" s="220"/>
      <c r="S6" s="221"/>
      <c r="T6" s="222"/>
      <c r="U6" s="217"/>
      <c r="V6" s="217"/>
      <c r="W6" s="217"/>
      <c r="X6" s="217"/>
      <c r="Y6" s="217"/>
      <c r="Z6" s="217"/>
      <c r="AA6" s="217"/>
      <c r="AB6" s="217"/>
      <c r="AC6" s="217"/>
      <c r="AD6" s="223"/>
      <c r="AF6" s="484"/>
    </row>
    <row r="7" spans="1:34" x14ac:dyDescent="0.25">
      <c r="A7" s="306" t="s">
        <v>200</v>
      </c>
      <c r="B7" s="307">
        <v>79</v>
      </c>
      <c r="C7" s="365" t="s">
        <v>200</v>
      </c>
      <c r="D7" s="512"/>
      <c r="E7" s="432" t="str">
        <f>IF(T7&gt;0,"X","")</f>
        <v/>
      </c>
      <c r="F7" s="433" t="str">
        <f>IF(AF7&gt;0,"X","")</f>
        <v>X</v>
      </c>
      <c r="G7" s="433" t="str">
        <f t="shared" ref="G7:O7" si="1">IF(V7&gt;0,"X","")</f>
        <v/>
      </c>
      <c r="H7" s="433" t="str">
        <f t="shared" si="1"/>
        <v/>
      </c>
      <c r="I7" s="433" t="str">
        <f t="shared" si="1"/>
        <v/>
      </c>
      <c r="J7" s="433" t="str">
        <f t="shared" si="1"/>
        <v/>
      </c>
      <c r="K7" s="433" t="str">
        <f t="shared" si="1"/>
        <v/>
      </c>
      <c r="L7" s="433" t="str">
        <f t="shared" si="1"/>
        <v/>
      </c>
      <c r="M7" s="433" t="str">
        <f t="shared" si="1"/>
        <v/>
      </c>
      <c r="N7" s="433" t="str">
        <f t="shared" si="1"/>
        <v/>
      </c>
      <c r="O7" s="434" t="str">
        <f t="shared" si="1"/>
        <v/>
      </c>
      <c r="P7" s="471">
        <f>+'HABILI FINANCIEROS CON_DES CESA'!B23</f>
        <v>4943656875.5</v>
      </c>
      <c r="Q7" s="472">
        <f>+'HABILI FINANCIEROS CON_DES CESA'!B24</f>
        <v>654173859.5</v>
      </c>
      <c r="R7" s="472">
        <f>+'HABILI FINANCIEROS CON_DES CESA'!B25</f>
        <v>2436914766.5</v>
      </c>
      <c r="S7" s="473">
        <f>+'HABILI FINANCIEROS CON_DES CESA'!B26</f>
        <v>5023307672.6000004</v>
      </c>
      <c r="T7" s="314"/>
      <c r="U7" s="315"/>
      <c r="V7" s="315"/>
      <c r="W7" s="315"/>
      <c r="X7" s="315"/>
      <c r="Y7" s="315"/>
      <c r="Z7" s="315"/>
      <c r="AA7" s="315"/>
      <c r="AB7" s="315"/>
      <c r="AC7" s="315"/>
      <c r="AD7" s="316"/>
      <c r="AF7" s="486">
        <v>1149000000</v>
      </c>
      <c r="AG7" s="183" t="s">
        <v>47</v>
      </c>
      <c r="AH7" s="183">
        <v>79</v>
      </c>
    </row>
    <row r="8" spans="1:34" ht="12.75" thickBot="1" x14ac:dyDescent="0.3">
      <c r="A8" s="187"/>
      <c r="B8" s="186"/>
      <c r="C8" s="308" t="s">
        <v>201</v>
      </c>
      <c r="D8" s="309">
        <v>0.7</v>
      </c>
      <c r="E8" s="352"/>
      <c r="F8" s="353"/>
      <c r="G8" s="353"/>
      <c r="H8" s="353"/>
      <c r="I8" s="353"/>
      <c r="J8" s="353"/>
      <c r="K8" s="353"/>
      <c r="L8" s="353"/>
      <c r="M8" s="353"/>
      <c r="N8" s="353"/>
      <c r="O8" s="354"/>
      <c r="P8" s="461">
        <v>6436110635</v>
      </c>
      <c r="Q8" s="462">
        <v>703394495</v>
      </c>
      <c r="R8" s="462">
        <v>3187713071</v>
      </c>
      <c r="S8" s="474">
        <f>6436110635+66223260</f>
        <v>6502333895</v>
      </c>
      <c r="T8" s="203"/>
      <c r="U8" s="189"/>
      <c r="V8" s="189"/>
      <c r="W8" s="189"/>
      <c r="X8" s="189"/>
      <c r="Y8" s="189"/>
      <c r="Z8" s="189"/>
      <c r="AA8" s="189"/>
      <c r="AB8" s="189"/>
      <c r="AC8" s="189"/>
      <c r="AD8" s="190"/>
      <c r="AF8" s="487"/>
    </row>
    <row r="9" spans="1:34" ht="13.5" thickTop="1" thickBot="1" x14ac:dyDescent="0.3">
      <c r="A9" s="187"/>
      <c r="B9" s="186"/>
      <c r="C9" s="308" t="s">
        <v>202</v>
      </c>
      <c r="D9" s="309">
        <v>0.3</v>
      </c>
      <c r="E9" s="355"/>
      <c r="F9" s="356"/>
      <c r="G9" s="356"/>
      <c r="H9" s="356"/>
      <c r="I9" s="356"/>
      <c r="J9" s="356"/>
      <c r="K9" s="356"/>
      <c r="L9" s="356"/>
      <c r="M9" s="356"/>
      <c r="N9" s="356"/>
      <c r="O9" s="357"/>
      <c r="P9" s="461">
        <v>1461264770</v>
      </c>
      <c r="Q9" s="462">
        <v>539325710</v>
      </c>
      <c r="R9" s="462">
        <v>685052056</v>
      </c>
      <c r="S9" s="474">
        <v>1572246487</v>
      </c>
      <c r="T9" s="203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F9" s="487"/>
    </row>
    <row r="10" spans="1:34" ht="12.75" thickTop="1" x14ac:dyDescent="0.25">
      <c r="A10" s="187"/>
      <c r="B10" s="186"/>
      <c r="C10" s="308"/>
      <c r="D10" s="309">
        <v>0</v>
      </c>
      <c r="E10" s="358"/>
      <c r="F10" s="359"/>
      <c r="G10" s="359"/>
      <c r="H10" s="359"/>
      <c r="I10" s="359"/>
      <c r="J10" s="359"/>
      <c r="K10" s="359"/>
      <c r="L10" s="359"/>
      <c r="M10" s="359"/>
      <c r="N10" s="359"/>
      <c r="O10" s="360"/>
      <c r="P10" s="461"/>
      <c r="Q10" s="462"/>
      <c r="R10" s="462"/>
      <c r="S10" s="474"/>
      <c r="T10" s="203"/>
      <c r="U10" s="189"/>
      <c r="V10" s="189"/>
      <c r="W10" s="189"/>
      <c r="X10" s="189"/>
      <c r="Y10" s="189"/>
      <c r="Z10" s="189"/>
      <c r="AA10" s="189"/>
      <c r="AB10" s="189"/>
      <c r="AC10" s="189"/>
      <c r="AD10" s="190"/>
      <c r="AF10" s="487"/>
    </row>
    <row r="11" spans="1:34" x14ac:dyDescent="0.25">
      <c r="A11" s="310" t="s">
        <v>203</v>
      </c>
      <c r="B11" s="311">
        <v>77</v>
      </c>
      <c r="C11" s="366" t="s">
        <v>203</v>
      </c>
      <c r="D11" s="512"/>
      <c r="E11" s="435" t="str">
        <f t="shared" ref="E11:O11" si="2">IF(T11&gt;0,"X","")</f>
        <v/>
      </c>
      <c r="F11" s="436" t="str">
        <f>IF(AF11&gt;0,"X","")</f>
        <v>X</v>
      </c>
      <c r="G11" s="436" t="str">
        <f t="shared" si="2"/>
        <v/>
      </c>
      <c r="H11" s="436" t="str">
        <f t="shared" si="2"/>
        <v/>
      </c>
      <c r="I11" s="436" t="str">
        <f t="shared" si="2"/>
        <v/>
      </c>
      <c r="J11" s="436" t="str">
        <f t="shared" si="2"/>
        <v/>
      </c>
      <c r="K11" s="436" t="str">
        <f t="shared" si="2"/>
        <v/>
      </c>
      <c r="L11" s="436" t="str">
        <f t="shared" si="2"/>
        <v/>
      </c>
      <c r="M11" s="436" t="str">
        <f t="shared" si="2"/>
        <v/>
      </c>
      <c r="N11" s="436" t="str">
        <f t="shared" si="2"/>
        <v/>
      </c>
      <c r="O11" s="437" t="str">
        <f t="shared" si="2"/>
        <v/>
      </c>
      <c r="P11" s="475">
        <f>+'HABILI FINANCIEROS CON_OBRA EN '!B23</f>
        <v>1811651585.3799999</v>
      </c>
      <c r="Q11" s="476">
        <f>+'HABILI FINANCIEROS CON_OBRA EN '!B24</f>
        <v>83415204.599999994</v>
      </c>
      <c r="R11" s="476">
        <f>+'HABILI FINANCIEROS CON_OBRA EN '!B25</f>
        <v>279330288.89999998</v>
      </c>
      <c r="S11" s="477">
        <f>+'HABILI FINANCIEROS CON_OBRA EN '!B26</f>
        <v>2680644933.5900002</v>
      </c>
      <c r="T11" s="317"/>
      <c r="U11" s="318"/>
      <c r="V11" s="318"/>
      <c r="W11" s="318"/>
      <c r="X11" s="318"/>
      <c r="Y11" s="318"/>
      <c r="Z11" s="318"/>
      <c r="AA11" s="318"/>
      <c r="AB11" s="318"/>
      <c r="AC11" s="318"/>
      <c r="AD11" s="319"/>
      <c r="AF11" s="488">
        <v>1243920000</v>
      </c>
      <c r="AG11" s="183" t="s">
        <v>247</v>
      </c>
      <c r="AH11" s="183">
        <v>77</v>
      </c>
    </row>
    <row r="12" spans="1:34" ht="12.75" thickBot="1" x14ac:dyDescent="0.3">
      <c r="A12" s="187"/>
      <c r="B12" s="186"/>
      <c r="C12" s="308" t="s">
        <v>204</v>
      </c>
      <c r="D12" s="309">
        <v>0.43</v>
      </c>
      <c r="E12" s="352"/>
      <c r="F12" s="353"/>
      <c r="G12" s="353"/>
      <c r="H12" s="353"/>
      <c r="I12" s="353"/>
      <c r="J12" s="353"/>
      <c r="K12" s="353"/>
      <c r="L12" s="353"/>
      <c r="M12" s="353"/>
      <c r="N12" s="353"/>
      <c r="O12" s="354"/>
      <c r="P12" s="461">
        <v>1104000000</v>
      </c>
      <c r="Q12" s="462">
        <v>8000000</v>
      </c>
      <c r="R12" s="462">
        <v>261863733</v>
      </c>
      <c r="S12" s="474">
        <v>1638000000</v>
      </c>
      <c r="T12" s="203"/>
      <c r="U12" s="189"/>
      <c r="V12" s="189"/>
      <c r="W12" s="189"/>
      <c r="X12" s="189"/>
      <c r="Y12" s="189"/>
      <c r="Z12" s="189"/>
      <c r="AA12" s="189"/>
      <c r="AB12" s="189"/>
      <c r="AC12" s="189"/>
      <c r="AD12" s="190"/>
      <c r="AF12" s="487"/>
    </row>
    <row r="13" spans="1:34" ht="13.5" thickTop="1" thickBot="1" x14ac:dyDescent="0.3">
      <c r="A13" s="187"/>
      <c r="B13" s="186"/>
      <c r="C13" s="308" t="s">
        <v>205</v>
      </c>
      <c r="D13" s="309">
        <v>0.2</v>
      </c>
      <c r="E13" s="355"/>
      <c r="F13" s="356"/>
      <c r="G13" s="356"/>
      <c r="H13" s="356"/>
      <c r="I13" s="356"/>
      <c r="J13" s="356"/>
      <c r="K13" s="356"/>
      <c r="L13" s="356"/>
      <c r="M13" s="356"/>
      <c r="N13" s="356"/>
      <c r="O13" s="357"/>
      <c r="P13" s="461">
        <v>154989069</v>
      </c>
      <c r="Q13" s="462">
        <v>3000000</v>
      </c>
      <c r="R13" s="462">
        <v>21500000</v>
      </c>
      <c r="S13" s="474">
        <v>290948424</v>
      </c>
      <c r="T13" s="203"/>
      <c r="U13" s="189"/>
      <c r="V13" s="189"/>
      <c r="W13" s="189"/>
      <c r="X13" s="189"/>
      <c r="Y13" s="189"/>
      <c r="Z13" s="189"/>
      <c r="AA13" s="189"/>
      <c r="AB13" s="189"/>
      <c r="AC13" s="189"/>
      <c r="AD13" s="190"/>
      <c r="AF13" s="487"/>
    </row>
    <row r="14" spans="1:34" ht="12.75" thickTop="1" x14ac:dyDescent="0.25">
      <c r="A14" s="187"/>
      <c r="B14" s="186"/>
      <c r="C14" s="308" t="s">
        <v>206</v>
      </c>
      <c r="D14" s="309">
        <v>0.37</v>
      </c>
      <c r="E14" s="358"/>
      <c r="F14" s="359"/>
      <c r="G14" s="359"/>
      <c r="H14" s="359"/>
      <c r="I14" s="359"/>
      <c r="J14" s="359"/>
      <c r="K14" s="359"/>
      <c r="L14" s="359"/>
      <c r="M14" s="359"/>
      <c r="N14" s="359"/>
      <c r="O14" s="360"/>
      <c r="P14" s="461">
        <v>3529550734</v>
      </c>
      <c r="Q14" s="462">
        <v>214527580</v>
      </c>
      <c r="R14" s="462">
        <v>438996983</v>
      </c>
      <c r="S14" s="474">
        <v>5184095267</v>
      </c>
      <c r="T14" s="203"/>
      <c r="U14" s="189"/>
      <c r="V14" s="189"/>
      <c r="W14" s="189"/>
      <c r="X14" s="189"/>
      <c r="Y14" s="189"/>
      <c r="Z14" s="189"/>
      <c r="AA14" s="189"/>
      <c r="AB14" s="189"/>
      <c r="AC14" s="189"/>
      <c r="AD14" s="190"/>
      <c r="AF14" s="487"/>
    </row>
    <row r="15" spans="1:34" x14ac:dyDescent="0.25">
      <c r="A15" s="310" t="s">
        <v>214</v>
      </c>
      <c r="B15" s="311">
        <v>104</v>
      </c>
      <c r="C15" s="366" t="s">
        <v>214</v>
      </c>
      <c r="D15" s="512"/>
      <c r="E15" s="435" t="str">
        <f t="shared" ref="E15:O15" si="3">IF(T15&gt;0,"X","")</f>
        <v/>
      </c>
      <c r="F15" s="436" t="str">
        <f>IF(AF15&gt;0,"X","")</f>
        <v>X</v>
      </c>
      <c r="G15" s="436" t="str">
        <f t="shared" si="3"/>
        <v/>
      </c>
      <c r="H15" s="436" t="str">
        <f t="shared" si="3"/>
        <v/>
      </c>
      <c r="I15" s="436" t="str">
        <f t="shared" si="3"/>
        <v/>
      </c>
      <c r="J15" s="436" t="str">
        <f t="shared" si="3"/>
        <v/>
      </c>
      <c r="K15" s="436" t="str">
        <f t="shared" si="3"/>
        <v/>
      </c>
      <c r="L15" s="436" t="str">
        <f t="shared" si="3"/>
        <v/>
      </c>
      <c r="M15" s="436" t="str">
        <f t="shared" si="3"/>
        <v/>
      </c>
      <c r="N15" s="436" t="str">
        <f t="shared" si="3"/>
        <v/>
      </c>
      <c r="O15" s="437" t="str">
        <f t="shared" si="3"/>
        <v/>
      </c>
      <c r="P15" s="475">
        <f>+'HABILI FINANCIEROS CON_PIC SIER'!B23</f>
        <v>1366329435.6100001</v>
      </c>
      <c r="Q15" s="476">
        <f>+'HABILI FINANCIEROS CON_PIC SIER'!B24</f>
        <v>92835440.570000008</v>
      </c>
      <c r="R15" s="476">
        <f>+'HABILI FINANCIEROS CON_PIC SIER'!B25</f>
        <v>157435440.57000002</v>
      </c>
      <c r="S15" s="477">
        <f>+'HABILI FINANCIEROS CON_PIC SIER'!B26</f>
        <v>2020502925.27</v>
      </c>
      <c r="T15" s="317"/>
      <c r="U15" s="318"/>
      <c r="V15" s="318"/>
      <c r="W15" s="318"/>
      <c r="X15" s="318"/>
      <c r="Y15" s="318"/>
      <c r="Z15" s="318"/>
      <c r="AA15" s="318"/>
      <c r="AB15" s="318"/>
      <c r="AC15" s="318"/>
      <c r="AD15" s="319"/>
      <c r="AF15" s="488">
        <v>1237000000</v>
      </c>
      <c r="AG15" s="183" t="s">
        <v>247</v>
      </c>
      <c r="AH15" s="183">
        <v>104</v>
      </c>
    </row>
    <row r="16" spans="1:34" ht="12.75" thickBot="1" x14ac:dyDescent="0.3">
      <c r="A16" s="187"/>
      <c r="B16" s="186"/>
      <c r="C16" s="308" t="s">
        <v>215</v>
      </c>
      <c r="D16" s="309">
        <v>0.34</v>
      </c>
      <c r="E16" s="352"/>
      <c r="F16" s="353"/>
      <c r="G16" s="353"/>
      <c r="H16" s="353"/>
      <c r="I16" s="353"/>
      <c r="J16" s="353"/>
      <c r="K16" s="353"/>
      <c r="L16" s="353"/>
      <c r="M16" s="353"/>
      <c r="N16" s="353"/>
      <c r="O16" s="354"/>
      <c r="P16" s="461">
        <v>1288665250</v>
      </c>
      <c r="Q16" s="462">
        <v>69360782</v>
      </c>
      <c r="R16" s="462">
        <v>259360782</v>
      </c>
      <c r="S16" s="474">
        <v>1797215250</v>
      </c>
      <c r="T16" s="203"/>
      <c r="U16" s="189"/>
      <c r="V16" s="189"/>
      <c r="W16" s="189"/>
      <c r="X16" s="189"/>
      <c r="Y16" s="189"/>
      <c r="Z16" s="189"/>
      <c r="AA16" s="189"/>
      <c r="AB16" s="189"/>
      <c r="AC16" s="189"/>
      <c r="AD16" s="190"/>
      <c r="AF16" s="487"/>
    </row>
    <row r="17" spans="1:35" ht="13.5" thickTop="1" thickBot="1" x14ac:dyDescent="0.3">
      <c r="A17" s="187"/>
      <c r="B17" s="186"/>
      <c r="C17" s="308" t="s">
        <v>216</v>
      </c>
      <c r="D17" s="309">
        <v>0.33</v>
      </c>
      <c r="E17" s="355"/>
      <c r="F17" s="356"/>
      <c r="G17" s="356"/>
      <c r="H17" s="356"/>
      <c r="I17" s="356"/>
      <c r="J17" s="356"/>
      <c r="K17" s="356"/>
      <c r="L17" s="356"/>
      <c r="M17" s="356"/>
      <c r="N17" s="356"/>
      <c r="O17" s="357"/>
      <c r="P17" s="461">
        <v>2782750790</v>
      </c>
      <c r="Q17" s="462">
        <v>178022480</v>
      </c>
      <c r="R17" s="462">
        <v>178022480</v>
      </c>
      <c r="S17" s="474">
        <v>4172373790</v>
      </c>
      <c r="T17" s="203"/>
      <c r="U17" s="189"/>
      <c r="V17" s="189"/>
      <c r="W17" s="189"/>
      <c r="X17" s="189"/>
      <c r="Y17" s="189"/>
      <c r="Z17" s="189"/>
      <c r="AA17" s="189"/>
      <c r="AB17" s="189"/>
      <c r="AC17" s="189"/>
      <c r="AD17" s="190"/>
      <c r="AF17" s="487"/>
    </row>
    <row r="18" spans="1:35" ht="12.75" thickTop="1" x14ac:dyDescent="0.25">
      <c r="A18" s="187"/>
      <c r="B18" s="186"/>
      <c r="C18" s="308" t="s">
        <v>217</v>
      </c>
      <c r="D18" s="309">
        <v>0.33</v>
      </c>
      <c r="E18" s="358"/>
      <c r="F18" s="359"/>
      <c r="G18" s="359"/>
      <c r="H18" s="359"/>
      <c r="I18" s="359"/>
      <c r="J18" s="359"/>
      <c r="K18" s="359"/>
      <c r="L18" s="359"/>
      <c r="M18" s="359"/>
      <c r="N18" s="359"/>
      <c r="O18" s="360"/>
      <c r="P18" s="461">
        <v>29925727</v>
      </c>
      <c r="Q18" s="462">
        <v>31834413</v>
      </c>
      <c r="R18" s="462">
        <v>31834413</v>
      </c>
      <c r="S18" s="474">
        <v>98686029</v>
      </c>
      <c r="T18" s="203"/>
      <c r="U18" s="189"/>
      <c r="V18" s="189"/>
      <c r="W18" s="189"/>
      <c r="X18" s="189"/>
      <c r="Y18" s="189"/>
      <c r="Z18" s="189"/>
      <c r="AA18" s="189"/>
      <c r="AB18" s="189"/>
      <c r="AC18" s="189"/>
      <c r="AD18" s="190"/>
      <c r="AF18" s="487"/>
    </row>
    <row r="19" spans="1:35" x14ac:dyDescent="0.25">
      <c r="A19" s="310" t="s">
        <v>224</v>
      </c>
      <c r="B19" s="311">
        <v>98</v>
      </c>
      <c r="C19" s="366" t="s">
        <v>224</v>
      </c>
      <c r="D19" s="512"/>
      <c r="E19" s="435" t="str">
        <f t="shared" ref="E19:O19" si="4">IF(T19&gt;0,"X","")</f>
        <v/>
      </c>
      <c r="F19" s="436" t="str">
        <f>IF(AF19&gt;0,"X","")</f>
        <v>X</v>
      </c>
      <c r="G19" s="436" t="str">
        <f t="shared" si="4"/>
        <v/>
      </c>
      <c r="H19" s="436" t="str">
        <f t="shared" si="4"/>
        <v/>
      </c>
      <c r="I19" s="436" t="str">
        <f t="shared" si="4"/>
        <v/>
      </c>
      <c r="J19" s="436" t="str">
        <f t="shared" si="4"/>
        <v/>
      </c>
      <c r="K19" s="436" t="str">
        <f t="shared" si="4"/>
        <v/>
      </c>
      <c r="L19" s="436" t="str">
        <f t="shared" si="4"/>
        <v/>
      </c>
      <c r="M19" s="436" t="str">
        <f t="shared" si="4"/>
        <v/>
      </c>
      <c r="N19" s="436" t="str">
        <f t="shared" si="4"/>
        <v/>
      </c>
      <c r="O19" s="437" t="str">
        <f t="shared" si="4"/>
        <v/>
      </c>
      <c r="P19" s="475">
        <f>+'HABILI FINANCIEROS CON_LV PERIJ'!B23</f>
        <v>3570183319.6999998</v>
      </c>
      <c r="Q19" s="476">
        <f>+'HABILI FINANCIEROS CON_LV PERIJ'!B24</f>
        <v>124237480.40000001</v>
      </c>
      <c r="R19" s="476">
        <f>+'HABILI FINANCIEROS CON_LV PERIJ'!B25</f>
        <v>1326624777.55</v>
      </c>
      <c r="S19" s="477">
        <f>+'HABILI FINANCIEROS CON_LV PERIJ'!B26</f>
        <v>4613316155.1499996</v>
      </c>
      <c r="T19" s="317"/>
      <c r="U19" s="318"/>
      <c r="V19" s="318"/>
      <c r="W19" s="318"/>
      <c r="X19" s="318"/>
      <c r="Y19" s="318"/>
      <c r="Z19" s="318"/>
      <c r="AA19" s="318"/>
      <c r="AB19" s="318"/>
      <c r="AC19" s="318"/>
      <c r="AD19" s="319"/>
      <c r="AF19" s="488">
        <v>1238750000</v>
      </c>
      <c r="AG19" s="183" t="s">
        <v>247</v>
      </c>
      <c r="AH19" s="183">
        <v>98</v>
      </c>
    </row>
    <row r="20" spans="1:35" ht="12.75" thickBot="1" x14ac:dyDescent="0.3">
      <c r="A20" s="187"/>
      <c r="B20" s="186"/>
      <c r="C20" s="308" t="s">
        <v>225</v>
      </c>
      <c r="D20" s="309">
        <v>0.35</v>
      </c>
      <c r="E20" s="352"/>
      <c r="F20" s="353"/>
      <c r="G20" s="353"/>
      <c r="H20" s="353"/>
      <c r="I20" s="353"/>
      <c r="J20" s="353"/>
      <c r="K20" s="353"/>
      <c r="L20" s="353"/>
      <c r="M20" s="353"/>
      <c r="N20" s="353"/>
      <c r="O20" s="354"/>
      <c r="P20" s="461">
        <v>137781368</v>
      </c>
      <c r="Q20" s="462">
        <v>6800000</v>
      </c>
      <c r="R20" s="462">
        <v>265777591</v>
      </c>
      <c r="S20" s="474">
        <v>740781368</v>
      </c>
      <c r="T20" s="203"/>
      <c r="U20" s="189"/>
      <c r="V20" s="189"/>
      <c r="W20" s="189"/>
      <c r="X20" s="189"/>
      <c r="Y20" s="189"/>
      <c r="Z20" s="189"/>
      <c r="AA20" s="189"/>
      <c r="AB20" s="189"/>
      <c r="AC20" s="189"/>
      <c r="AD20" s="190"/>
      <c r="AF20" s="487"/>
    </row>
    <row r="21" spans="1:35" ht="13.5" thickTop="1" thickBot="1" x14ac:dyDescent="0.3">
      <c r="A21" s="187"/>
      <c r="B21" s="186"/>
      <c r="C21" s="308" t="s">
        <v>226</v>
      </c>
      <c r="D21" s="309">
        <v>0.35</v>
      </c>
      <c r="E21" s="355"/>
      <c r="F21" s="356"/>
      <c r="G21" s="356"/>
      <c r="H21" s="356"/>
      <c r="I21" s="356"/>
      <c r="J21" s="356"/>
      <c r="K21" s="356"/>
      <c r="L21" s="356"/>
      <c r="M21" s="356"/>
      <c r="N21" s="356"/>
      <c r="O21" s="357"/>
      <c r="P21" s="461">
        <v>5133519284</v>
      </c>
      <c r="Q21" s="462">
        <v>176392364</v>
      </c>
      <c r="R21" s="462">
        <v>1074777616</v>
      </c>
      <c r="S21" s="474">
        <v>5537307335</v>
      </c>
      <c r="T21" s="203"/>
      <c r="U21" s="189"/>
      <c r="V21" s="189"/>
      <c r="W21" s="189"/>
      <c r="X21" s="189"/>
      <c r="Y21" s="189"/>
      <c r="Z21" s="189"/>
      <c r="AA21" s="189"/>
      <c r="AB21" s="189"/>
      <c r="AC21" s="189"/>
      <c r="AD21" s="190"/>
      <c r="AF21" s="487"/>
    </row>
    <row r="22" spans="1:35" ht="12.75" thickTop="1" x14ac:dyDescent="0.25">
      <c r="A22" s="187"/>
      <c r="B22" s="186"/>
      <c r="C22" s="308" t="s">
        <v>227</v>
      </c>
      <c r="D22" s="309">
        <v>0.3</v>
      </c>
      <c r="E22" s="358"/>
      <c r="F22" s="359"/>
      <c r="G22" s="359"/>
      <c r="H22" s="359"/>
      <c r="I22" s="359"/>
      <c r="J22" s="359"/>
      <c r="K22" s="359"/>
      <c r="L22" s="359"/>
      <c r="M22" s="359"/>
      <c r="N22" s="359"/>
      <c r="O22" s="360"/>
      <c r="P22" s="461">
        <v>5750760305</v>
      </c>
      <c r="Q22" s="462">
        <v>200400510</v>
      </c>
      <c r="R22" s="462">
        <v>2858101517</v>
      </c>
      <c r="S22" s="474">
        <v>8053283697</v>
      </c>
      <c r="T22" s="203"/>
      <c r="U22" s="189"/>
      <c r="V22" s="189"/>
      <c r="W22" s="189"/>
      <c r="X22" s="189"/>
      <c r="Y22" s="189"/>
      <c r="Z22" s="189"/>
      <c r="AA22" s="189"/>
      <c r="AB22" s="189"/>
      <c r="AC22" s="189"/>
      <c r="AD22" s="190"/>
      <c r="AF22" s="487"/>
    </row>
    <row r="23" spans="1:35" x14ac:dyDescent="0.25">
      <c r="A23" s="310" t="s">
        <v>233</v>
      </c>
      <c r="B23" s="311">
        <v>32</v>
      </c>
      <c r="C23" s="366" t="s">
        <v>233</v>
      </c>
      <c r="D23" s="512"/>
      <c r="E23" s="435" t="str">
        <f t="shared" ref="E23:O23" si="5">IF(T23&gt;0,"X","")</f>
        <v/>
      </c>
      <c r="F23" s="436" t="str">
        <f>IF(AF23&gt;0,"X","")</f>
        <v>X</v>
      </c>
      <c r="G23" s="436" t="str">
        <f t="shared" si="5"/>
        <v/>
      </c>
      <c r="H23" s="436" t="str">
        <f t="shared" si="5"/>
        <v/>
      </c>
      <c r="I23" s="436" t="str">
        <f t="shared" si="5"/>
        <v/>
      </c>
      <c r="J23" s="436" t="str">
        <f t="shared" si="5"/>
        <v/>
      </c>
      <c r="K23" s="436" t="str">
        <f t="shared" si="5"/>
        <v/>
      </c>
      <c r="L23" s="436" t="str">
        <f t="shared" si="5"/>
        <v/>
      </c>
      <c r="M23" s="436" t="str">
        <f t="shared" si="5"/>
        <v/>
      </c>
      <c r="N23" s="436" t="str">
        <f t="shared" si="5"/>
        <v/>
      </c>
      <c r="O23" s="437" t="str">
        <f t="shared" si="5"/>
        <v/>
      </c>
      <c r="P23" s="475">
        <f>+'HABILI FINANCIEROS UT PERIJA 20'!B23</f>
        <v>1881412988.8</v>
      </c>
      <c r="Q23" s="476">
        <f>+'HABILI FINANCIEROS UT PERIJA 20'!B24</f>
        <v>278508910.80000001</v>
      </c>
      <c r="R23" s="476">
        <f>+'HABILI FINANCIEROS UT PERIJA 20'!B25</f>
        <v>1463564910.8</v>
      </c>
      <c r="S23" s="477">
        <f>+'HABILI FINANCIEROS UT PERIJA 20'!B26</f>
        <v>2662776788.8000002</v>
      </c>
      <c r="T23" s="317"/>
      <c r="U23" s="318"/>
      <c r="V23" s="318"/>
      <c r="W23" s="318"/>
      <c r="X23" s="318"/>
      <c r="Y23" s="318"/>
      <c r="Z23" s="318"/>
      <c r="AA23" s="318"/>
      <c r="AB23" s="318"/>
      <c r="AC23" s="318"/>
      <c r="AD23" s="319"/>
      <c r="AF23" s="488">
        <v>1245000000</v>
      </c>
      <c r="AG23" s="183" t="s">
        <v>247</v>
      </c>
      <c r="AH23" s="183">
        <v>32</v>
      </c>
      <c r="AI23" s="183" t="s">
        <v>300</v>
      </c>
    </row>
    <row r="24" spans="1:35" ht="12.75" thickBot="1" x14ac:dyDescent="0.3">
      <c r="A24" s="187"/>
      <c r="B24" s="188"/>
      <c r="C24" s="308" t="s">
        <v>234</v>
      </c>
      <c r="D24" s="309">
        <v>0.2</v>
      </c>
      <c r="E24" s="352"/>
      <c r="F24" s="353"/>
      <c r="G24" s="353"/>
      <c r="H24" s="353"/>
      <c r="I24" s="353"/>
      <c r="J24" s="353"/>
      <c r="K24" s="353"/>
      <c r="L24" s="353"/>
      <c r="M24" s="353"/>
      <c r="N24" s="353"/>
      <c r="O24" s="354"/>
      <c r="P24" s="461">
        <v>92651794</v>
      </c>
      <c r="Q24" s="462">
        <v>41949518</v>
      </c>
      <c r="R24" s="462">
        <v>41949518</v>
      </c>
      <c r="S24" s="474">
        <v>368198794</v>
      </c>
      <c r="T24" s="204"/>
      <c r="U24" s="191"/>
      <c r="V24" s="191"/>
      <c r="W24" s="191"/>
      <c r="X24" s="191"/>
      <c r="Y24" s="191"/>
      <c r="Z24" s="191"/>
      <c r="AA24" s="191"/>
      <c r="AB24" s="191"/>
      <c r="AC24" s="191"/>
      <c r="AD24" s="192"/>
      <c r="AF24" s="489"/>
    </row>
    <row r="25" spans="1:35" ht="13.5" thickTop="1" thickBot="1" x14ac:dyDescent="0.3">
      <c r="A25" s="187"/>
      <c r="B25" s="188"/>
      <c r="C25" s="308" t="s">
        <v>235</v>
      </c>
      <c r="D25" s="309">
        <v>0.4</v>
      </c>
      <c r="E25" s="355"/>
      <c r="F25" s="356"/>
      <c r="G25" s="356"/>
      <c r="H25" s="356"/>
      <c r="I25" s="356"/>
      <c r="J25" s="356"/>
      <c r="K25" s="356"/>
      <c r="L25" s="356"/>
      <c r="M25" s="356"/>
      <c r="N25" s="356"/>
      <c r="O25" s="357"/>
      <c r="P25" s="461">
        <v>198601575</v>
      </c>
      <c r="Q25" s="462">
        <v>33394518</v>
      </c>
      <c r="R25" s="462">
        <v>71777518</v>
      </c>
      <c r="S25" s="474">
        <v>470438575</v>
      </c>
      <c r="T25" s="204"/>
      <c r="U25" s="191"/>
      <c r="V25" s="191"/>
      <c r="W25" s="191"/>
      <c r="X25" s="191"/>
      <c r="Y25" s="191"/>
      <c r="Z25" s="191"/>
      <c r="AA25" s="191"/>
      <c r="AB25" s="191"/>
      <c r="AC25" s="191"/>
      <c r="AD25" s="192"/>
      <c r="AF25" s="489"/>
    </row>
    <row r="26" spans="1:35" ht="13.5" thickTop="1" thickBot="1" x14ac:dyDescent="0.3">
      <c r="A26" s="193"/>
      <c r="B26" s="194"/>
      <c r="C26" s="312" t="s">
        <v>236</v>
      </c>
      <c r="D26" s="313">
        <v>0.4</v>
      </c>
      <c r="E26" s="361"/>
      <c r="F26" s="362"/>
      <c r="G26" s="362"/>
      <c r="H26" s="362"/>
      <c r="I26" s="362"/>
      <c r="J26" s="362"/>
      <c r="K26" s="362"/>
      <c r="L26" s="362"/>
      <c r="M26" s="362"/>
      <c r="N26" s="362"/>
      <c r="O26" s="363"/>
      <c r="P26" s="478">
        <v>4458605000</v>
      </c>
      <c r="Q26" s="479">
        <v>641903000</v>
      </c>
      <c r="R26" s="479">
        <v>3566160000</v>
      </c>
      <c r="S26" s="480">
        <f>1006734000+537065000+4458605000</f>
        <v>6002404000</v>
      </c>
      <c r="T26" s="205"/>
      <c r="U26" s="195"/>
      <c r="V26" s="195"/>
      <c r="W26" s="195"/>
      <c r="X26" s="195"/>
      <c r="Y26" s="195"/>
      <c r="Z26" s="195"/>
      <c r="AA26" s="195"/>
      <c r="AB26" s="195"/>
      <c r="AC26" s="195"/>
      <c r="AD26" s="196"/>
      <c r="AF26" s="490"/>
    </row>
    <row r="27" spans="1:35" x14ac:dyDescent="0.25">
      <c r="A27" s="310" t="s">
        <v>243</v>
      </c>
      <c r="B27" s="311">
        <v>49</v>
      </c>
      <c r="C27" s="366" t="s">
        <v>243</v>
      </c>
      <c r="D27" s="512"/>
      <c r="E27" s="435" t="str">
        <f t="shared" ref="E27:O27" si="6">IF(T27&gt;0,"X","")</f>
        <v/>
      </c>
      <c r="F27" s="436" t="str">
        <f>IF(AF27&gt;0,"X","")</f>
        <v>X</v>
      </c>
      <c r="G27" s="436" t="str">
        <f t="shared" si="6"/>
        <v/>
      </c>
      <c r="H27" s="436" t="str">
        <f t="shared" si="6"/>
        <v/>
      </c>
      <c r="I27" s="436" t="str">
        <f t="shared" si="6"/>
        <v/>
      </c>
      <c r="J27" s="436" t="str">
        <f t="shared" si="6"/>
        <v/>
      </c>
      <c r="K27" s="436" t="str">
        <f t="shared" si="6"/>
        <v/>
      </c>
      <c r="L27" s="436" t="str">
        <f t="shared" si="6"/>
        <v/>
      </c>
      <c r="M27" s="436" t="str">
        <f t="shared" si="6"/>
        <v/>
      </c>
      <c r="N27" s="436" t="str">
        <f t="shared" si="6"/>
        <v/>
      </c>
      <c r="O27" s="437" t="str">
        <f t="shared" si="6"/>
        <v/>
      </c>
      <c r="P27" s="475">
        <f>+'HABILI FINANCIEROS UT PERIJA 20'!B27</f>
        <v>5643000000</v>
      </c>
      <c r="Q27" s="476">
        <f>+'HABILI FINANCIEROS UT PERIJA 20'!B28</f>
        <v>0</v>
      </c>
      <c r="R27" s="476">
        <f>+'HABILI FINANCIEROS UT PERIJA 20'!B29</f>
        <v>0</v>
      </c>
      <c r="S27" s="477">
        <f>+'HABILI FINANCIEROS UT OBRAS REN'!B26</f>
        <v>17038490002.280001</v>
      </c>
      <c r="T27" s="317"/>
      <c r="U27" s="318"/>
      <c r="V27" s="318"/>
      <c r="W27" s="318"/>
      <c r="X27" s="318"/>
      <c r="Y27" s="318"/>
      <c r="Z27" s="318"/>
      <c r="AA27" s="318"/>
      <c r="AB27" s="318"/>
      <c r="AC27" s="318"/>
      <c r="AD27" s="319"/>
      <c r="AF27" s="488">
        <v>1245000000</v>
      </c>
      <c r="AG27" s="183" t="s">
        <v>247</v>
      </c>
      <c r="AH27" s="183">
        <v>49</v>
      </c>
    </row>
    <row r="28" spans="1:35" ht="12.75" thickBot="1" x14ac:dyDescent="0.3">
      <c r="A28" s="187"/>
      <c r="B28" s="188"/>
      <c r="C28" s="308" t="s">
        <v>244</v>
      </c>
      <c r="D28" s="309">
        <v>0.48</v>
      </c>
      <c r="E28" s="352"/>
      <c r="F28" s="353"/>
      <c r="G28" s="353"/>
      <c r="H28" s="353"/>
      <c r="I28" s="353"/>
      <c r="J28" s="353"/>
      <c r="K28" s="353"/>
      <c r="L28" s="353"/>
      <c r="M28" s="353"/>
      <c r="N28" s="353"/>
      <c r="O28" s="354"/>
      <c r="P28" s="461">
        <v>1520003297</v>
      </c>
      <c r="Q28" s="462">
        <v>68271328</v>
      </c>
      <c r="R28" s="462">
        <v>150834149</v>
      </c>
      <c r="S28" s="474">
        <v>1776505087</v>
      </c>
      <c r="T28" s="204"/>
      <c r="U28" s="191"/>
      <c r="V28" s="191"/>
      <c r="W28" s="191"/>
      <c r="X28" s="191"/>
      <c r="Y28" s="191"/>
      <c r="Z28" s="191"/>
      <c r="AA28" s="191"/>
      <c r="AB28" s="191"/>
      <c r="AC28" s="191"/>
      <c r="AD28" s="192"/>
      <c r="AF28" s="489"/>
    </row>
    <row r="29" spans="1:35" ht="13.5" thickTop="1" thickBot="1" x14ac:dyDescent="0.3">
      <c r="A29" s="187"/>
      <c r="B29" s="188"/>
      <c r="C29" s="308" t="s">
        <v>245</v>
      </c>
      <c r="D29" s="309">
        <v>0.48</v>
      </c>
      <c r="E29" s="355"/>
      <c r="F29" s="356"/>
      <c r="G29" s="356"/>
      <c r="H29" s="356"/>
      <c r="I29" s="356"/>
      <c r="J29" s="356"/>
      <c r="K29" s="356"/>
      <c r="L29" s="356"/>
      <c r="M29" s="356"/>
      <c r="N29" s="356"/>
      <c r="O29" s="357"/>
      <c r="P29" s="461">
        <v>31577976046</v>
      </c>
      <c r="Q29" s="462">
        <v>3332861854</v>
      </c>
      <c r="R29" s="462">
        <v>3482861854</v>
      </c>
      <c r="S29" s="474">
        <v>33707817946</v>
      </c>
      <c r="T29" s="204"/>
      <c r="U29" s="191"/>
      <c r="V29" s="191"/>
      <c r="W29" s="191"/>
      <c r="X29" s="191"/>
      <c r="Y29" s="191"/>
      <c r="Z29" s="191"/>
      <c r="AA29" s="191"/>
      <c r="AB29" s="191"/>
      <c r="AC29" s="191"/>
      <c r="AD29" s="192"/>
      <c r="AF29" s="489"/>
    </row>
    <row r="30" spans="1:35" ht="13.5" thickTop="1" thickBot="1" x14ac:dyDescent="0.3">
      <c r="A30" s="193"/>
      <c r="B30" s="194"/>
      <c r="C30" s="312" t="s">
        <v>246</v>
      </c>
      <c r="D30" s="313">
        <v>0.04</v>
      </c>
      <c r="E30" s="361"/>
      <c r="F30" s="362"/>
      <c r="G30" s="362"/>
      <c r="H30" s="362"/>
      <c r="I30" s="362"/>
      <c r="J30" s="362"/>
      <c r="K30" s="362"/>
      <c r="L30" s="362"/>
      <c r="M30" s="362"/>
      <c r="N30" s="362"/>
      <c r="O30" s="363"/>
      <c r="P30" s="509">
        <v>0</v>
      </c>
      <c r="Q30" s="510">
        <v>0</v>
      </c>
      <c r="R30" s="479">
        <v>150044612</v>
      </c>
      <c r="S30" s="480">
        <v>150373661</v>
      </c>
      <c r="T30" s="205"/>
      <c r="U30" s="195"/>
      <c r="V30" s="195"/>
      <c r="W30" s="195"/>
      <c r="X30" s="195"/>
      <c r="Y30" s="195"/>
      <c r="Z30" s="195"/>
      <c r="AA30" s="195"/>
      <c r="AB30" s="195"/>
      <c r="AC30" s="195"/>
      <c r="AD30" s="196"/>
      <c r="AF30" s="490"/>
    </row>
    <row r="31" spans="1:35" x14ac:dyDescent="0.25">
      <c r="A31" s="310" t="s">
        <v>248</v>
      </c>
      <c r="B31" s="311">
        <v>73</v>
      </c>
      <c r="C31" s="366" t="str">
        <f>+A31</f>
        <v>CONSORCIO INFRAESTRUCTURA SIERRA NEVADA</v>
      </c>
      <c r="D31" s="367"/>
      <c r="E31" s="435" t="str">
        <f t="shared" ref="E31:O31" si="7">IF(T31&gt;0,"X","")</f>
        <v/>
      </c>
      <c r="F31" s="436" t="str">
        <f>IF(AF31&gt;0,"X","")</f>
        <v>X</v>
      </c>
      <c r="G31" s="436" t="str">
        <f t="shared" si="7"/>
        <v/>
      </c>
      <c r="H31" s="436" t="str">
        <f t="shared" si="7"/>
        <v/>
      </c>
      <c r="I31" s="436" t="str">
        <f t="shared" si="7"/>
        <v/>
      </c>
      <c r="J31" s="436" t="str">
        <f t="shared" si="7"/>
        <v/>
      </c>
      <c r="K31" s="436" t="str">
        <f t="shared" si="7"/>
        <v/>
      </c>
      <c r="L31" s="436" t="str">
        <f t="shared" si="7"/>
        <v/>
      </c>
      <c r="M31" s="436" t="str">
        <f t="shared" si="7"/>
        <v/>
      </c>
      <c r="N31" s="436" t="str">
        <f t="shared" si="7"/>
        <v/>
      </c>
      <c r="O31" s="437" t="str">
        <f t="shared" si="7"/>
        <v/>
      </c>
      <c r="P31" s="475">
        <f>+'HABILI FINANCIEROS UT PERIJA 20'!B31</f>
        <v>92651794</v>
      </c>
      <c r="Q31" s="476">
        <f>+'HABILI FINANCIEROS UT PERIJA 20'!B32</f>
        <v>41949518</v>
      </c>
      <c r="R31" s="476">
        <f>+'HABILI FINANCIEROS UT PERIJA 20'!B33</f>
        <v>41949518</v>
      </c>
      <c r="S31" s="477">
        <f>+'HABILI FINANCIEROS UT PERIJA 20'!B34</f>
        <v>368198794</v>
      </c>
      <c r="T31" s="317"/>
      <c r="U31" s="318"/>
      <c r="V31" s="318"/>
      <c r="W31" s="318"/>
      <c r="X31" s="318"/>
      <c r="Y31" s="318"/>
      <c r="Z31" s="318"/>
      <c r="AA31" s="318"/>
      <c r="AB31" s="318"/>
      <c r="AC31" s="318"/>
      <c r="AD31" s="319"/>
      <c r="AF31" s="488">
        <v>1245000000</v>
      </c>
      <c r="AG31" s="183" t="s">
        <v>247</v>
      </c>
      <c r="AH31" s="183">
        <v>73</v>
      </c>
    </row>
    <row r="32" spans="1:35" ht="12.75" thickBot="1" x14ac:dyDescent="0.3">
      <c r="A32" s="187"/>
      <c r="B32" s="188"/>
      <c r="C32" s="308" t="s">
        <v>249</v>
      </c>
      <c r="D32" s="309">
        <v>0.5</v>
      </c>
      <c r="E32" s="352"/>
      <c r="F32" s="353"/>
      <c r="G32" s="353"/>
      <c r="H32" s="353"/>
      <c r="I32" s="353"/>
      <c r="J32" s="353"/>
      <c r="K32" s="353"/>
      <c r="L32" s="353"/>
      <c r="M32" s="353"/>
      <c r="N32" s="353"/>
      <c r="O32" s="354"/>
      <c r="P32" s="461">
        <v>1053483525</v>
      </c>
      <c r="Q32" s="462">
        <v>46336577</v>
      </c>
      <c r="R32" s="462">
        <v>207878247</v>
      </c>
      <c r="S32" s="474">
        <v>1393441564</v>
      </c>
      <c r="T32" s="204"/>
      <c r="U32" s="191"/>
      <c r="V32" s="191"/>
      <c r="W32" s="191"/>
      <c r="X32" s="191"/>
      <c r="Y32" s="191"/>
      <c r="Z32" s="191"/>
      <c r="AA32" s="191"/>
      <c r="AB32" s="191"/>
      <c r="AC32" s="191"/>
      <c r="AD32" s="192"/>
      <c r="AF32" s="489"/>
    </row>
    <row r="33" spans="1:34" ht="13.5" thickTop="1" thickBot="1" x14ac:dyDescent="0.3">
      <c r="A33" s="187"/>
      <c r="B33" s="188"/>
      <c r="C33" s="308" t="s">
        <v>250</v>
      </c>
      <c r="D33" s="309">
        <v>0.25</v>
      </c>
      <c r="E33" s="355"/>
      <c r="F33" s="356"/>
      <c r="G33" s="356"/>
      <c r="H33" s="356"/>
      <c r="I33" s="356"/>
      <c r="J33" s="356"/>
      <c r="K33" s="356"/>
      <c r="L33" s="356"/>
      <c r="M33" s="356"/>
      <c r="N33" s="356"/>
      <c r="O33" s="357"/>
      <c r="P33" s="461">
        <v>1361058135</v>
      </c>
      <c r="Q33" s="462">
        <v>70249240</v>
      </c>
      <c r="R33" s="462">
        <v>784653971</v>
      </c>
      <c r="S33" s="474">
        <v>1792188900</v>
      </c>
      <c r="T33" s="204"/>
      <c r="U33" s="191"/>
      <c r="V33" s="191"/>
      <c r="W33" s="191"/>
      <c r="X33" s="191"/>
      <c r="Y33" s="191"/>
      <c r="Z33" s="191"/>
      <c r="AA33" s="191"/>
      <c r="AB33" s="191"/>
      <c r="AC33" s="191"/>
      <c r="AD33" s="192"/>
      <c r="AF33" s="489"/>
    </row>
    <row r="34" spans="1:34" ht="13.5" thickTop="1" thickBot="1" x14ac:dyDescent="0.3">
      <c r="A34" s="193"/>
      <c r="B34" s="194"/>
      <c r="C34" s="312" t="s">
        <v>251</v>
      </c>
      <c r="D34" s="313">
        <v>0.25</v>
      </c>
      <c r="E34" s="361"/>
      <c r="F34" s="362"/>
      <c r="G34" s="362"/>
      <c r="H34" s="362"/>
      <c r="I34" s="362"/>
      <c r="J34" s="362"/>
      <c r="K34" s="362"/>
      <c r="L34" s="362"/>
      <c r="M34" s="362"/>
      <c r="N34" s="362"/>
      <c r="O34" s="363"/>
      <c r="P34" s="478">
        <v>216953787</v>
      </c>
      <c r="Q34" s="479">
        <v>50591065</v>
      </c>
      <c r="R34" s="479">
        <v>50591065</v>
      </c>
      <c r="S34" s="480">
        <v>243825627</v>
      </c>
      <c r="T34" s="205"/>
      <c r="U34" s="195"/>
      <c r="V34" s="195"/>
      <c r="W34" s="195"/>
      <c r="X34" s="195"/>
      <c r="Y34" s="195"/>
      <c r="Z34" s="195"/>
      <c r="AA34" s="195"/>
      <c r="AB34" s="195"/>
      <c r="AC34" s="195"/>
      <c r="AD34" s="196"/>
      <c r="AF34" s="490"/>
    </row>
    <row r="35" spans="1:34" x14ac:dyDescent="0.25">
      <c r="A35" s="310" t="s">
        <v>262</v>
      </c>
      <c r="B35" s="311">
        <v>56</v>
      </c>
      <c r="C35" s="366" t="str">
        <f>+A35</f>
        <v>UNION TEMPORAL PARA EL FORTALECIMIENTO COMUNITARIO EN LOS TERRITORIOS 2017</v>
      </c>
      <c r="D35" s="367"/>
      <c r="E35" s="435" t="str">
        <f t="shared" ref="E35:O35" si="8">IF(T35&gt;0,"X","")</f>
        <v/>
      </c>
      <c r="F35" s="436" t="str">
        <f>IF(AF35&gt;0,"X","")</f>
        <v>X</v>
      </c>
      <c r="G35" s="436" t="str">
        <f t="shared" si="8"/>
        <v/>
      </c>
      <c r="H35" s="436" t="str">
        <f t="shared" si="8"/>
        <v/>
      </c>
      <c r="I35" s="436" t="str">
        <f t="shared" si="8"/>
        <v/>
      </c>
      <c r="J35" s="436" t="str">
        <f t="shared" si="8"/>
        <v/>
      </c>
      <c r="K35" s="436" t="str">
        <f t="shared" si="8"/>
        <v/>
      </c>
      <c r="L35" s="436" t="str">
        <f t="shared" si="8"/>
        <v/>
      </c>
      <c r="M35" s="436" t="str">
        <f t="shared" si="8"/>
        <v/>
      </c>
      <c r="N35" s="436" t="str">
        <f t="shared" si="8"/>
        <v/>
      </c>
      <c r="O35" s="437" t="str">
        <f t="shared" si="8"/>
        <v/>
      </c>
      <c r="P35" s="475">
        <f>+'HABILI FINANCIEROS UT PERIJA 20'!B35</f>
        <v>5643000000</v>
      </c>
      <c r="Q35" s="476">
        <f>+'HABILI FINANCIEROS UT PERIJA 20'!B36</f>
        <v>0</v>
      </c>
      <c r="R35" s="476">
        <f>+'HABILI FINANCIEROS UT PERIJA 20'!B37</f>
        <v>0</v>
      </c>
      <c r="S35" s="477" t="str">
        <f>+'HABILI FINANCIEROS UT PERIJA 20'!B38</f>
        <v>JAIME BRUGUES MORENO</v>
      </c>
      <c r="T35" s="317"/>
      <c r="U35" s="318"/>
      <c r="V35" s="318"/>
      <c r="W35" s="318"/>
      <c r="X35" s="318"/>
      <c r="Y35" s="318"/>
      <c r="Z35" s="318"/>
      <c r="AA35" s="318"/>
      <c r="AB35" s="318"/>
      <c r="AC35" s="318"/>
      <c r="AD35" s="319"/>
      <c r="AF35" s="488">
        <v>1245000000</v>
      </c>
      <c r="AG35" s="183" t="s">
        <v>247</v>
      </c>
      <c r="AH35" s="183">
        <v>56</v>
      </c>
    </row>
    <row r="36" spans="1:34" ht="12.75" thickBot="1" x14ac:dyDescent="0.3">
      <c r="A36" s="187"/>
      <c r="B36" s="188"/>
      <c r="C36" s="308" t="s">
        <v>263</v>
      </c>
      <c r="D36" s="309">
        <v>0.5</v>
      </c>
      <c r="E36" s="352"/>
      <c r="F36" s="353"/>
      <c r="G36" s="353"/>
      <c r="H36" s="353"/>
      <c r="I36" s="353"/>
      <c r="J36" s="353"/>
      <c r="K36" s="353"/>
      <c r="L36" s="353"/>
      <c r="M36" s="353"/>
      <c r="N36" s="353"/>
      <c r="O36" s="354"/>
      <c r="P36" s="461">
        <v>5704378430</v>
      </c>
      <c r="Q36" s="462">
        <v>384216500</v>
      </c>
      <c r="R36" s="462">
        <v>384216500</v>
      </c>
      <c r="S36" s="474">
        <v>6096158690</v>
      </c>
      <c r="T36" s="204"/>
      <c r="U36" s="191"/>
      <c r="V36" s="191"/>
      <c r="W36" s="191"/>
      <c r="X36" s="191"/>
      <c r="Y36" s="191"/>
      <c r="Z36" s="191"/>
      <c r="AA36" s="191"/>
      <c r="AB36" s="191"/>
      <c r="AC36" s="191"/>
      <c r="AD36" s="192"/>
      <c r="AF36" s="489"/>
    </row>
    <row r="37" spans="1:34" ht="13.5" thickTop="1" thickBot="1" x14ac:dyDescent="0.3">
      <c r="A37" s="187"/>
      <c r="B37" s="188"/>
      <c r="C37" s="308" t="s">
        <v>264</v>
      </c>
      <c r="D37" s="309">
        <v>0.5</v>
      </c>
      <c r="E37" s="355"/>
      <c r="F37" s="356"/>
      <c r="G37" s="356"/>
      <c r="H37" s="356"/>
      <c r="I37" s="356"/>
      <c r="J37" s="356"/>
      <c r="K37" s="356"/>
      <c r="L37" s="356"/>
      <c r="M37" s="356"/>
      <c r="N37" s="356"/>
      <c r="O37" s="357"/>
      <c r="P37" s="461">
        <v>115400000</v>
      </c>
      <c r="Q37" s="462">
        <v>0</v>
      </c>
      <c r="R37" s="462">
        <v>0</v>
      </c>
      <c r="S37" s="474">
        <v>191282489</v>
      </c>
      <c r="T37" s="204"/>
      <c r="U37" s="191"/>
      <c r="V37" s="191"/>
      <c r="W37" s="191"/>
      <c r="X37" s="191"/>
      <c r="Y37" s="191"/>
      <c r="Z37" s="191"/>
      <c r="AA37" s="191"/>
      <c r="AB37" s="191"/>
      <c r="AC37" s="191"/>
      <c r="AD37" s="192"/>
      <c r="AF37" s="489"/>
    </row>
    <row r="38" spans="1:34" ht="13.5" thickTop="1" thickBot="1" x14ac:dyDescent="0.3">
      <c r="A38" s="193"/>
      <c r="B38" s="194"/>
      <c r="C38" s="312"/>
      <c r="D38" s="313"/>
      <c r="E38" s="361"/>
      <c r="F38" s="362"/>
      <c r="G38" s="362"/>
      <c r="H38" s="362"/>
      <c r="I38" s="362"/>
      <c r="J38" s="362"/>
      <c r="K38" s="362"/>
      <c r="L38" s="362"/>
      <c r="M38" s="362"/>
      <c r="N38" s="362"/>
      <c r="O38" s="363"/>
      <c r="P38" s="478"/>
      <c r="Q38" s="479"/>
      <c r="R38" s="479"/>
      <c r="S38" s="480"/>
      <c r="T38" s="205"/>
      <c r="U38" s="195"/>
      <c r="V38" s="195"/>
      <c r="W38" s="195"/>
      <c r="X38" s="195"/>
      <c r="Y38" s="195"/>
      <c r="Z38" s="195"/>
      <c r="AA38" s="195"/>
      <c r="AB38" s="195"/>
      <c r="AC38" s="195"/>
      <c r="AD38" s="196"/>
      <c r="AF38" s="490"/>
    </row>
    <row r="39" spans="1:34" x14ac:dyDescent="0.25">
      <c r="A39" s="310" t="s">
        <v>265</v>
      </c>
      <c r="B39" s="311">
        <v>68</v>
      </c>
      <c r="C39" s="366" t="s">
        <v>265</v>
      </c>
      <c r="D39" s="367"/>
      <c r="E39" s="435" t="str">
        <f t="shared" ref="E39:O39" si="9">IF(T39&gt;0,"X","")</f>
        <v/>
      </c>
      <c r="F39" s="436" t="str">
        <f>IF(AF39&gt;0,"X","")</f>
        <v>X</v>
      </c>
      <c r="G39" s="436" t="str">
        <f t="shared" si="9"/>
        <v/>
      </c>
      <c r="H39" s="436" t="str">
        <f t="shared" si="9"/>
        <v/>
      </c>
      <c r="I39" s="436" t="str">
        <f t="shared" si="9"/>
        <v/>
      </c>
      <c r="J39" s="436" t="str">
        <f t="shared" si="9"/>
        <v/>
      </c>
      <c r="K39" s="436" t="str">
        <f t="shared" si="9"/>
        <v/>
      </c>
      <c r="L39" s="436" t="str">
        <f t="shared" si="9"/>
        <v/>
      </c>
      <c r="M39" s="436" t="str">
        <f t="shared" si="9"/>
        <v/>
      </c>
      <c r="N39" s="436" t="str">
        <f t="shared" si="9"/>
        <v/>
      </c>
      <c r="O39" s="437" t="str">
        <f t="shared" si="9"/>
        <v/>
      </c>
      <c r="P39" s="475">
        <f>+'HABILI FINANCIEROS UT PERIJA 20'!B39</f>
        <v>198601575</v>
      </c>
      <c r="Q39" s="476">
        <f>+'HABILI FINANCIEROS UT PERIJA 20'!B40</f>
        <v>33394518</v>
      </c>
      <c r="R39" s="476">
        <f>+'HABILI FINANCIEROS UT PERIJA 20'!B41</f>
        <v>71777518</v>
      </c>
      <c r="S39" s="477">
        <f>+'HABILI FINANCIEROS UT PERIJA 20'!B42</f>
        <v>470438575</v>
      </c>
      <c r="T39" s="317"/>
      <c r="U39" s="318"/>
      <c r="V39" s="318"/>
      <c r="W39" s="318"/>
      <c r="X39" s="318"/>
      <c r="Y39" s="318"/>
      <c r="Z39" s="318"/>
      <c r="AA39" s="318"/>
      <c r="AB39" s="318"/>
      <c r="AC39" s="318"/>
      <c r="AD39" s="319"/>
      <c r="AF39" s="488">
        <v>1245000000</v>
      </c>
      <c r="AG39" s="183" t="s">
        <v>247</v>
      </c>
      <c r="AH39" s="183">
        <v>68</v>
      </c>
    </row>
    <row r="40" spans="1:34" ht="12.75" thickBot="1" x14ac:dyDescent="0.3">
      <c r="A40" s="187"/>
      <c r="B40" s="188"/>
      <c r="C40" s="308" t="s">
        <v>266</v>
      </c>
      <c r="D40" s="309">
        <v>0.95</v>
      </c>
      <c r="E40" s="352"/>
      <c r="F40" s="353"/>
      <c r="G40" s="353"/>
      <c r="H40" s="353"/>
      <c r="I40" s="353"/>
      <c r="J40" s="353"/>
      <c r="K40" s="353"/>
      <c r="L40" s="353"/>
      <c r="M40" s="353"/>
      <c r="N40" s="353"/>
      <c r="O40" s="354"/>
      <c r="P40" s="461">
        <v>6368675366</v>
      </c>
      <c r="Q40" s="462">
        <v>662612544</v>
      </c>
      <c r="R40" s="462">
        <v>3172586158</v>
      </c>
      <c r="S40" s="474">
        <v>9009548605</v>
      </c>
      <c r="T40" s="204"/>
      <c r="U40" s="191"/>
      <c r="V40" s="191"/>
      <c r="W40" s="191"/>
      <c r="X40" s="191"/>
      <c r="Y40" s="191"/>
      <c r="Z40" s="191"/>
      <c r="AA40" s="191"/>
      <c r="AB40" s="191"/>
      <c r="AC40" s="191"/>
      <c r="AD40" s="192"/>
      <c r="AF40" s="489"/>
    </row>
    <row r="41" spans="1:34" ht="13.5" thickTop="1" thickBot="1" x14ac:dyDescent="0.3">
      <c r="A41" s="187"/>
      <c r="B41" s="188"/>
      <c r="C41" s="308" t="s">
        <v>267</v>
      </c>
      <c r="D41" s="309">
        <v>0.05</v>
      </c>
      <c r="E41" s="355"/>
      <c r="F41" s="356"/>
      <c r="G41" s="356"/>
      <c r="H41" s="356"/>
      <c r="I41" s="356"/>
      <c r="J41" s="356"/>
      <c r="K41" s="356"/>
      <c r="L41" s="356"/>
      <c r="M41" s="356"/>
      <c r="N41" s="356"/>
      <c r="O41" s="357"/>
      <c r="P41" s="461">
        <v>620786036</v>
      </c>
      <c r="Q41" s="462">
        <v>1200000</v>
      </c>
      <c r="R41" s="462">
        <v>475183910</v>
      </c>
      <c r="S41" s="474">
        <v>662463536</v>
      </c>
      <c r="T41" s="204"/>
      <c r="U41" s="191"/>
      <c r="V41" s="191"/>
      <c r="W41" s="191"/>
      <c r="X41" s="191"/>
      <c r="Y41" s="191"/>
      <c r="Z41" s="191"/>
      <c r="AA41" s="191"/>
      <c r="AB41" s="191"/>
      <c r="AC41" s="191"/>
      <c r="AD41" s="192"/>
      <c r="AF41" s="489"/>
    </row>
    <row r="42" spans="1:34" ht="13.5" thickTop="1" thickBot="1" x14ac:dyDescent="0.3">
      <c r="A42" s="193"/>
      <c r="B42" s="194"/>
      <c r="C42" s="312"/>
      <c r="D42" s="313"/>
      <c r="E42" s="361"/>
      <c r="F42" s="362"/>
      <c r="G42" s="362"/>
      <c r="H42" s="362"/>
      <c r="I42" s="362"/>
      <c r="J42" s="362"/>
      <c r="K42" s="362"/>
      <c r="L42" s="362"/>
      <c r="M42" s="362"/>
      <c r="N42" s="362"/>
      <c r="O42" s="363"/>
      <c r="P42" s="478"/>
      <c r="Q42" s="479"/>
      <c r="R42" s="479"/>
      <c r="S42" s="480"/>
      <c r="T42" s="205"/>
      <c r="U42" s="195"/>
      <c r="V42" s="195"/>
      <c r="W42" s="195"/>
      <c r="X42" s="195"/>
      <c r="Y42" s="195"/>
      <c r="Z42" s="195"/>
      <c r="AA42" s="195"/>
      <c r="AB42" s="195"/>
      <c r="AC42" s="195"/>
      <c r="AD42" s="196"/>
      <c r="AF42" s="490"/>
    </row>
    <row r="43" spans="1:34" x14ac:dyDescent="0.25">
      <c r="A43" s="310" t="s">
        <v>279</v>
      </c>
      <c r="B43" s="311">
        <v>67</v>
      </c>
      <c r="C43" s="366"/>
      <c r="D43" s="511">
        <v>1</v>
      </c>
      <c r="E43" s="435" t="str">
        <f t="shared" ref="E43:O43" si="10">IF(T43&gt;0,"X","")</f>
        <v/>
      </c>
      <c r="F43" s="436" t="str">
        <f>IF(AF43&gt;0,"X","")</f>
        <v>X</v>
      </c>
      <c r="G43" s="436" t="str">
        <f t="shared" si="10"/>
        <v/>
      </c>
      <c r="H43" s="436" t="str">
        <f t="shared" si="10"/>
        <v/>
      </c>
      <c r="I43" s="436" t="str">
        <f t="shared" si="10"/>
        <v/>
      </c>
      <c r="J43" s="436" t="str">
        <f t="shared" si="10"/>
        <v/>
      </c>
      <c r="K43" s="436" t="str">
        <f t="shared" si="10"/>
        <v/>
      </c>
      <c r="L43" s="436" t="str">
        <f t="shared" si="10"/>
        <v/>
      </c>
      <c r="M43" s="436" t="str">
        <f t="shared" si="10"/>
        <v/>
      </c>
      <c r="N43" s="436" t="str">
        <f t="shared" si="10"/>
        <v/>
      </c>
      <c r="O43" s="437" t="str">
        <f t="shared" si="10"/>
        <v/>
      </c>
      <c r="P43" s="475">
        <f>+'HABILI FINANCIEROS UT PERIJA 20'!B43</f>
        <v>5643000000</v>
      </c>
      <c r="Q43" s="476">
        <f>+'HABILI FINANCIEROS UT PERIJA 20'!B44</f>
        <v>0</v>
      </c>
      <c r="R43" s="476">
        <f>+'HABILI FINANCIEROS UT PERIJA 20'!B45</f>
        <v>0</v>
      </c>
      <c r="S43" s="477" t="str">
        <f>+'HABILI FINANCIEROS UT PERIJA 20'!B46</f>
        <v>MACDANIEL LTDA</v>
      </c>
      <c r="T43" s="317"/>
      <c r="U43" s="318"/>
      <c r="V43" s="318"/>
      <c r="W43" s="318"/>
      <c r="X43" s="318"/>
      <c r="Y43" s="318"/>
      <c r="Z43" s="318"/>
      <c r="AA43" s="318"/>
      <c r="AB43" s="318"/>
      <c r="AC43" s="318"/>
      <c r="AD43" s="319"/>
      <c r="AF43" s="488">
        <v>1245000000</v>
      </c>
      <c r="AG43" s="183" t="s">
        <v>47</v>
      </c>
      <c r="AH43" s="183">
        <v>67</v>
      </c>
    </row>
    <row r="44" spans="1:34" ht="12.75" thickBot="1" x14ac:dyDescent="0.3">
      <c r="A44" s="187"/>
      <c r="B44" s="188"/>
      <c r="C44" s="308" t="s">
        <v>280</v>
      </c>
      <c r="D44" s="309">
        <v>1</v>
      </c>
      <c r="E44" s="352"/>
      <c r="F44" s="353"/>
      <c r="G44" s="353"/>
      <c r="H44" s="353"/>
      <c r="I44" s="353"/>
      <c r="J44" s="353"/>
      <c r="K44" s="353"/>
      <c r="L44" s="353"/>
      <c r="M44" s="353"/>
      <c r="N44" s="353"/>
      <c r="O44" s="354"/>
      <c r="P44" s="461">
        <v>1761267621</v>
      </c>
      <c r="Q44" s="462">
        <v>40141925</v>
      </c>
      <c r="R44" s="462">
        <v>329778246</v>
      </c>
      <c r="S44" s="474">
        <v>1933626622</v>
      </c>
      <c r="T44" s="204"/>
      <c r="U44" s="191"/>
      <c r="V44" s="191"/>
      <c r="W44" s="191"/>
      <c r="X44" s="191"/>
      <c r="Y44" s="191"/>
      <c r="Z44" s="191"/>
      <c r="AA44" s="191"/>
      <c r="AB44" s="191"/>
      <c r="AC44" s="191"/>
      <c r="AD44" s="192"/>
      <c r="AF44" s="489"/>
    </row>
    <row r="45" spans="1:34" ht="13.5" hidden="1" thickTop="1" thickBot="1" x14ac:dyDescent="0.3">
      <c r="A45" s="187"/>
      <c r="B45" s="188"/>
      <c r="C45" s="308"/>
      <c r="D45" s="309"/>
      <c r="E45" s="355"/>
      <c r="F45" s="356"/>
      <c r="G45" s="356"/>
      <c r="H45" s="356"/>
      <c r="I45" s="356"/>
      <c r="J45" s="356"/>
      <c r="K45" s="356"/>
      <c r="L45" s="356"/>
      <c r="M45" s="356"/>
      <c r="N45" s="356"/>
      <c r="O45" s="357"/>
      <c r="P45" s="461"/>
      <c r="Q45" s="462"/>
      <c r="R45" s="462"/>
      <c r="S45" s="474"/>
      <c r="T45" s="204"/>
      <c r="U45" s="191"/>
      <c r="V45" s="191"/>
      <c r="W45" s="191"/>
      <c r="X45" s="191"/>
      <c r="Y45" s="191"/>
      <c r="Z45" s="191"/>
      <c r="AA45" s="191"/>
      <c r="AB45" s="191"/>
      <c r="AC45" s="191"/>
      <c r="AD45" s="192"/>
      <c r="AF45" s="489"/>
    </row>
    <row r="46" spans="1:34" ht="13.5" hidden="1" thickTop="1" thickBot="1" x14ac:dyDescent="0.3">
      <c r="A46" s="193"/>
      <c r="B46" s="194"/>
      <c r="C46" s="312"/>
      <c r="D46" s="313"/>
      <c r="E46" s="361"/>
      <c r="F46" s="362"/>
      <c r="G46" s="362"/>
      <c r="H46" s="362"/>
      <c r="I46" s="362"/>
      <c r="J46" s="362"/>
      <c r="K46" s="362"/>
      <c r="L46" s="362"/>
      <c r="M46" s="362"/>
      <c r="N46" s="362"/>
      <c r="O46" s="363"/>
      <c r="P46" s="478"/>
      <c r="Q46" s="479"/>
      <c r="R46" s="479"/>
      <c r="S46" s="480"/>
      <c r="T46" s="205"/>
      <c r="U46" s="195"/>
      <c r="V46" s="195"/>
      <c r="W46" s="195"/>
      <c r="X46" s="195"/>
      <c r="Y46" s="195"/>
      <c r="Z46" s="195"/>
      <c r="AA46" s="195"/>
      <c r="AB46" s="195"/>
      <c r="AC46" s="195"/>
      <c r="AD46" s="196"/>
      <c r="AF46" s="490"/>
    </row>
    <row r="47" spans="1:34" ht="12.75" thickTop="1" x14ac:dyDescent="0.25">
      <c r="A47" s="310" t="s">
        <v>285</v>
      </c>
      <c r="B47" s="311">
        <v>8</v>
      </c>
      <c r="C47" s="366"/>
      <c r="D47" s="367"/>
      <c r="E47" s="435" t="str">
        <f t="shared" ref="E47:O47" si="11">IF(T47&gt;0,"X","")</f>
        <v/>
      </c>
      <c r="F47" s="436" t="str">
        <f>IF(AF47&gt;0,"X","")</f>
        <v>X</v>
      </c>
      <c r="G47" s="436" t="str">
        <f t="shared" si="11"/>
        <v/>
      </c>
      <c r="H47" s="436" t="str">
        <f t="shared" si="11"/>
        <v/>
      </c>
      <c r="I47" s="436" t="str">
        <f t="shared" si="11"/>
        <v/>
      </c>
      <c r="J47" s="436" t="str">
        <f t="shared" si="11"/>
        <v/>
      </c>
      <c r="K47" s="436" t="str">
        <f t="shared" si="11"/>
        <v/>
      </c>
      <c r="L47" s="436" t="str">
        <f t="shared" si="11"/>
        <v/>
      </c>
      <c r="M47" s="436" t="str">
        <f t="shared" si="11"/>
        <v/>
      </c>
      <c r="N47" s="436" t="str">
        <f t="shared" si="11"/>
        <v/>
      </c>
      <c r="O47" s="437" t="str">
        <f t="shared" si="11"/>
        <v/>
      </c>
      <c r="P47" s="475">
        <f>+'HABILI FINANCIEROS UT PERIJA 20'!B47</f>
        <v>4458605000</v>
      </c>
      <c r="Q47" s="476">
        <f>+'HABILI FINANCIEROS UT PERIJA 20'!B48</f>
        <v>641903000</v>
      </c>
      <c r="R47" s="476">
        <f>+'HABILI FINANCIEROS UT PERIJA 20'!B49</f>
        <v>3566160000</v>
      </c>
      <c r="S47" s="477">
        <f>+'HABILI FINANCIEROS UT PERIJA 20'!B50</f>
        <v>6002404000</v>
      </c>
      <c r="T47" s="317"/>
      <c r="U47" s="318"/>
      <c r="V47" s="318"/>
      <c r="W47" s="318"/>
      <c r="X47" s="318"/>
      <c r="Y47" s="318"/>
      <c r="Z47" s="318"/>
      <c r="AA47" s="318"/>
      <c r="AB47" s="318"/>
      <c r="AC47" s="318"/>
      <c r="AD47" s="319"/>
      <c r="AF47" s="488">
        <v>1245000000</v>
      </c>
      <c r="AG47" s="183" t="s">
        <v>247</v>
      </c>
      <c r="AH47" s="183">
        <v>8</v>
      </c>
    </row>
    <row r="48" spans="1:34" ht="12.75" thickBot="1" x14ac:dyDescent="0.3">
      <c r="A48" s="187"/>
      <c r="B48" s="188"/>
      <c r="C48" s="308" t="s">
        <v>286</v>
      </c>
      <c r="D48" s="309">
        <v>1</v>
      </c>
      <c r="E48" s="352"/>
      <c r="F48" s="353"/>
      <c r="G48" s="353"/>
      <c r="H48" s="353"/>
      <c r="I48" s="353"/>
      <c r="J48" s="353"/>
      <c r="K48" s="353"/>
      <c r="L48" s="353"/>
      <c r="M48" s="353"/>
      <c r="N48" s="353"/>
      <c r="O48" s="354"/>
      <c r="P48" s="461">
        <v>184551595000</v>
      </c>
      <c r="Q48" s="462">
        <v>98557361000</v>
      </c>
      <c r="R48" s="462">
        <v>311505916000</v>
      </c>
      <c r="S48" s="474">
        <v>928030488000</v>
      </c>
      <c r="T48" s="204"/>
      <c r="U48" s="191"/>
      <c r="V48" s="191"/>
      <c r="W48" s="191"/>
      <c r="X48" s="191"/>
      <c r="Y48" s="191"/>
      <c r="Z48" s="191"/>
      <c r="AA48" s="191"/>
      <c r="AB48" s="191"/>
      <c r="AC48" s="191"/>
      <c r="AD48" s="192"/>
      <c r="AF48" s="489"/>
    </row>
    <row r="49" spans="1:34" ht="13.5" hidden="1" thickTop="1" thickBot="1" x14ac:dyDescent="0.3">
      <c r="A49" s="187"/>
      <c r="B49" s="188"/>
      <c r="C49" s="308"/>
      <c r="D49" s="309"/>
      <c r="E49" s="355"/>
      <c r="F49" s="356"/>
      <c r="G49" s="356"/>
      <c r="H49" s="356"/>
      <c r="I49" s="356"/>
      <c r="J49" s="356"/>
      <c r="K49" s="356"/>
      <c r="L49" s="356"/>
      <c r="M49" s="356"/>
      <c r="N49" s="356"/>
      <c r="O49" s="357"/>
      <c r="P49" s="461"/>
      <c r="Q49" s="462"/>
      <c r="R49" s="462"/>
      <c r="S49" s="474"/>
      <c r="T49" s="204"/>
      <c r="U49" s="191"/>
      <c r="V49" s="191"/>
      <c r="W49" s="191"/>
      <c r="X49" s="191"/>
      <c r="Y49" s="191"/>
      <c r="Z49" s="191"/>
      <c r="AA49" s="191"/>
      <c r="AB49" s="191"/>
      <c r="AC49" s="191"/>
      <c r="AD49" s="192"/>
      <c r="AF49" s="489"/>
    </row>
    <row r="50" spans="1:34" ht="13.5" hidden="1" thickTop="1" thickBot="1" x14ac:dyDescent="0.3">
      <c r="A50" s="193"/>
      <c r="B50" s="194"/>
      <c r="C50" s="312"/>
      <c r="D50" s="313"/>
      <c r="E50" s="361"/>
      <c r="F50" s="362"/>
      <c r="G50" s="362"/>
      <c r="H50" s="362"/>
      <c r="I50" s="362"/>
      <c r="J50" s="362"/>
      <c r="K50" s="362"/>
      <c r="L50" s="362"/>
      <c r="M50" s="362"/>
      <c r="N50" s="362"/>
      <c r="O50" s="363"/>
      <c r="P50" s="478"/>
      <c r="Q50" s="479"/>
      <c r="R50" s="479"/>
      <c r="S50" s="480"/>
      <c r="T50" s="205"/>
      <c r="U50" s="195"/>
      <c r="V50" s="195"/>
      <c r="W50" s="195"/>
      <c r="X50" s="195"/>
      <c r="Y50" s="195"/>
      <c r="Z50" s="195"/>
      <c r="AA50" s="195"/>
      <c r="AB50" s="195"/>
      <c r="AC50" s="195"/>
      <c r="AD50" s="196"/>
      <c r="AF50" s="490"/>
    </row>
    <row r="51" spans="1:34" ht="12.75" thickTop="1" x14ac:dyDescent="0.25">
      <c r="A51" s="310" t="s">
        <v>291</v>
      </c>
      <c r="B51" s="311">
        <v>17</v>
      </c>
      <c r="C51" s="366"/>
      <c r="D51" s="367"/>
      <c r="E51" s="435" t="str">
        <f t="shared" ref="E51:O51" si="12">IF(T51&gt;0,"X","")</f>
        <v/>
      </c>
      <c r="F51" s="436" t="str">
        <f>IF(AF51&gt;0,"X","")</f>
        <v>X</v>
      </c>
      <c r="G51" s="436" t="str">
        <f t="shared" si="12"/>
        <v/>
      </c>
      <c r="H51" s="436" t="str">
        <f t="shared" si="12"/>
        <v/>
      </c>
      <c r="I51" s="436" t="str">
        <f t="shared" si="12"/>
        <v/>
      </c>
      <c r="J51" s="436" t="str">
        <f t="shared" si="12"/>
        <v/>
      </c>
      <c r="K51" s="436" t="str">
        <f t="shared" si="12"/>
        <v/>
      </c>
      <c r="L51" s="436" t="str">
        <f t="shared" si="12"/>
        <v/>
      </c>
      <c r="M51" s="436" t="str">
        <f t="shared" si="12"/>
        <v/>
      </c>
      <c r="N51" s="436" t="str">
        <f t="shared" si="12"/>
        <v/>
      </c>
      <c r="O51" s="437" t="str">
        <f t="shared" si="12"/>
        <v/>
      </c>
      <c r="P51" s="475">
        <f>+'HABILI FINANCIEROS UT PERIJA 20'!B51</f>
        <v>5643000000</v>
      </c>
      <c r="Q51" s="476">
        <f>+'HABILI FINANCIEROS UT PERIJA 20'!B52</f>
        <v>0</v>
      </c>
      <c r="R51" s="476">
        <f>+'HABILI FINANCIEROS UT PERIJA 20'!B53</f>
        <v>0</v>
      </c>
      <c r="S51" s="477">
        <f>+'HABILI FINANCIEROS UT PERIJA 20'!B54</f>
        <v>0</v>
      </c>
      <c r="T51" s="317"/>
      <c r="U51" s="318"/>
      <c r="V51" s="318"/>
      <c r="W51" s="318"/>
      <c r="X51" s="318"/>
      <c r="Y51" s="318"/>
      <c r="Z51" s="318"/>
      <c r="AA51" s="318"/>
      <c r="AB51" s="318"/>
      <c r="AC51" s="318"/>
      <c r="AD51" s="319"/>
      <c r="AF51" s="488">
        <v>1245000000</v>
      </c>
      <c r="AG51" s="183" t="s">
        <v>299</v>
      </c>
      <c r="AH51" s="183">
        <v>17</v>
      </c>
    </row>
    <row r="52" spans="1:34" ht="12.75" thickBot="1" x14ac:dyDescent="0.3">
      <c r="A52" s="187"/>
      <c r="B52" s="188"/>
      <c r="C52" s="308" t="s">
        <v>292</v>
      </c>
      <c r="D52" s="309">
        <v>0.5</v>
      </c>
      <c r="E52" s="352"/>
      <c r="F52" s="353"/>
      <c r="G52" s="353"/>
      <c r="H52" s="353"/>
      <c r="I52" s="353"/>
      <c r="J52" s="353"/>
      <c r="K52" s="353"/>
      <c r="L52" s="353"/>
      <c r="M52" s="353"/>
      <c r="N52" s="353"/>
      <c r="O52" s="354"/>
      <c r="P52" s="461">
        <v>3054971572</v>
      </c>
      <c r="Q52" s="462">
        <v>880616387</v>
      </c>
      <c r="R52" s="462">
        <v>2512665875</v>
      </c>
      <c r="S52" s="474">
        <v>3651964168</v>
      </c>
      <c r="T52" s="204"/>
      <c r="U52" s="191"/>
      <c r="V52" s="191"/>
      <c r="W52" s="191"/>
      <c r="X52" s="191"/>
      <c r="Y52" s="191"/>
      <c r="Z52" s="191"/>
      <c r="AA52" s="191"/>
      <c r="AB52" s="191"/>
      <c r="AC52" s="191"/>
      <c r="AD52" s="192"/>
      <c r="AF52" s="489"/>
    </row>
    <row r="53" spans="1:34" ht="13.5" thickTop="1" thickBot="1" x14ac:dyDescent="0.3">
      <c r="A53" s="187"/>
      <c r="B53" s="188"/>
      <c r="C53" s="308" t="s">
        <v>293</v>
      </c>
      <c r="D53" s="309">
        <v>0.3</v>
      </c>
      <c r="E53" s="355"/>
      <c r="F53" s="356"/>
      <c r="G53" s="356"/>
      <c r="H53" s="356"/>
      <c r="I53" s="356"/>
      <c r="J53" s="356"/>
      <c r="K53" s="356"/>
      <c r="L53" s="356"/>
      <c r="M53" s="356"/>
      <c r="N53" s="356"/>
      <c r="O53" s="357"/>
      <c r="P53" s="461">
        <v>2998970260</v>
      </c>
      <c r="Q53" s="462">
        <v>1681522493</v>
      </c>
      <c r="R53" s="462">
        <v>2603501961</v>
      </c>
      <c r="S53" s="474">
        <v>3126240288</v>
      </c>
      <c r="T53" s="204"/>
      <c r="U53" s="191"/>
      <c r="V53" s="191"/>
      <c r="W53" s="191"/>
      <c r="X53" s="191"/>
      <c r="Y53" s="191"/>
      <c r="Z53" s="191"/>
      <c r="AA53" s="191"/>
      <c r="AB53" s="191"/>
      <c r="AC53" s="191"/>
      <c r="AD53" s="192"/>
      <c r="AF53" s="489"/>
    </row>
    <row r="54" spans="1:34" ht="13.5" thickTop="1" thickBot="1" x14ac:dyDescent="0.3">
      <c r="A54" s="193"/>
      <c r="B54" s="194"/>
      <c r="C54" s="312" t="s">
        <v>294</v>
      </c>
      <c r="D54" s="313">
        <v>0.2</v>
      </c>
      <c r="E54" s="361"/>
      <c r="F54" s="362"/>
      <c r="G54" s="362"/>
      <c r="H54" s="362"/>
      <c r="I54" s="362"/>
      <c r="J54" s="362"/>
      <c r="K54" s="362"/>
      <c r="L54" s="362"/>
      <c r="M54" s="362"/>
      <c r="N54" s="362"/>
      <c r="O54" s="363"/>
      <c r="P54" s="478">
        <v>2128847746</v>
      </c>
      <c r="Q54" s="479">
        <v>630033242</v>
      </c>
      <c r="R54" s="479">
        <v>1831441430</v>
      </c>
      <c r="S54" s="480">
        <v>4541599854</v>
      </c>
      <c r="T54" s="205"/>
      <c r="U54" s="195"/>
      <c r="V54" s="195"/>
      <c r="W54" s="195"/>
      <c r="X54" s="195"/>
      <c r="Y54" s="195"/>
      <c r="Z54" s="195"/>
      <c r="AA54" s="195"/>
      <c r="AB54" s="195"/>
      <c r="AC54" s="195"/>
      <c r="AD54" s="196"/>
      <c r="AF54" s="490"/>
    </row>
    <row r="55" spans="1:34" hidden="1" x14ac:dyDescent="0.25">
      <c r="A55" s="310"/>
      <c r="B55" s="311"/>
      <c r="C55" s="366"/>
      <c r="D55" s="367"/>
      <c r="E55" s="435" t="str">
        <f t="shared" ref="E55:O55" si="13">IF(T55&gt;0,"X","")</f>
        <v/>
      </c>
      <c r="F55" s="436"/>
      <c r="G55" s="436" t="str">
        <f t="shared" si="13"/>
        <v/>
      </c>
      <c r="H55" s="436" t="str">
        <f t="shared" si="13"/>
        <v/>
      </c>
      <c r="I55" s="436" t="str">
        <f t="shared" si="13"/>
        <v/>
      </c>
      <c r="J55" s="436" t="str">
        <f t="shared" si="13"/>
        <v/>
      </c>
      <c r="K55" s="436" t="str">
        <f t="shared" si="13"/>
        <v/>
      </c>
      <c r="L55" s="436" t="str">
        <f t="shared" si="13"/>
        <v/>
      </c>
      <c r="M55" s="436" t="str">
        <f t="shared" si="13"/>
        <v/>
      </c>
      <c r="N55" s="436" t="str">
        <f t="shared" si="13"/>
        <v/>
      </c>
      <c r="O55" s="437" t="str">
        <f t="shared" si="13"/>
        <v/>
      </c>
      <c r="P55" s="475">
        <f>+'HABILI FINANCIEROS UT PERIJA 20'!B55</f>
        <v>0</v>
      </c>
      <c r="Q55" s="476">
        <f>+'HABILI FINANCIEROS UT PERIJA 20'!B56</f>
        <v>0</v>
      </c>
      <c r="R55" s="476">
        <f>+'HABILI FINANCIEROS UT PERIJA 20'!B57</f>
        <v>0</v>
      </c>
      <c r="S55" s="477">
        <f>+'HABILI FINANCIEROS UT PERIJA 20'!B58</f>
        <v>0</v>
      </c>
      <c r="T55" s="317"/>
      <c r="U55" s="318"/>
      <c r="V55" s="318"/>
      <c r="W55" s="318"/>
      <c r="X55" s="318"/>
      <c r="Y55" s="318"/>
      <c r="Z55" s="318"/>
      <c r="AA55" s="318"/>
      <c r="AB55" s="318"/>
      <c r="AC55" s="318"/>
      <c r="AD55" s="319"/>
      <c r="AF55" s="488"/>
    </row>
    <row r="56" spans="1:34" ht="12.75" hidden="1" thickBot="1" x14ac:dyDescent="0.3">
      <c r="A56" s="187"/>
      <c r="B56" s="188"/>
      <c r="C56" s="308"/>
      <c r="D56" s="309"/>
      <c r="E56" s="352"/>
      <c r="F56" s="353"/>
      <c r="G56" s="353"/>
      <c r="H56" s="353"/>
      <c r="I56" s="353"/>
      <c r="J56" s="353"/>
      <c r="K56" s="353"/>
      <c r="L56" s="353"/>
      <c r="M56" s="353"/>
      <c r="N56" s="353"/>
      <c r="O56" s="354"/>
      <c r="P56" s="461"/>
      <c r="Q56" s="462"/>
      <c r="R56" s="462"/>
      <c r="S56" s="474"/>
      <c r="T56" s="204"/>
      <c r="U56" s="191"/>
      <c r="V56" s="191"/>
      <c r="W56" s="191"/>
      <c r="X56" s="191"/>
      <c r="Y56" s="191"/>
      <c r="Z56" s="191"/>
      <c r="AA56" s="191"/>
      <c r="AB56" s="191"/>
      <c r="AC56" s="191"/>
      <c r="AD56" s="192"/>
      <c r="AF56" s="489"/>
    </row>
    <row r="57" spans="1:34" ht="13.5" hidden="1" thickTop="1" thickBot="1" x14ac:dyDescent="0.3">
      <c r="A57" s="187"/>
      <c r="B57" s="188"/>
      <c r="C57" s="308"/>
      <c r="D57" s="309"/>
      <c r="E57" s="355"/>
      <c r="F57" s="356"/>
      <c r="G57" s="356"/>
      <c r="H57" s="356"/>
      <c r="I57" s="356"/>
      <c r="J57" s="356"/>
      <c r="K57" s="356"/>
      <c r="L57" s="356"/>
      <c r="M57" s="356"/>
      <c r="N57" s="356"/>
      <c r="O57" s="357"/>
      <c r="P57" s="461"/>
      <c r="Q57" s="462"/>
      <c r="R57" s="462"/>
      <c r="S57" s="474"/>
      <c r="T57" s="204"/>
      <c r="U57" s="191"/>
      <c r="V57" s="191"/>
      <c r="W57" s="191"/>
      <c r="X57" s="191"/>
      <c r="Y57" s="191"/>
      <c r="Z57" s="191"/>
      <c r="AA57" s="191"/>
      <c r="AB57" s="191"/>
      <c r="AC57" s="191"/>
      <c r="AD57" s="192"/>
      <c r="AF57" s="489"/>
    </row>
    <row r="58" spans="1:34" ht="13.5" hidden="1" thickTop="1" thickBot="1" x14ac:dyDescent="0.3">
      <c r="A58" s="193"/>
      <c r="B58" s="194"/>
      <c r="C58" s="312"/>
      <c r="D58" s="313"/>
      <c r="E58" s="361"/>
      <c r="F58" s="362"/>
      <c r="G58" s="362"/>
      <c r="H58" s="362"/>
      <c r="I58" s="362"/>
      <c r="J58" s="362"/>
      <c r="K58" s="362"/>
      <c r="L58" s="362"/>
      <c r="M58" s="362"/>
      <c r="N58" s="362"/>
      <c r="O58" s="363"/>
      <c r="P58" s="478"/>
      <c r="Q58" s="479"/>
      <c r="R58" s="479"/>
      <c r="S58" s="480"/>
      <c r="T58" s="205"/>
      <c r="U58" s="195"/>
      <c r="V58" s="195"/>
      <c r="W58" s="195"/>
      <c r="X58" s="195"/>
      <c r="Y58" s="195"/>
      <c r="Z58" s="195"/>
      <c r="AA58" s="195"/>
      <c r="AB58" s="195"/>
      <c r="AC58" s="195"/>
      <c r="AD58" s="196"/>
      <c r="AF58" s="490"/>
    </row>
    <row r="59" spans="1:34" hidden="1" x14ac:dyDescent="0.25">
      <c r="A59" s="310"/>
      <c r="B59" s="311"/>
      <c r="C59" s="366"/>
      <c r="D59" s="367"/>
      <c r="E59" s="435"/>
      <c r="F59" s="436"/>
      <c r="G59" s="436" t="str">
        <f t="shared" ref="G59:O59" si="14">IF(V59&gt;0,"X","")</f>
        <v/>
      </c>
      <c r="H59" s="436" t="str">
        <f t="shared" si="14"/>
        <v/>
      </c>
      <c r="I59" s="436" t="str">
        <f t="shared" si="14"/>
        <v/>
      </c>
      <c r="J59" s="436" t="str">
        <f t="shared" si="14"/>
        <v/>
      </c>
      <c r="K59" s="436" t="str">
        <f t="shared" si="14"/>
        <v/>
      </c>
      <c r="L59" s="436" t="str">
        <f t="shared" si="14"/>
        <v/>
      </c>
      <c r="M59" s="436" t="str">
        <f t="shared" si="14"/>
        <v/>
      </c>
      <c r="N59" s="436" t="str">
        <f t="shared" si="14"/>
        <v/>
      </c>
      <c r="O59" s="437" t="str">
        <f t="shared" si="14"/>
        <v/>
      </c>
      <c r="P59" s="475">
        <f>+'HABILI FINANCIEROS UT PERIJA 20'!B59</f>
        <v>0</v>
      </c>
      <c r="Q59" s="476">
        <f>+'HABILI FINANCIEROS UT PERIJA 20'!B60</f>
        <v>0</v>
      </c>
      <c r="R59" s="476">
        <f>+'HABILI FINANCIEROS UT PERIJA 20'!B61</f>
        <v>0</v>
      </c>
      <c r="S59" s="477">
        <f>+'HABILI FINANCIEROS UT PERIJA 20'!B62</f>
        <v>0</v>
      </c>
      <c r="T59" s="317"/>
      <c r="U59" s="318"/>
      <c r="V59" s="318"/>
      <c r="W59" s="318"/>
      <c r="X59" s="318"/>
      <c r="Y59" s="318"/>
      <c r="Z59" s="318"/>
      <c r="AA59" s="318"/>
      <c r="AB59" s="318"/>
      <c r="AC59" s="318"/>
      <c r="AD59" s="319"/>
      <c r="AF59" s="488"/>
    </row>
    <row r="60" spans="1:34" ht="12.75" hidden="1" thickBot="1" x14ac:dyDescent="0.3">
      <c r="A60" s="187"/>
      <c r="B60" s="188"/>
      <c r="C60" s="308"/>
      <c r="D60" s="309"/>
      <c r="E60" s="352"/>
      <c r="F60" s="353"/>
      <c r="G60" s="353"/>
      <c r="H60" s="353"/>
      <c r="I60" s="353"/>
      <c r="J60" s="353"/>
      <c r="K60" s="353"/>
      <c r="L60" s="353"/>
      <c r="M60" s="353"/>
      <c r="N60" s="353"/>
      <c r="O60" s="354"/>
      <c r="P60" s="461"/>
      <c r="Q60" s="462"/>
      <c r="R60" s="462"/>
      <c r="S60" s="474"/>
      <c r="T60" s="204"/>
      <c r="U60" s="191"/>
      <c r="V60" s="191"/>
      <c r="W60" s="191"/>
      <c r="X60" s="191"/>
      <c r="Y60" s="191"/>
      <c r="Z60" s="191"/>
      <c r="AA60" s="191"/>
      <c r="AB60" s="191"/>
      <c r="AC60" s="191"/>
      <c r="AD60" s="192"/>
      <c r="AF60" s="489"/>
    </row>
    <row r="61" spans="1:34" ht="13.5" hidden="1" thickTop="1" thickBot="1" x14ac:dyDescent="0.3">
      <c r="A61" s="187"/>
      <c r="B61" s="188"/>
      <c r="C61" s="308"/>
      <c r="D61" s="309"/>
      <c r="E61" s="355"/>
      <c r="F61" s="356"/>
      <c r="G61" s="356"/>
      <c r="H61" s="356"/>
      <c r="I61" s="356"/>
      <c r="J61" s="356"/>
      <c r="K61" s="356"/>
      <c r="L61" s="356"/>
      <c r="M61" s="356"/>
      <c r="N61" s="356"/>
      <c r="O61" s="357"/>
      <c r="P61" s="461"/>
      <c r="Q61" s="462"/>
      <c r="R61" s="462"/>
      <c r="S61" s="474"/>
      <c r="T61" s="204"/>
      <c r="U61" s="191"/>
      <c r="V61" s="191"/>
      <c r="W61" s="191"/>
      <c r="X61" s="191"/>
      <c r="Y61" s="191"/>
      <c r="Z61" s="191"/>
      <c r="AA61" s="191"/>
      <c r="AB61" s="191"/>
      <c r="AC61" s="191"/>
      <c r="AD61" s="192"/>
      <c r="AF61" s="489"/>
    </row>
    <row r="62" spans="1:34" ht="13.5" hidden="1" thickTop="1" thickBot="1" x14ac:dyDescent="0.3">
      <c r="A62" s="193"/>
      <c r="B62" s="194"/>
      <c r="C62" s="312"/>
      <c r="D62" s="313"/>
      <c r="E62" s="361"/>
      <c r="F62" s="362"/>
      <c r="G62" s="362"/>
      <c r="H62" s="362"/>
      <c r="I62" s="362"/>
      <c r="J62" s="362"/>
      <c r="K62" s="362"/>
      <c r="L62" s="362"/>
      <c r="M62" s="362"/>
      <c r="N62" s="362"/>
      <c r="O62" s="363"/>
      <c r="P62" s="478"/>
      <c r="Q62" s="479"/>
      <c r="R62" s="479"/>
      <c r="S62" s="480"/>
      <c r="T62" s="205"/>
      <c r="U62" s="195"/>
      <c r="V62" s="195"/>
      <c r="W62" s="195"/>
      <c r="X62" s="195"/>
      <c r="Y62" s="195"/>
      <c r="Z62" s="195"/>
      <c r="AA62" s="195"/>
      <c r="AB62" s="195"/>
      <c r="AC62" s="195"/>
      <c r="AD62" s="196"/>
      <c r="AF62" s="490"/>
    </row>
    <row r="63" spans="1:34" hidden="1" x14ac:dyDescent="0.25">
      <c r="A63" s="310"/>
      <c r="B63" s="311"/>
      <c r="C63" s="366"/>
      <c r="D63" s="367"/>
      <c r="E63" s="435"/>
      <c r="F63" s="436"/>
      <c r="G63" s="436" t="str">
        <f t="shared" ref="G63:O63" si="15">IF(V63&gt;0,"X","")</f>
        <v/>
      </c>
      <c r="H63" s="436" t="str">
        <f t="shared" si="15"/>
        <v/>
      </c>
      <c r="I63" s="436" t="str">
        <f t="shared" si="15"/>
        <v/>
      </c>
      <c r="J63" s="436" t="str">
        <f t="shared" si="15"/>
        <v/>
      </c>
      <c r="K63" s="436" t="str">
        <f t="shared" si="15"/>
        <v/>
      </c>
      <c r="L63" s="436" t="str">
        <f t="shared" si="15"/>
        <v/>
      </c>
      <c r="M63" s="436" t="str">
        <f t="shared" si="15"/>
        <v/>
      </c>
      <c r="N63" s="436" t="str">
        <f t="shared" si="15"/>
        <v/>
      </c>
      <c r="O63" s="437" t="str">
        <f t="shared" si="15"/>
        <v/>
      </c>
      <c r="P63" s="475">
        <f>+'HABILI FINANCIEROS UT PERIJA 20'!B63</f>
        <v>0</v>
      </c>
      <c r="Q63" s="476">
        <f>+'HABILI FINANCIEROS UT PERIJA 20'!B64</f>
        <v>0</v>
      </c>
      <c r="R63" s="476">
        <f>+'HABILI FINANCIEROS UT PERIJA 20'!B65</f>
        <v>0</v>
      </c>
      <c r="S63" s="477">
        <f>+'HABILI FINANCIEROS UT PERIJA 20'!B66</f>
        <v>0</v>
      </c>
      <c r="T63" s="317"/>
      <c r="U63" s="318"/>
      <c r="V63" s="318"/>
      <c r="W63" s="318"/>
      <c r="X63" s="318"/>
      <c r="Y63" s="318"/>
      <c r="Z63" s="318"/>
      <c r="AA63" s="318"/>
      <c r="AB63" s="318"/>
      <c r="AC63" s="318"/>
      <c r="AD63" s="319"/>
      <c r="AF63" s="488"/>
    </row>
    <row r="64" spans="1:34" ht="12.75" hidden="1" thickBot="1" x14ac:dyDescent="0.3">
      <c r="A64" s="187"/>
      <c r="B64" s="188"/>
      <c r="C64" s="308"/>
      <c r="D64" s="309"/>
      <c r="E64" s="352"/>
      <c r="F64" s="353"/>
      <c r="G64" s="353"/>
      <c r="H64" s="353"/>
      <c r="I64" s="353"/>
      <c r="J64" s="353"/>
      <c r="K64" s="353"/>
      <c r="L64" s="353"/>
      <c r="M64" s="353"/>
      <c r="N64" s="353"/>
      <c r="O64" s="354"/>
      <c r="P64" s="461"/>
      <c r="Q64" s="462"/>
      <c r="R64" s="462"/>
      <c r="S64" s="474"/>
      <c r="T64" s="204"/>
      <c r="U64" s="191"/>
      <c r="V64" s="191"/>
      <c r="W64" s="191"/>
      <c r="X64" s="191"/>
      <c r="Y64" s="191"/>
      <c r="Z64" s="191"/>
      <c r="AA64" s="191"/>
      <c r="AB64" s="191"/>
      <c r="AC64" s="191"/>
      <c r="AD64" s="192"/>
      <c r="AF64" s="489"/>
    </row>
    <row r="65" spans="1:32" ht="13.5" hidden="1" thickTop="1" thickBot="1" x14ac:dyDescent="0.3">
      <c r="A65" s="187"/>
      <c r="B65" s="188"/>
      <c r="C65" s="308"/>
      <c r="D65" s="309"/>
      <c r="E65" s="355"/>
      <c r="F65" s="356"/>
      <c r="G65" s="356"/>
      <c r="H65" s="356"/>
      <c r="I65" s="356"/>
      <c r="J65" s="356"/>
      <c r="K65" s="356"/>
      <c r="L65" s="356"/>
      <c r="M65" s="356"/>
      <c r="N65" s="356"/>
      <c r="O65" s="357"/>
      <c r="P65" s="461"/>
      <c r="Q65" s="462"/>
      <c r="R65" s="462"/>
      <c r="S65" s="474"/>
      <c r="T65" s="204"/>
      <c r="U65" s="191"/>
      <c r="V65" s="191"/>
      <c r="W65" s="191"/>
      <c r="X65" s="191"/>
      <c r="Y65" s="191"/>
      <c r="Z65" s="191"/>
      <c r="AA65" s="191"/>
      <c r="AB65" s="191"/>
      <c r="AC65" s="191"/>
      <c r="AD65" s="192"/>
      <c r="AF65" s="489"/>
    </row>
    <row r="66" spans="1:32" ht="13.5" hidden="1" thickTop="1" thickBot="1" x14ac:dyDescent="0.3">
      <c r="A66" s="193"/>
      <c r="B66" s="194"/>
      <c r="C66" s="312"/>
      <c r="D66" s="313"/>
      <c r="E66" s="361"/>
      <c r="F66" s="362"/>
      <c r="G66" s="362"/>
      <c r="H66" s="362"/>
      <c r="I66" s="362"/>
      <c r="J66" s="362"/>
      <c r="K66" s="362"/>
      <c r="L66" s="362"/>
      <c r="M66" s="362"/>
      <c r="N66" s="362"/>
      <c r="O66" s="363"/>
      <c r="P66" s="478"/>
      <c r="Q66" s="479"/>
      <c r="R66" s="479"/>
      <c r="S66" s="480"/>
      <c r="T66" s="205"/>
      <c r="U66" s="195"/>
      <c r="V66" s="195"/>
      <c r="W66" s="195"/>
      <c r="X66" s="195"/>
      <c r="Y66" s="195"/>
      <c r="Z66" s="195"/>
      <c r="AA66" s="195"/>
      <c r="AB66" s="195"/>
      <c r="AC66" s="195"/>
      <c r="AD66" s="196"/>
      <c r="AF66" s="490"/>
    </row>
    <row r="67" spans="1:32" hidden="1" x14ac:dyDescent="0.25">
      <c r="A67" s="310"/>
      <c r="B67" s="311"/>
      <c r="C67" s="366"/>
      <c r="D67" s="367"/>
      <c r="E67" s="435"/>
      <c r="F67" s="436"/>
      <c r="G67" s="436" t="str">
        <f t="shared" ref="G67:O67" si="16">IF(V67&gt;0,"X","")</f>
        <v/>
      </c>
      <c r="H67" s="436" t="str">
        <f t="shared" si="16"/>
        <v/>
      </c>
      <c r="I67" s="436" t="str">
        <f t="shared" si="16"/>
        <v/>
      </c>
      <c r="J67" s="436" t="str">
        <f t="shared" si="16"/>
        <v/>
      </c>
      <c r="K67" s="436" t="str">
        <f t="shared" si="16"/>
        <v/>
      </c>
      <c r="L67" s="436" t="str">
        <f t="shared" si="16"/>
        <v/>
      </c>
      <c r="M67" s="436" t="str">
        <f t="shared" si="16"/>
        <v/>
      </c>
      <c r="N67" s="436" t="str">
        <f t="shared" si="16"/>
        <v/>
      </c>
      <c r="O67" s="437" t="str">
        <f t="shared" si="16"/>
        <v/>
      </c>
      <c r="P67" s="475">
        <f>+'HABILI FINANCIEROS UT PERIJA 20'!B67</f>
        <v>0</v>
      </c>
      <c r="Q67" s="476">
        <f>+'HABILI FINANCIEROS UT PERIJA 20'!B68</f>
        <v>0</v>
      </c>
      <c r="R67" s="476">
        <f>+'HABILI FINANCIEROS UT PERIJA 20'!B69</f>
        <v>0</v>
      </c>
      <c r="S67" s="477">
        <f>+'HABILI FINANCIEROS UT PERIJA 20'!B70</f>
        <v>0</v>
      </c>
      <c r="T67" s="317"/>
      <c r="U67" s="318"/>
      <c r="V67" s="318"/>
      <c r="W67" s="318"/>
      <c r="X67" s="318"/>
      <c r="Y67" s="318"/>
      <c r="Z67" s="318"/>
      <c r="AA67" s="318"/>
      <c r="AB67" s="318"/>
      <c r="AC67" s="318"/>
      <c r="AD67" s="319"/>
      <c r="AF67" s="488"/>
    </row>
    <row r="68" spans="1:32" ht="12.75" hidden="1" thickBot="1" x14ac:dyDescent="0.3">
      <c r="A68" s="187"/>
      <c r="B68" s="188"/>
      <c r="C68" s="308"/>
      <c r="D68" s="309"/>
      <c r="E68" s="352"/>
      <c r="F68" s="353"/>
      <c r="G68" s="353"/>
      <c r="H68" s="353"/>
      <c r="I68" s="353"/>
      <c r="J68" s="353"/>
      <c r="K68" s="353"/>
      <c r="L68" s="353"/>
      <c r="M68" s="353"/>
      <c r="N68" s="353"/>
      <c r="O68" s="354"/>
      <c r="P68" s="461"/>
      <c r="Q68" s="462"/>
      <c r="R68" s="462"/>
      <c r="S68" s="474"/>
      <c r="T68" s="204"/>
      <c r="U68" s="191"/>
      <c r="V68" s="191"/>
      <c r="W68" s="191"/>
      <c r="X68" s="191"/>
      <c r="Y68" s="191"/>
      <c r="Z68" s="191"/>
      <c r="AA68" s="191"/>
      <c r="AB68" s="191"/>
      <c r="AC68" s="191"/>
      <c r="AD68" s="192"/>
      <c r="AF68" s="489"/>
    </row>
    <row r="69" spans="1:32" ht="13.5" hidden="1" thickTop="1" thickBot="1" x14ac:dyDescent="0.3">
      <c r="A69" s="187"/>
      <c r="B69" s="188"/>
      <c r="C69" s="308"/>
      <c r="D69" s="309"/>
      <c r="E69" s="355"/>
      <c r="F69" s="356"/>
      <c r="G69" s="356"/>
      <c r="H69" s="356"/>
      <c r="I69" s="356"/>
      <c r="J69" s="356"/>
      <c r="K69" s="356"/>
      <c r="L69" s="356"/>
      <c r="M69" s="356"/>
      <c r="N69" s="356"/>
      <c r="O69" s="357"/>
      <c r="P69" s="461"/>
      <c r="Q69" s="462"/>
      <c r="R69" s="462"/>
      <c r="S69" s="474"/>
      <c r="T69" s="204"/>
      <c r="U69" s="191"/>
      <c r="V69" s="191"/>
      <c r="W69" s="191"/>
      <c r="X69" s="191"/>
      <c r="Y69" s="191"/>
      <c r="Z69" s="191"/>
      <c r="AA69" s="191"/>
      <c r="AB69" s="191"/>
      <c r="AC69" s="191"/>
      <c r="AD69" s="192"/>
      <c r="AF69" s="490"/>
    </row>
    <row r="70" spans="1:32" ht="13.5" hidden="1" thickTop="1" thickBot="1" x14ac:dyDescent="0.3">
      <c r="A70" s="193"/>
      <c r="B70" s="194"/>
      <c r="C70" s="312"/>
      <c r="D70" s="313"/>
      <c r="E70" s="361"/>
      <c r="F70" s="362"/>
      <c r="G70" s="362"/>
      <c r="H70" s="362"/>
      <c r="I70" s="362"/>
      <c r="J70" s="362"/>
      <c r="K70" s="362"/>
      <c r="L70" s="362"/>
      <c r="M70" s="362"/>
      <c r="N70" s="362"/>
      <c r="O70" s="363"/>
      <c r="P70" s="478"/>
      <c r="Q70" s="479"/>
      <c r="R70" s="479"/>
      <c r="S70" s="480"/>
      <c r="T70" s="205"/>
      <c r="U70" s="195"/>
      <c r="V70" s="195"/>
      <c r="W70" s="195"/>
      <c r="X70" s="195"/>
      <c r="Y70" s="195"/>
      <c r="Z70" s="195"/>
      <c r="AA70" s="195"/>
      <c r="AB70" s="195"/>
      <c r="AC70" s="195"/>
      <c r="AD70" s="196"/>
      <c r="AF70" s="485"/>
    </row>
    <row r="71" spans="1:32" hidden="1" x14ac:dyDescent="0.25"/>
    <row r="72" spans="1:32" ht="15" hidden="1" x14ac:dyDescent="0.25">
      <c r="D72" s="212" t="s">
        <v>20</v>
      </c>
      <c r="E72" s="304">
        <f>COUNTIF(E7:E70,"X")</f>
        <v>0</v>
      </c>
      <c r="F72" s="304">
        <f t="shared" ref="F72:O72" si="17">COUNTIF(F7:F70,"X")</f>
        <v>12</v>
      </c>
      <c r="G72" s="304">
        <f t="shared" si="17"/>
        <v>0</v>
      </c>
      <c r="H72" s="304">
        <f t="shared" si="17"/>
        <v>0</v>
      </c>
      <c r="I72" s="304">
        <f t="shared" si="17"/>
        <v>0</v>
      </c>
      <c r="J72" s="304">
        <f t="shared" si="17"/>
        <v>0</v>
      </c>
      <c r="K72" s="304">
        <f t="shared" si="17"/>
        <v>0</v>
      </c>
      <c r="L72" s="304">
        <f t="shared" si="17"/>
        <v>0</v>
      </c>
      <c r="M72" s="304">
        <f t="shared" si="17"/>
        <v>0</v>
      </c>
      <c r="N72" s="304">
        <f t="shared" si="17"/>
        <v>0</v>
      </c>
      <c r="O72" s="304">
        <f t="shared" si="17"/>
        <v>0</v>
      </c>
      <c r="P72" s="13"/>
      <c r="Q72" s="13"/>
      <c r="R72" s="13"/>
      <c r="S72" s="13"/>
    </row>
    <row r="73" spans="1:32" hidden="1" x14ac:dyDescent="0.25">
      <c r="S73" s="212" t="s">
        <v>17</v>
      </c>
      <c r="T73" s="185" t="e">
        <f t="shared" ref="T73:AD73" si="18">AVERAGE(T7:T70)</f>
        <v>#DIV/0!</v>
      </c>
      <c r="U73" s="185" t="e">
        <f t="shared" si="18"/>
        <v>#DIV/0!</v>
      </c>
      <c r="V73" s="185" t="e">
        <f t="shared" si="18"/>
        <v>#DIV/0!</v>
      </c>
      <c r="W73" s="185" t="e">
        <f t="shared" si="18"/>
        <v>#DIV/0!</v>
      </c>
      <c r="X73" s="185" t="e">
        <f t="shared" si="18"/>
        <v>#DIV/0!</v>
      </c>
      <c r="Y73" s="185" t="e">
        <f t="shared" si="18"/>
        <v>#DIV/0!</v>
      </c>
      <c r="Z73" s="185" t="e">
        <f t="shared" si="18"/>
        <v>#DIV/0!</v>
      </c>
      <c r="AA73" s="185" t="e">
        <f t="shared" si="18"/>
        <v>#DIV/0!</v>
      </c>
      <c r="AB73" s="185" t="e">
        <f t="shared" si="18"/>
        <v>#DIV/0!</v>
      </c>
      <c r="AC73" s="185" t="e">
        <f t="shared" si="18"/>
        <v>#DIV/0!</v>
      </c>
      <c r="AD73" s="185" t="e">
        <f t="shared" si="18"/>
        <v>#DIV/0!</v>
      </c>
      <c r="AF73" s="185">
        <f>AVERAGE(AF7:AF70)</f>
        <v>1235722500</v>
      </c>
    </row>
    <row r="74" spans="1:32" s="481" customFormat="1" hidden="1" x14ac:dyDescent="0.25">
      <c r="S74" s="482" t="s">
        <v>18</v>
      </c>
      <c r="T74" s="483" t="e">
        <f t="shared" ref="T74:AD74" si="19">+(MAX(T7:T70)+T73)/2</f>
        <v>#DIV/0!</v>
      </c>
      <c r="U74" s="483" t="e">
        <f t="shared" si="19"/>
        <v>#DIV/0!</v>
      </c>
      <c r="V74" s="483" t="e">
        <f t="shared" si="19"/>
        <v>#DIV/0!</v>
      </c>
      <c r="W74" s="483" t="e">
        <f t="shared" si="19"/>
        <v>#DIV/0!</v>
      </c>
      <c r="X74" s="483" t="e">
        <f t="shared" si="19"/>
        <v>#DIV/0!</v>
      </c>
      <c r="Y74" s="483" t="e">
        <f t="shared" si="19"/>
        <v>#DIV/0!</v>
      </c>
      <c r="Z74" s="483" t="e">
        <f t="shared" si="19"/>
        <v>#DIV/0!</v>
      </c>
      <c r="AA74" s="483" t="e">
        <f t="shared" si="19"/>
        <v>#DIV/0!</v>
      </c>
      <c r="AB74" s="483" t="e">
        <f t="shared" si="19"/>
        <v>#DIV/0!</v>
      </c>
      <c r="AC74" s="483" t="e">
        <f t="shared" si="19"/>
        <v>#DIV/0!</v>
      </c>
      <c r="AD74" s="483" t="e">
        <f t="shared" si="19"/>
        <v>#DIV/0!</v>
      </c>
      <c r="AF74" s="483">
        <f>+(MAX(AF7:AF70)+AF73)/2</f>
        <v>1240361250</v>
      </c>
    </row>
    <row r="75" spans="1:32" hidden="1" x14ac:dyDescent="0.25">
      <c r="Q75" s="183">
        <f>16/3</f>
        <v>5.333333333333333</v>
      </c>
      <c r="S75" s="183" t="s">
        <v>126</v>
      </c>
      <c r="T75" s="226">
        <f>INT((+E72/3+0.99))</f>
        <v>0</v>
      </c>
      <c r="U75" s="226">
        <f>INT((+F72/3+0.99))</f>
        <v>4</v>
      </c>
      <c r="V75" s="226">
        <f t="shared" ref="V75:AC75" si="20">INT((+G72/3+0.99))</f>
        <v>0</v>
      </c>
      <c r="W75" s="226">
        <f t="shared" si="20"/>
        <v>0</v>
      </c>
      <c r="X75" s="226">
        <f t="shared" si="20"/>
        <v>0</v>
      </c>
      <c r="Y75" s="226">
        <f t="shared" si="20"/>
        <v>0</v>
      </c>
      <c r="Z75" s="226">
        <f t="shared" si="20"/>
        <v>0</v>
      </c>
      <c r="AA75" s="226">
        <f t="shared" si="20"/>
        <v>0</v>
      </c>
      <c r="AB75" s="226">
        <f t="shared" si="20"/>
        <v>0</v>
      </c>
      <c r="AC75" s="226">
        <f t="shared" si="20"/>
        <v>0</v>
      </c>
      <c r="AD75" s="226">
        <f>INT((+O72/3+0.99))</f>
        <v>0</v>
      </c>
      <c r="AF75" s="226">
        <f>INT((+Q72/3+0.99))</f>
        <v>0</v>
      </c>
    </row>
    <row r="76" spans="1:32" hidden="1" x14ac:dyDescent="0.25">
      <c r="S76" s="183">
        <v>1</v>
      </c>
      <c r="T76" s="185">
        <f t="shared" ref="T76:AF81" si="21">IF($S76&lt;=T$75,T$2,)</f>
        <v>0</v>
      </c>
      <c r="U76" s="185">
        <f t="shared" si="21"/>
        <v>1254000000</v>
      </c>
      <c r="V76" s="185">
        <f t="shared" si="21"/>
        <v>0</v>
      </c>
      <c r="W76" s="185">
        <f t="shared" si="21"/>
        <v>0</v>
      </c>
      <c r="X76" s="185">
        <f t="shared" si="21"/>
        <v>0</v>
      </c>
      <c r="Y76" s="185">
        <f t="shared" si="21"/>
        <v>0</v>
      </c>
      <c r="Z76" s="185">
        <f t="shared" si="21"/>
        <v>0</v>
      </c>
      <c r="AA76" s="185">
        <f t="shared" si="21"/>
        <v>0</v>
      </c>
      <c r="AB76" s="185">
        <f t="shared" si="21"/>
        <v>0</v>
      </c>
      <c r="AC76" s="185">
        <f t="shared" si="21"/>
        <v>0</v>
      </c>
      <c r="AD76" s="185">
        <f t="shared" si="21"/>
        <v>0</v>
      </c>
      <c r="AF76" s="185">
        <f t="shared" si="21"/>
        <v>0</v>
      </c>
    </row>
    <row r="77" spans="1:32" hidden="1" x14ac:dyDescent="0.25">
      <c r="S77" s="183">
        <f>+S76+1</f>
        <v>2</v>
      </c>
      <c r="T77" s="185">
        <f t="shared" si="21"/>
        <v>0</v>
      </c>
      <c r="U77" s="185">
        <f t="shared" si="21"/>
        <v>1254000000</v>
      </c>
      <c r="V77" s="185">
        <f t="shared" si="21"/>
        <v>0</v>
      </c>
      <c r="W77" s="185">
        <f t="shared" si="21"/>
        <v>0</v>
      </c>
      <c r="X77" s="185">
        <f t="shared" si="21"/>
        <v>0</v>
      </c>
      <c r="Y77" s="185">
        <f t="shared" si="21"/>
        <v>0</v>
      </c>
      <c r="Z77" s="185">
        <f t="shared" si="21"/>
        <v>0</v>
      </c>
      <c r="AA77" s="185">
        <f t="shared" si="21"/>
        <v>0</v>
      </c>
      <c r="AB77" s="185">
        <f t="shared" si="21"/>
        <v>0</v>
      </c>
      <c r="AC77" s="185">
        <f t="shared" si="21"/>
        <v>0</v>
      </c>
      <c r="AD77" s="185">
        <f t="shared" si="21"/>
        <v>0</v>
      </c>
      <c r="AF77" s="185">
        <f t="shared" si="21"/>
        <v>0</v>
      </c>
    </row>
    <row r="78" spans="1:32" hidden="1" x14ac:dyDescent="0.25">
      <c r="S78" s="183">
        <f t="shared" ref="S78:S84" si="22">+S77+1</f>
        <v>3</v>
      </c>
      <c r="T78" s="185">
        <f t="shared" si="21"/>
        <v>0</v>
      </c>
      <c r="U78" s="185">
        <f t="shared" si="21"/>
        <v>1254000000</v>
      </c>
      <c r="V78" s="185">
        <f t="shared" si="21"/>
        <v>0</v>
      </c>
      <c r="W78" s="185">
        <f t="shared" si="21"/>
        <v>0</v>
      </c>
      <c r="X78" s="185">
        <f t="shared" si="21"/>
        <v>0</v>
      </c>
      <c r="Y78" s="185">
        <f t="shared" si="21"/>
        <v>0</v>
      </c>
      <c r="Z78" s="185">
        <f t="shared" si="21"/>
        <v>0</v>
      </c>
      <c r="AA78" s="185">
        <f t="shared" si="21"/>
        <v>0</v>
      </c>
      <c r="AB78" s="185">
        <f t="shared" si="21"/>
        <v>0</v>
      </c>
      <c r="AC78" s="185">
        <f t="shared" si="21"/>
        <v>0</v>
      </c>
      <c r="AD78" s="185">
        <f t="shared" si="21"/>
        <v>0</v>
      </c>
      <c r="AF78" s="185">
        <f t="shared" si="21"/>
        <v>0</v>
      </c>
    </row>
    <row r="79" spans="1:32" hidden="1" x14ac:dyDescent="0.25">
      <c r="S79" s="183">
        <f t="shared" si="22"/>
        <v>4</v>
      </c>
      <c r="T79" s="185">
        <f t="shared" si="21"/>
        <v>0</v>
      </c>
      <c r="U79" s="185">
        <f t="shared" si="21"/>
        <v>1254000000</v>
      </c>
      <c r="V79" s="185">
        <f t="shared" si="21"/>
        <v>0</v>
      </c>
      <c r="W79" s="185">
        <f t="shared" si="21"/>
        <v>0</v>
      </c>
      <c r="X79" s="185">
        <f t="shared" si="21"/>
        <v>0</v>
      </c>
      <c r="Y79" s="185">
        <f t="shared" si="21"/>
        <v>0</v>
      </c>
      <c r="Z79" s="185">
        <f t="shared" si="21"/>
        <v>0</v>
      </c>
      <c r="AA79" s="185">
        <f t="shared" si="21"/>
        <v>0</v>
      </c>
      <c r="AB79" s="185">
        <f t="shared" si="21"/>
        <v>0</v>
      </c>
      <c r="AC79" s="185">
        <f t="shared" si="21"/>
        <v>0</v>
      </c>
      <c r="AD79" s="185">
        <f t="shared" si="21"/>
        <v>0</v>
      </c>
      <c r="AF79" s="185">
        <f t="shared" si="21"/>
        <v>0</v>
      </c>
    </row>
    <row r="80" spans="1:32" hidden="1" x14ac:dyDescent="0.25">
      <c r="S80" s="183">
        <f t="shared" si="22"/>
        <v>5</v>
      </c>
      <c r="T80" s="185">
        <f t="shared" si="21"/>
        <v>0</v>
      </c>
      <c r="U80" s="185">
        <f t="shared" si="21"/>
        <v>0</v>
      </c>
      <c r="V80" s="185">
        <f t="shared" si="21"/>
        <v>0</v>
      </c>
      <c r="W80" s="185">
        <f t="shared" si="21"/>
        <v>0</v>
      </c>
      <c r="X80" s="185">
        <f t="shared" si="21"/>
        <v>0</v>
      </c>
      <c r="Y80" s="185">
        <f t="shared" si="21"/>
        <v>0</v>
      </c>
      <c r="Z80" s="185">
        <f t="shared" si="21"/>
        <v>0</v>
      </c>
      <c r="AA80" s="185">
        <f t="shared" si="21"/>
        <v>0</v>
      </c>
      <c r="AB80" s="185">
        <f t="shared" si="21"/>
        <v>0</v>
      </c>
      <c r="AC80" s="185">
        <f t="shared" si="21"/>
        <v>0</v>
      </c>
      <c r="AD80" s="185">
        <f t="shared" si="21"/>
        <v>0</v>
      </c>
      <c r="AF80" s="185">
        <f t="shared" si="21"/>
        <v>0</v>
      </c>
    </row>
    <row r="81" spans="16:32" hidden="1" x14ac:dyDescent="0.25">
      <c r="S81" s="183">
        <f t="shared" si="22"/>
        <v>6</v>
      </c>
      <c r="T81" s="185">
        <f t="shared" si="21"/>
        <v>0</v>
      </c>
      <c r="U81" s="185">
        <f t="shared" si="21"/>
        <v>0</v>
      </c>
      <c r="V81" s="185">
        <f t="shared" si="21"/>
        <v>0</v>
      </c>
      <c r="W81" s="185">
        <f t="shared" si="21"/>
        <v>0</v>
      </c>
      <c r="X81" s="185">
        <f t="shared" si="21"/>
        <v>0</v>
      </c>
      <c r="Y81" s="185">
        <f t="shared" si="21"/>
        <v>0</v>
      </c>
      <c r="Z81" s="185">
        <f t="shared" si="21"/>
        <v>0</v>
      </c>
      <c r="AA81" s="185">
        <f t="shared" si="21"/>
        <v>0</v>
      </c>
      <c r="AB81" s="185">
        <f t="shared" si="21"/>
        <v>0</v>
      </c>
      <c r="AC81" s="185">
        <f t="shared" si="21"/>
        <v>0</v>
      </c>
      <c r="AD81" s="185">
        <f t="shared" si="21"/>
        <v>0</v>
      </c>
      <c r="AF81" s="185">
        <f t="shared" si="21"/>
        <v>0</v>
      </c>
    </row>
    <row r="82" spans="16:32" hidden="1" x14ac:dyDescent="0.25">
      <c r="S82" s="183">
        <f t="shared" si="22"/>
        <v>7</v>
      </c>
      <c r="T82" s="185"/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F82" s="185"/>
    </row>
    <row r="83" spans="16:32" hidden="1" x14ac:dyDescent="0.25">
      <c r="S83" s="183">
        <f t="shared" si="22"/>
        <v>8</v>
      </c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F83" s="185"/>
    </row>
    <row r="84" spans="16:32" hidden="1" x14ac:dyDescent="0.25">
      <c r="S84" s="183">
        <f t="shared" si="22"/>
        <v>9</v>
      </c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F84" s="185"/>
    </row>
    <row r="85" spans="16:32" hidden="1" x14ac:dyDescent="0.25">
      <c r="S85" s="212" t="s">
        <v>19</v>
      </c>
      <c r="T85" s="225" t="e">
        <f t="shared" ref="T85:AD85" si="23">GEOMEAN(T7:T70,T76:T84)</f>
        <v>#NUM!</v>
      </c>
      <c r="U85" s="225" t="e">
        <f t="shared" si="23"/>
        <v>#NUM!</v>
      </c>
      <c r="V85" s="225" t="e">
        <f t="shared" si="23"/>
        <v>#NUM!</v>
      </c>
      <c r="W85" s="225" t="e">
        <f t="shared" si="23"/>
        <v>#NUM!</v>
      </c>
      <c r="X85" s="225" t="e">
        <f t="shared" si="23"/>
        <v>#NUM!</v>
      </c>
      <c r="Y85" s="225" t="e">
        <f t="shared" si="23"/>
        <v>#NUM!</v>
      </c>
      <c r="Z85" s="225" t="e">
        <f t="shared" si="23"/>
        <v>#NUM!</v>
      </c>
      <c r="AA85" s="225" t="e">
        <f t="shared" si="23"/>
        <v>#NUM!</v>
      </c>
      <c r="AB85" s="225" t="e">
        <f t="shared" si="23"/>
        <v>#NUM!</v>
      </c>
      <c r="AC85" s="225" t="e">
        <f t="shared" si="23"/>
        <v>#NUM!</v>
      </c>
      <c r="AD85" s="225" t="e">
        <f t="shared" si="23"/>
        <v>#NUM!</v>
      </c>
      <c r="AF85" s="225" t="e">
        <f>GEOMEAN(AF7:AF70,AF76:AF84)</f>
        <v>#NUM!</v>
      </c>
    </row>
    <row r="86" spans="16:32" hidden="1" x14ac:dyDescent="0.25"/>
    <row r="87" spans="16:32" ht="15" x14ac:dyDescent="0.25">
      <c r="P87" s="13"/>
      <c r="Q87" s="13"/>
      <c r="R87" s="13"/>
      <c r="S87" s="13"/>
      <c r="T87" s="13"/>
      <c r="U87" s="13"/>
      <c r="AF87" s="13"/>
    </row>
    <row r="88" spans="16:32" ht="15" x14ac:dyDescent="0.25">
      <c r="P88" s="13"/>
      <c r="Q88" s="13"/>
      <c r="R88" s="13"/>
      <c r="S88" s="13"/>
      <c r="T88" s="13"/>
      <c r="U88" s="13"/>
      <c r="AF88" s="13"/>
    </row>
    <row r="89" spans="16:32" ht="15" x14ac:dyDescent="0.25">
      <c r="P89" s="13"/>
      <c r="Q89" s="13"/>
      <c r="R89" s="13"/>
      <c r="S89" s="13"/>
      <c r="T89" s="13"/>
      <c r="U89" s="13"/>
      <c r="AF89" s="13"/>
    </row>
    <row r="90" spans="16:32" ht="15" x14ac:dyDescent="0.25">
      <c r="P90" s="13"/>
      <c r="Q90" s="13"/>
      <c r="R90" s="13"/>
      <c r="S90" s="13"/>
      <c r="T90" s="13"/>
      <c r="U90" s="13"/>
      <c r="AF90" s="13"/>
    </row>
    <row r="91" spans="16:32" ht="15" x14ac:dyDescent="0.25">
      <c r="P91" s="13"/>
      <c r="Q91" s="13"/>
      <c r="R91" s="13"/>
      <c r="S91" s="13"/>
      <c r="T91" s="13"/>
      <c r="U91" s="13"/>
      <c r="AF91" s="13"/>
    </row>
  </sheetData>
  <sheetProtection algorithmName="SHA-512" hashValue="St9AVGL4sVQx3ocFn8leInSA78oCHdxVmQkimtULXjEVMeTLbLLxgbp+O4totWnHIqWN9g7eGSh264+y7MfZYw==" saltValue="7i1u8W/wlyFWI54h6MOciA==" spinCount="100000" sheet="1" objects="1" scenarios="1"/>
  <mergeCells count="2">
    <mergeCell ref="E4:O4"/>
    <mergeCell ref="T4:AD4"/>
  </mergeCells>
  <pageMargins left="0.7" right="0.7" top="0.75" bottom="0.75" header="0.3" footer="0.3"/>
  <pageSetup scale="4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6"/>
  <sheetViews>
    <sheetView topLeftCell="A367" zoomScale="80" zoomScaleNormal="80" workbookViewId="0">
      <pane xSplit="1" topLeftCell="B1" activePane="topRight" state="frozen"/>
      <selection pane="topRight" activeCell="B446" sqref="B446"/>
    </sheetView>
  </sheetViews>
  <sheetFormatPr baseColWidth="10" defaultRowHeight="15" x14ac:dyDescent="0.25"/>
  <cols>
    <col min="1" max="1" width="67.28515625" style="13" customWidth="1"/>
    <col min="2" max="4" width="10.7109375" style="13" customWidth="1"/>
    <col min="5" max="12" width="11.42578125" style="13"/>
    <col min="13" max="13" width="15" style="13" bestFit="1" customWidth="1"/>
    <col min="14" max="16384" width="11.42578125" style="13"/>
  </cols>
  <sheetData>
    <row r="1" spans="1:18" s="12" customFormat="1" x14ac:dyDescent="0.25">
      <c r="A1" s="12" t="s">
        <v>142</v>
      </c>
      <c r="K1" s="13"/>
    </row>
    <row r="2" spans="1:18" x14ac:dyDescent="0.25">
      <c r="A2" s="15" t="s">
        <v>29</v>
      </c>
      <c r="B2" s="16" t="str">
        <f>+CONSOLIDADO!A7</f>
        <v>CONSORCIO DESARROLLO DEL CESAR</v>
      </c>
      <c r="C2" s="16"/>
      <c r="D2" s="16"/>
      <c r="E2" s="16"/>
      <c r="F2" s="16"/>
      <c r="G2" s="1"/>
      <c r="H2" s="539" t="s">
        <v>51</v>
      </c>
      <c r="I2" s="539"/>
      <c r="J2" s="43" t="str">
        <f>IF(J4&gt;0,"NO HABILITADO","HABILITADO")</f>
        <v>HABILITADO</v>
      </c>
    </row>
    <row r="3" spans="1:18" x14ac:dyDescent="0.25">
      <c r="A3" s="15" t="str">
        <f>+'DATOS BASE DEL GRUPO'!$A$3</f>
        <v>GRUPO 1</v>
      </c>
      <c r="B3" s="13" t="str">
        <f>+'DATOS BASE DEL GRUPO'!B3</f>
        <v>SIERRA NEVADA-PERIJÁ-ZONA BANANERA</v>
      </c>
      <c r="G3" s="1"/>
      <c r="I3" s="15" t="s">
        <v>49</v>
      </c>
      <c r="J3" s="13">
        <f>COUNTIF(K9:K26,"SI")</f>
        <v>14</v>
      </c>
    </row>
    <row r="4" spans="1:18" x14ac:dyDescent="0.25">
      <c r="A4" s="15" t="s">
        <v>32</v>
      </c>
      <c r="B4" s="17" t="str">
        <f>+CONSOLIDADO!C8</f>
        <v>TECONOLOGIAS Y CONSULTORIAS AMBIENTALES Y DE GESTIÓN S.A.S.</v>
      </c>
      <c r="C4" s="17"/>
      <c r="D4" s="17"/>
      <c r="E4" s="18"/>
      <c r="F4" s="76" t="s">
        <v>67</v>
      </c>
      <c r="G4" s="73">
        <f>+CONSOLIDADO!D8</f>
        <v>0.7</v>
      </c>
      <c r="H4" s="1"/>
      <c r="I4" s="15" t="s">
        <v>50</v>
      </c>
      <c r="J4" s="13">
        <f>COUNTIF(K9:K26,"NO")</f>
        <v>0</v>
      </c>
    </row>
    <row r="5" spans="1:18" x14ac:dyDescent="0.25">
      <c r="A5" s="15" t="s">
        <v>33</v>
      </c>
      <c r="B5" s="17" t="str">
        <f>+CONSOLIDADO!C9</f>
        <v>TECNICAS TERRITORIALES Y URBANAS SL-SUCURSAL COLOMBIA</v>
      </c>
      <c r="C5" s="17"/>
      <c r="D5" s="17"/>
      <c r="E5" s="1"/>
      <c r="F5" s="77" t="s">
        <v>67</v>
      </c>
      <c r="G5" s="73">
        <f>+CONSOLIDADO!D9</f>
        <v>0.3</v>
      </c>
      <c r="H5" s="75">
        <f>SUM(G4:G6)</f>
        <v>1</v>
      </c>
      <c r="I5" s="15" t="s">
        <v>31</v>
      </c>
      <c r="J5" s="13">
        <f>COUNTIF(K9:K26,"N/A")</f>
        <v>4</v>
      </c>
    </row>
    <row r="6" spans="1:18" x14ac:dyDescent="0.25">
      <c r="A6" s="15" t="s">
        <v>34</v>
      </c>
      <c r="B6" s="17">
        <f>+CONSOLIDADO!C10</f>
        <v>0</v>
      </c>
      <c r="C6" s="17"/>
      <c r="D6" s="17"/>
      <c r="E6" s="16"/>
      <c r="F6" s="78" t="s">
        <v>67</v>
      </c>
      <c r="G6" s="74">
        <f>+CONSOLIDADO!D10</f>
        <v>0</v>
      </c>
      <c r="H6" s="16"/>
      <c r="I6" s="16"/>
      <c r="J6" s="16"/>
    </row>
    <row r="7" spans="1:18" ht="7.5" customHeight="1" thickBot="1" x14ac:dyDescent="0.3"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8" s="14" customFormat="1" ht="22.5" customHeight="1" thickBot="1" x14ac:dyDescent="0.3">
      <c r="A8" s="25" t="s">
        <v>26</v>
      </c>
      <c r="B8" s="29" t="s">
        <v>28</v>
      </c>
      <c r="C8" s="299" t="s">
        <v>27</v>
      </c>
      <c r="D8" s="30" t="s">
        <v>31</v>
      </c>
      <c r="E8" s="543" t="s">
        <v>42</v>
      </c>
      <c r="F8" s="544"/>
      <c r="G8" s="544"/>
      <c r="H8" s="544"/>
      <c r="I8" s="544"/>
      <c r="J8" s="545"/>
      <c r="K8" s="30" t="s">
        <v>47</v>
      </c>
    </row>
    <row r="9" spans="1:18" ht="76.5" customHeight="1" thickTop="1" x14ac:dyDescent="0.25">
      <c r="A9" s="26" t="s">
        <v>162</v>
      </c>
      <c r="B9" s="31" t="s">
        <v>35</v>
      </c>
      <c r="C9" s="20"/>
      <c r="D9" s="32"/>
      <c r="E9" s="548"/>
      <c r="F9" s="549"/>
      <c r="G9" s="549"/>
      <c r="H9" s="549"/>
      <c r="I9" s="549"/>
      <c r="J9" s="550"/>
      <c r="K9" s="32" t="s">
        <v>28</v>
      </c>
    </row>
    <row r="10" spans="1:18" ht="48.75" customHeight="1" x14ac:dyDescent="0.25">
      <c r="A10" s="27" t="s">
        <v>163</v>
      </c>
      <c r="B10" s="33" t="s">
        <v>35</v>
      </c>
      <c r="C10" s="19"/>
      <c r="D10" s="34"/>
      <c r="E10" s="540"/>
      <c r="F10" s="541"/>
      <c r="G10" s="541"/>
      <c r="H10" s="541"/>
      <c r="I10" s="541"/>
      <c r="J10" s="542"/>
      <c r="K10" s="34" t="s">
        <v>28</v>
      </c>
    </row>
    <row r="11" spans="1:18" ht="60" customHeight="1" x14ac:dyDescent="0.25">
      <c r="A11" s="28" t="s">
        <v>164</v>
      </c>
      <c r="B11" s="33"/>
      <c r="C11" s="19"/>
      <c r="D11" s="34" t="s">
        <v>31</v>
      </c>
      <c r="E11" s="540"/>
      <c r="F11" s="541"/>
      <c r="G11" s="541"/>
      <c r="H11" s="541"/>
      <c r="I11" s="541"/>
      <c r="J11" s="542"/>
      <c r="K11" s="34" t="s">
        <v>31</v>
      </c>
    </row>
    <row r="12" spans="1:18" ht="34.5" customHeight="1" x14ac:dyDescent="0.25">
      <c r="A12" s="65" t="s">
        <v>105</v>
      </c>
      <c r="B12" s="61" t="s">
        <v>35</v>
      </c>
      <c r="C12" s="62"/>
      <c r="D12" s="63"/>
      <c r="E12" s="555"/>
      <c r="F12" s="556"/>
      <c r="G12" s="556"/>
      <c r="H12" s="556"/>
      <c r="I12" s="556"/>
      <c r="J12" s="557"/>
      <c r="K12" s="63" t="s">
        <v>48</v>
      </c>
      <c r="L12" s="15" t="str">
        <f>+$A$3</f>
        <v>GRUPO 1</v>
      </c>
      <c r="M12" s="304" t="s">
        <v>176</v>
      </c>
      <c r="N12" s="304" t="s">
        <v>175</v>
      </c>
      <c r="O12" s="304" t="s">
        <v>174</v>
      </c>
      <c r="P12" s="304" t="s">
        <v>173</v>
      </c>
    </row>
    <row r="13" spans="1:18" ht="45" customHeight="1" x14ac:dyDescent="0.25">
      <c r="A13" s="27" t="s">
        <v>43</v>
      </c>
      <c r="B13" s="33" t="s">
        <v>35</v>
      </c>
      <c r="C13" s="19"/>
      <c r="D13" s="34"/>
      <c r="E13" s="540"/>
      <c r="F13" s="541"/>
      <c r="G13" s="541"/>
      <c r="H13" s="541"/>
      <c r="I13" s="541"/>
      <c r="J13" s="542"/>
      <c r="K13" s="34" t="s">
        <v>48</v>
      </c>
      <c r="L13" s="15"/>
      <c r="M13" s="321">
        <f>+'DATOS BASE DEL GRUPO'!$B$4*0.1</f>
        <v>564300000</v>
      </c>
      <c r="N13" s="322">
        <f>+'DATOS BASE DEL GRUPO'!G1</f>
        <v>43090</v>
      </c>
      <c r="O13" s="323">
        <f>+P13-N13</f>
        <v>120</v>
      </c>
      <c r="P13" s="322">
        <f>+'DATOS BASE DEL GRUPO'!G2</f>
        <v>43210</v>
      </c>
    </row>
    <row r="14" spans="1:18" ht="20.100000000000001" customHeight="1" x14ac:dyDescent="0.25">
      <c r="A14" s="27" t="s">
        <v>140</v>
      </c>
      <c r="B14" s="33" t="s">
        <v>35</v>
      </c>
      <c r="C14" s="19"/>
      <c r="D14" s="34"/>
      <c r="E14" s="551"/>
      <c r="F14" s="552"/>
      <c r="G14" s="552"/>
      <c r="H14" s="552"/>
      <c r="I14" s="552"/>
      <c r="J14" s="553"/>
      <c r="K14" s="34" t="s">
        <v>48</v>
      </c>
      <c r="M14" s="554" t="s">
        <v>177</v>
      </c>
      <c r="N14" s="554"/>
      <c r="O14" s="554"/>
      <c r="P14" s="554"/>
      <c r="Q14" s="554"/>
      <c r="R14" s="554"/>
    </row>
    <row r="15" spans="1:18" ht="42.75" customHeight="1" x14ac:dyDescent="0.25">
      <c r="A15" s="37" t="s">
        <v>46</v>
      </c>
      <c r="B15" s="38"/>
      <c r="C15" s="39"/>
      <c r="D15" s="40" t="s">
        <v>35</v>
      </c>
      <c r="E15" s="41"/>
      <c r="F15" s="41"/>
      <c r="G15" s="41"/>
      <c r="H15" s="41"/>
      <c r="I15" s="41"/>
      <c r="J15" s="42"/>
      <c r="K15" s="40" t="s">
        <v>31</v>
      </c>
      <c r="M15" s="554"/>
      <c r="N15" s="554"/>
      <c r="O15" s="554"/>
      <c r="P15" s="554"/>
      <c r="Q15" s="554"/>
      <c r="R15" s="554"/>
    </row>
    <row r="16" spans="1:18" ht="46.5" customHeight="1" x14ac:dyDescent="0.25">
      <c r="A16" s="28" t="s">
        <v>45</v>
      </c>
      <c r="B16" s="33" t="s">
        <v>35</v>
      </c>
      <c r="C16" s="19"/>
      <c r="D16" s="34"/>
      <c r="E16" s="551"/>
      <c r="F16" s="552"/>
      <c r="G16" s="552"/>
      <c r="H16" s="552"/>
      <c r="I16" s="552"/>
      <c r="J16" s="553"/>
      <c r="K16" s="34" t="s">
        <v>28</v>
      </c>
    </row>
    <row r="17" spans="1:13" ht="34.5" customHeight="1" x14ac:dyDescent="0.25">
      <c r="A17" s="28" t="s">
        <v>44</v>
      </c>
      <c r="B17" s="33" t="s">
        <v>35</v>
      </c>
      <c r="C17" s="19"/>
      <c r="D17" s="34"/>
      <c r="E17" s="551"/>
      <c r="F17" s="552"/>
      <c r="G17" s="552"/>
      <c r="H17" s="552"/>
      <c r="I17" s="552"/>
      <c r="J17" s="553"/>
      <c r="K17" s="34" t="s">
        <v>28</v>
      </c>
    </row>
    <row r="18" spans="1:13" ht="31.5" customHeight="1" x14ac:dyDescent="0.25">
      <c r="A18" s="37" t="s">
        <v>30</v>
      </c>
      <c r="B18" s="38"/>
      <c r="C18" s="39"/>
      <c r="D18" s="40" t="s">
        <v>35</v>
      </c>
      <c r="E18" s="41"/>
      <c r="F18" s="41"/>
      <c r="G18" s="41"/>
      <c r="H18" s="41"/>
      <c r="I18" s="41"/>
      <c r="J18" s="42"/>
      <c r="K18" s="40" t="s">
        <v>31</v>
      </c>
    </row>
    <row r="19" spans="1:13" ht="42.75" customHeight="1" x14ac:dyDescent="0.25">
      <c r="A19" s="28" t="s">
        <v>36</v>
      </c>
      <c r="B19" s="33" t="s">
        <v>35</v>
      </c>
      <c r="C19" s="19"/>
      <c r="D19" s="34"/>
      <c r="E19" s="540"/>
      <c r="F19" s="541"/>
      <c r="G19" s="541"/>
      <c r="H19" s="541"/>
      <c r="I19" s="541"/>
      <c r="J19" s="542"/>
      <c r="K19" s="34" t="s">
        <v>28</v>
      </c>
      <c r="M19" s="13" t="s">
        <v>197</v>
      </c>
    </row>
    <row r="20" spans="1:13" ht="34.5" customHeight="1" x14ac:dyDescent="0.25">
      <c r="A20" s="37" t="s">
        <v>37</v>
      </c>
      <c r="B20" s="38"/>
      <c r="C20" s="39"/>
      <c r="D20" s="40" t="s">
        <v>35</v>
      </c>
      <c r="E20" s="41"/>
      <c r="F20" s="41"/>
      <c r="G20" s="41"/>
      <c r="H20" s="41"/>
      <c r="I20" s="41"/>
      <c r="J20" s="42"/>
      <c r="K20" s="40" t="s">
        <v>31</v>
      </c>
    </row>
    <row r="21" spans="1:13" ht="30.75" customHeight="1" x14ac:dyDescent="0.25">
      <c r="A21" s="28" t="s">
        <v>141</v>
      </c>
      <c r="B21" s="33" t="s">
        <v>35</v>
      </c>
      <c r="C21" s="19"/>
      <c r="D21" s="34"/>
      <c r="E21" s="551"/>
      <c r="F21" s="552"/>
      <c r="G21" s="552"/>
      <c r="H21" s="552"/>
      <c r="I21" s="552"/>
      <c r="J21" s="553"/>
      <c r="K21" s="34" t="s">
        <v>28</v>
      </c>
    </row>
    <row r="22" spans="1:13" ht="30.75" customHeight="1" x14ac:dyDescent="0.25">
      <c r="A22" s="28" t="s">
        <v>165</v>
      </c>
      <c r="B22" s="33" t="s">
        <v>35</v>
      </c>
      <c r="C22" s="19"/>
      <c r="D22" s="34"/>
      <c r="E22" s="551"/>
      <c r="F22" s="552"/>
      <c r="G22" s="552"/>
      <c r="H22" s="552"/>
      <c r="I22" s="552"/>
      <c r="J22" s="553"/>
      <c r="K22" s="34" t="s">
        <v>28</v>
      </c>
    </row>
    <row r="23" spans="1:13" ht="31.5" customHeight="1" x14ac:dyDescent="0.25">
      <c r="A23" s="28" t="s">
        <v>38</v>
      </c>
      <c r="B23" s="33" t="s">
        <v>35</v>
      </c>
      <c r="C23" s="19"/>
      <c r="D23" s="34"/>
      <c r="E23" s="551"/>
      <c r="F23" s="552"/>
      <c r="G23" s="552"/>
      <c r="H23" s="552"/>
      <c r="I23" s="552"/>
      <c r="J23" s="553"/>
      <c r="K23" s="34" t="s">
        <v>28</v>
      </c>
    </row>
    <row r="24" spans="1:13" ht="20.100000000000001" customHeight="1" x14ac:dyDescent="0.25">
      <c r="A24" s="27" t="s">
        <v>39</v>
      </c>
      <c r="B24" s="33" t="s">
        <v>35</v>
      </c>
      <c r="C24" s="19"/>
      <c r="D24" s="34"/>
      <c r="E24" s="551"/>
      <c r="F24" s="552"/>
      <c r="G24" s="552"/>
      <c r="H24" s="552"/>
      <c r="I24" s="552"/>
      <c r="J24" s="553"/>
      <c r="K24" s="34" t="s">
        <v>28</v>
      </c>
    </row>
    <row r="25" spans="1:13" ht="20.100000000000001" customHeight="1" x14ac:dyDescent="0.25">
      <c r="A25" s="27" t="s">
        <v>40</v>
      </c>
      <c r="B25" s="33" t="s">
        <v>35</v>
      </c>
      <c r="C25" s="19"/>
      <c r="D25" s="34"/>
      <c r="E25" s="551"/>
      <c r="F25" s="552"/>
      <c r="G25" s="552"/>
      <c r="H25" s="552"/>
      <c r="I25" s="552"/>
      <c r="J25" s="553"/>
      <c r="K25" s="34" t="s">
        <v>28</v>
      </c>
    </row>
    <row r="26" spans="1:13" ht="30.75" customHeight="1" thickBot="1" x14ac:dyDescent="0.3">
      <c r="A26" s="289" t="s">
        <v>41</v>
      </c>
      <c r="B26" s="35" t="s">
        <v>35</v>
      </c>
      <c r="C26" s="24"/>
      <c r="D26" s="36"/>
      <c r="E26" s="558"/>
      <c r="F26" s="559"/>
      <c r="G26" s="559"/>
      <c r="H26" s="559"/>
      <c r="I26" s="559"/>
      <c r="J26" s="560"/>
      <c r="K26" s="36" t="s">
        <v>28</v>
      </c>
    </row>
    <row r="28" spans="1:13" x14ac:dyDescent="0.25">
      <c r="A28" s="15" t="s">
        <v>29</v>
      </c>
      <c r="B28" s="16" t="str">
        <f>+CONSOLIDADO!A11</f>
        <v>CONSORCIO OBRAS EN PAZ</v>
      </c>
      <c r="C28" s="16"/>
      <c r="D28" s="16"/>
      <c r="E28" s="16"/>
      <c r="F28" s="16"/>
      <c r="G28" s="1"/>
      <c r="H28" s="539" t="s">
        <v>51</v>
      </c>
      <c r="I28" s="539"/>
      <c r="J28" s="43" t="str">
        <f>IF(J30&gt;0,"NO HABILITADO","HABILITADO")</f>
        <v>HABILITADO</v>
      </c>
    </row>
    <row r="29" spans="1:13" x14ac:dyDescent="0.25">
      <c r="A29" s="15" t="str">
        <f>+'DATOS BASE DEL GRUPO'!$A$3</f>
        <v>GRUPO 1</v>
      </c>
      <c r="B29" s="13" t="str">
        <f>+B3</f>
        <v>SIERRA NEVADA-PERIJÁ-ZONA BANANERA</v>
      </c>
      <c r="G29" s="1"/>
      <c r="I29" s="15" t="s">
        <v>49</v>
      </c>
      <c r="J29" s="13">
        <f>COUNTIF(K35:K52,"SI")</f>
        <v>14</v>
      </c>
    </row>
    <row r="30" spans="1:13" x14ac:dyDescent="0.25">
      <c r="A30" s="15" t="s">
        <v>32</v>
      </c>
      <c r="B30" s="17" t="str">
        <f>+CONSOLIDADO!C12</f>
        <v>CARLOS ALBERTO GONZALEZ CAMARGO</v>
      </c>
      <c r="C30" s="17"/>
      <c r="D30" s="17"/>
      <c r="E30" s="18"/>
      <c r="F30" s="76" t="s">
        <v>67</v>
      </c>
      <c r="G30" s="73">
        <f>+CONSOLIDADO!D12</f>
        <v>0.43</v>
      </c>
      <c r="H30" s="1"/>
      <c r="I30" s="15" t="s">
        <v>50</v>
      </c>
      <c r="J30" s="13">
        <f>COUNTIF(K35:K52,"NO")</f>
        <v>0</v>
      </c>
    </row>
    <row r="31" spans="1:13" x14ac:dyDescent="0.25">
      <c r="A31" s="15" t="s">
        <v>33</v>
      </c>
      <c r="B31" s="17" t="str">
        <f>+CONSOLIDADO!C13</f>
        <v>YOHAN FAHIR BERMUDEZ PARRA</v>
      </c>
      <c r="C31" s="17"/>
      <c r="D31" s="17"/>
      <c r="E31" s="1"/>
      <c r="F31" s="77" t="s">
        <v>67</v>
      </c>
      <c r="G31" s="73">
        <f>+CONSOLIDADO!D13</f>
        <v>0.2</v>
      </c>
      <c r="H31" s="75">
        <f>SUM(G30:G32)</f>
        <v>1</v>
      </c>
      <c r="I31" s="15" t="s">
        <v>31</v>
      </c>
      <c r="J31" s="13">
        <f>COUNTIF(K35:K52,"N/A")</f>
        <v>4</v>
      </c>
    </row>
    <row r="32" spans="1:13" x14ac:dyDescent="0.25">
      <c r="A32" s="15" t="s">
        <v>34</v>
      </c>
      <c r="B32" s="17" t="str">
        <f>+CONSOLIDADO!C14</f>
        <v>JUAN CARLOS ARAGON PINZON</v>
      </c>
      <c r="C32" s="17"/>
      <c r="D32" s="17"/>
      <c r="E32" s="16"/>
      <c r="F32" s="78" t="s">
        <v>67</v>
      </c>
      <c r="G32" s="74">
        <f>+CONSOLIDADO!D14</f>
        <v>0.37</v>
      </c>
      <c r="H32" s="16"/>
      <c r="I32" s="16"/>
      <c r="J32" s="16"/>
    </row>
    <row r="33" spans="1:18" ht="7.5" customHeight="1" thickBot="1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8" s="14" customFormat="1" ht="22.5" customHeight="1" thickBot="1" x14ac:dyDescent="0.3">
      <c r="A34" s="25" t="s">
        <v>26</v>
      </c>
      <c r="B34" s="29" t="s">
        <v>28</v>
      </c>
      <c r="C34" s="299" t="s">
        <v>27</v>
      </c>
      <c r="D34" s="30" t="s">
        <v>31</v>
      </c>
      <c r="E34" s="543" t="s">
        <v>42</v>
      </c>
      <c r="F34" s="544"/>
      <c r="G34" s="544"/>
      <c r="H34" s="544"/>
      <c r="I34" s="544"/>
      <c r="J34" s="545"/>
      <c r="K34" s="30" t="s">
        <v>47</v>
      </c>
    </row>
    <row r="35" spans="1:18" ht="76.5" customHeight="1" thickTop="1" x14ac:dyDescent="0.25">
      <c r="A35" s="26" t="s">
        <v>162</v>
      </c>
      <c r="B35" s="31" t="s">
        <v>35</v>
      </c>
      <c r="C35" s="20"/>
      <c r="D35" s="32"/>
      <c r="E35" s="548"/>
      <c r="F35" s="549"/>
      <c r="G35" s="549"/>
      <c r="H35" s="549"/>
      <c r="I35" s="549"/>
      <c r="J35" s="550"/>
      <c r="K35" s="32" t="s">
        <v>28</v>
      </c>
    </row>
    <row r="36" spans="1:18" ht="48.75" customHeight="1" x14ac:dyDescent="0.25">
      <c r="A36" s="27" t="s">
        <v>163</v>
      </c>
      <c r="B36" s="33" t="s">
        <v>35</v>
      </c>
      <c r="C36" s="19"/>
      <c r="D36" s="34"/>
      <c r="E36" s="540"/>
      <c r="F36" s="541"/>
      <c r="G36" s="541"/>
      <c r="H36" s="541"/>
      <c r="I36" s="541"/>
      <c r="J36" s="542"/>
      <c r="K36" s="34" t="s">
        <v>28</v>
      </c>
    </row>
    <row r="37" spans="1:18" ht="60" customHeight="1" x14ac:dyDescent="0.25">
      <c r="A37" s="28" t="s">
        <v>164</v>
      </c>
      <c r="B37" s="33"/>
      <c r="C37" s="19"/>
      <c r="D37" s="34" t="s">
        <v>31</v>
      </c>
      <c r="E37" s="540"/>
      <c r="F37" s="541"/>
      <c r="G37" s="541"/>
      <c r="H37" s="541"/>
      <c r="I37" s="541"/>
      <c r="J37" s="542"/>
      <c r="K37" s="34" t="s">
        <v>31</v>
      </c>
    </row>
    <row r="38" spans="1:18" ht="34.5" customHeight="1" x14ac:dyDescent="0.25">
      <c r="A38" s="65" t="s">
        <v>105</v>
      </c>
      <c r="B38" s="61" t="s">
        <v>35</v>
      </c>
      <c r="C38" s="62"/>
      <c r="D38" s="63"/>
      <c r="E38" s="50"/>
      <c r="F38" s="50"/>
      <c r="G38" s="50"/>
      <c r="H38" s="50"/>
      <c r="I38" s="50"/>
      <c r="J38" s="64"/>
      <c r="K38" s="63" t="s">
        <v>48</v>
      </c>
      <c r="L38" s="15" t="str">
        <f>+$A$3</f>
        <v>GRUPO 1</v>
      </c>
      <c r="M38" s="304" t="s">
        <v>176</v>
      </c>
      <c r="N38" s="304" t="s">
        <v>175</v>
      </c>
      <c r="O38" s="304" t="s">
        <v>174</v>
      </c>
      <c r="P38" s="304" t="s">
        <v>173</v>
      </c>
    </row>
    <row r="39" spans="1:18" ht="45" customHeight="1" x14ac:dyDescent="0.25">
      <c r="A39" s="27" t="s">
        <v>43</v>
      </c>
      <c r="B39" s="33" t="s">
        <v>35</v>
      </c>
      <c r="C39" s="19"/>
      <c r="D39" s="34"/>
      <c r="E39" s="540"/>
      <c r="F39" s="541"/>
      <c r="G39" s="541"/>
      <c r="H39" s="541"/>
      <c r="I39" s="541"/>
      <c r="J39" s="542"/>
      <c r="K39" s="34" t="s">
        <v>48</v>
      </c>
      <c r="L39" s="15"/>
      <c r="M39" s="321">
        <f>+'DATOS BASE DEL GRUPO'!$B$4*0.1</f>
        <v>564300000</v>
      </c>
      <c r="N39" s="322">
        <f>+$N$13</f>
        <v>43090</v>
      </c>
      <c r="O39" s="323">
        <f>+P39-N39</f>
        <v>120</v>
      </c>
      <c r="P39" s="322">
        <f>+$P$13</f>
        <v>43210</v>
      </c>
    </row>
    <row r="40" spans="1:18" ht="20.100000000000001" customHeight="1" x14ac:dyDescent="0.25">
      <c r="A40" s="27" t="s">
        <v>140</v>
      </c>
      <c r="B40" s="33" t="s">
        <v>35</v>
      </c>
      <c r="C40" s="19"/>
      <c r="D40" s="34"/>
      <c r="E40" s="17"/>
      <c r="F40" s="17"/>
      <c r="G40" s="17"/>
      <c r="H40" s="17"/>
      <c r="I40" s="17"/>
      <c r="J40" s="21"/>
      <c r="K40" s="34" t="s">
        <v>48</v>
      </c>
      <c r="M40" s="554" t="s">
        <v>177</v>
      </c>
      <c r="N40" s="554"/>
      <c r="O40" s="554"/>
      <c r="P40" s="554"/>
      <c r="Q40" s="554"/>
      <c r="R40" s="554"/>
    </row>
    <row r="41" spans="1:18" ht="42.75" customHeight="1" x14ac:dyDescent="0.25">
      <c r="A41" s="37" t="s">
        <v>46</v>
      </c>
      <c r="B41" s="38"/>
      <c r="C41" s="39"/>
      <c r="D41" s="40" t="s">
        <v>35</v>
      </c>
      <c r="E41" s="41"/>
      <c r="F41" s="41"/>
      <c r="G41" s="41"/>
      <c r="H41" s="41"/>
      <c r="I41" s="41"/>
      <c r="J41" s="42"/>
      <c r="K41" s="40" t="s">
        <v>31</v>
      </c>
      <c r="M41" s="554"/>
      <c r="N41" s="554"/>
      <c r="O41" s="554"/>
      <c r="P41" s="554"/>
      <c r="Q41" s="554"/>
      <c r="R41" s="554"/>
    </row>
    <row r="42" spans="1:18" ht="46.5" customHeight="1" x14ac:dyDescent="0.25">
      <c r="A42" s="28" t="s">
        <v>45</v>
      </c>
      <c r="B42" s="33" t="s">
        <v>35</v>
      </c>
      <c r="C42" s="19"/>
      <c r="D42" s="34"/>
      <c r="E42" s="17"/>
      <c r="F42" s="17"/>
      <c r="G42" s="17"/>
      <c r="H42" s="17"/>
      <c r="I42" s="17"/>
      <c r="J42" s="21"/>
      <c r="K42" s="34" t="s">
        <v>28</v>
      </c>
    </row>
    <row r="43" spans="1:18" ht="34.5" customHeight="1" x14ac:dyDescent="0.25">
      <c r="A43" s="28" t="s">
        <v>44</v>
      </c>
      <c r="B43" s="33" t="s">
        <v>35</v>
      </c>
      <c r="C43" s="19"/>
      <c r="D43" s="34"/>
      <c r="E43" s="17"/>
      <c r="F43" s="17"/>
      <c r="G43" s="17"/>
      <c r="H43" s="17"/>
      <c r="I43" s="17"/>
      <c r="J43" s="21"/>
      <c r="K43" s="34" t="s">
        <v>28</v>
      </c>
    </row>
    <row r="44" spans="1:18" ht="31.5" customHeight="1" x14ac:dyDescent="0.25">
      <c r="A44" s="37" t="s">
        <v>30</v>
      </c>
      <c r="B44" s="38"/>
      <c r="C44" s="39"/>
      <c r="D44" s="40" t="s">
        <v>35</v>
      </c>
      <c r="E44" s="41"/>
      <c r="F44" s="41"/>
      <c r="G44" s="41"/>
      <c r="H44" s="41"/>
      <c r="I44" s="41"/>
      <c r="J44" s="42"/>
      <c r="K44" s="40" t="s">
        <v>31</v>
      </c>
    </row>
    <row r="45" spans="1:18" ht="42.75" customHeight="1" x14ac:dyDescent="0.25">
      <c r="A45" s="28" t="s">
        <v>36</v>
      </c>
      <c r="B45" s="33" t="s">
        <v>35</v>
      </c>
      <c r="C45" s="19"/>
      <c r="D45" s="34"/>
      <c r="E45" s="540"/>
      <c r="F45" s="541"/>
      <c r="G45" s="541"/>
      <c r="H45" s="541"/>
      <c r="I45" s="541"/>
      <c r="J45" s="542"/>
      <c r="K45" s="34" t="s">
        <v>28</v>
      </c>
      <c r="M45" s="13" t="s">
        <v>197</v>
      </c>
    </row>
    <row r="46" spans="1:18" ht="34.5" customHeight="1" x14ac:dyDescent="0.25">
      <c r="A46" s="37" t="s">
        <v>37</v>
      </c>
      <c r="B46" s="38"/>
      <c r="C46" s="39"/>
      <c r="D46" s="40" t="s">
        <v>35</v>
      </c>
      <c r="E46" s="41"/>
      <c r="F46" s="41"/>
      <c r="G46" s="41"/>
      <c r="H46" s="41"/>
      <c r="I46" s="41"/>
      <c r="J46" s="42"/>
      <c r="K46" s="40" t="s">
        <v>31</v>
      </c>
    </row>
    <row r="47" spans="1:18" ht="30.75" customHeight="1" x14ac:dyDescent="0.25">
      <c r="A47" s="28" t="s">
        <v>141</v>
      </c>
      <c r="B47" s="33" t="s">
        <v>35</v>
      </c>
      <c r="C47" s="19"/>
      <c r="D47" s="34"/>
      <c r="E47" s="17"/>
      <c r="F47" s="17"/>
      <c r="G47" s="17"/>
      <c r="H47" s="17"/>
      <c r="I47" s="17"/>
      <c r="J47" s="21"/>
      <c r="K47" s="34" t="s">
        <v>28</v>
      </c>
    </row>
    <row r="48" spans="1:18" ht="30.75" customHeight="1" x14ac:dyDescent="0.25">
      <c r="A48" s="28" t="s">
        <v>165</v>
      </c>
      <c r="B48" s="33" t="s">
        <v>35</v>
      </c>
      <c r="C48" s="19"/>
      <c r="D48" s="34"/>
      <c r="E48" s="17"/>
      <c r="F48" s="17"/>
      <c r="G48" s="17"/>
      <c r="H48" s="17"/>
      <c r="I48" s="17"/>
      <c r="J48" s="21"/>
      <c r="K48" s="34" t="s">
        <v>28</v>
      </c>
    </row>
    <row r="49" spans="1:16" ht="31.5" customHeight="1" x14ac:dyDescent="0.25">
      <c r="A49" s="28" t="s">
        <v>38</v>
      </c>
      <c r="B49" s="33" t="s">
        <v>35</v>
      </c>
      <c r="C49" s="19"/>
      <c r="D49" s="34"/>
      <c r="E49" s="17"/>
      <c r="F49" s="17"/>
      <c r="G49" s="17"/>
      <c r="H49" s="17"/>
      <c r="I49" s="17"/>
      <c r="J49" s="21"/>
      <c r="K49" s="34" t="s">
        <v>28</v>
      </c>
    </row>
    <row r="50" spans="1:16" ht="20.100000000000001" customHeight="1" x14ac:dyDescent="0.25">
      <c r="A50" s="27" t="s">
        <v>39</v>
      </c>
      <c r="B50" s="33" t="s">
        <v>35</v>
      </c>
      <c r="C50" s="19"/>
      <c r="D50" s="34"/>
      <c r="E50" s="17"/>
      <c r="F50" s="17"/>
      <c r="G50" s="17"/>
      <c r="H50" s="17"/>
      <c r="I50" s="17"/>
      <c r="J50" s="21"/>
      <c r="K50" s="34" t="s">
        <v>28</v>
      </c>
    </row>
    <row r="51" spans="1:16" ht="20.100000000000001" customHeight="1" x14ac:dyDescent="0.25">
      <c r="A51" s="27" t="s">
        <v>40</v>
      </c>
      <c r="B51" s="33" t="s">
        <v>35</v>
      </c>
      <c r="C51" s="19"/>
      <c r="D51" s="34"/>
      <c r="E51" s="17"/>
      <c r="F51" s="17"/>
      <c r="G51" s="17"/>
      <c r="H51" s="17"/>
      <c r="I51" s="17"/>
      <c r="J51" s="21"/>
      <c r="K51" s="34" t="s">
        <v>28</v>
      </c>
    </row>
    <row r="52" spans="1:16" ht="30.75" customHeight="1" thickBot="1" x14ac:dyDescent="0.3">
      <c r="A52" s="289" t="s">
        <v>41</v>
      </c>
      <c r="B52" s="35" t="s">
        <v>35</v>
      </c>
      <c r="C52" s="24"/>
      <c r="D52" s="36"/>
      <c r="E52" s="22"/>
      <c r="F52" s="22"/>
      <c r="G52" s="22"/>
      <c r="H52" s="22"/>
      <c r="I52" s="22"/>
      <c r="J52" s="23"/>
      <c r="K52" s="36" t="s">
        <v>28</v>
      </c>
    </row>
    <row r="54" spans="1:16" x14ac:dyDescent="0.25">
      <c r="A54" s="15" t="s">
        <v>29</v>
      </c>
      <c r="B54" s="16" t="str">
        <f>+CONSOLIDADO!A15</f>
        <v>CONSORCIO PIC SIERRA NEVADA</v>
      </c>
      <c r="C54" s="16"/>
      <c r="D54" s="16"/>
      <c r="E54" s="16"/>
      <c r="F54" s="16"/>
      <c r="G54" s="1"/>
      <c r="H54" s="539" t="s">
        <v>51</v>
      </c>
      <c r="I54" s="539"/>
      <c r="J54" s="43" t="str">
        <f>IF(J56&gt;0,"NO HABILITADO","HABILITADO")</f>
        <v>HABILITADO</v>
      </c>
    </row>
    <row r="55" spans="1:16" x14ac:dyDescent="0.25">
      <c r="A55" s="15" t="str">
        <f>+'DATOS BASE DEL GRUPO'!$A$3</f>
        <v>GRUPO 1</v>
      </c>
      <c r="B55" s="13" t="str">
        <f>+B29</f>
        <v>SIERRA NEVADA-PERIJÁ-ZONA BANANERA</v>
      </c>
      <c r="G55" s="1"/>
      <c r="I55" s="15" t="s">
        <v>49</v>
      </c>
      <c r="J55" s="13">
        <f>COUNTIF(K61:K78,"SI")</f>
        <v>14</v>
      </c>
    </row>
    <row r="56" spans="1:16" x14ac:dyDescent="0.25">
      <c r="A56" s="15" t="s">
        <v>32</v>
      </c>
      <c r="B56" s="17" t="str">
        <f>+CONSOLIDADO!C16</f>
        <v>ALBERTO SANTOS ACOSTA</v>
      </c>
      <c r="C56" s="17"/>
      <c r="D56" s="17"/>
      <c r="E56" s="18"/>
      <c r="F56" s="76" t="s">
        <v>67</v>
      </c>
      <c r="G56" s="73">
        <f>+CONSOLIDADO!D16</f>
        <v>0.34</v>
      </c>
      <c r="H56" s="1"/>
      <c r="I56" s="15" t="s">
        <v>50</v>
      </c>
      <c r="J56" s="13">
        <f>COUNTIF(K61:K78,"NO")</f>
        <v>0</v>
      </c>
    </row>
    <row r="57" spans="1:16" x14ac:dyDescent="0.25">
      <c r="A57" s="15" t="s">
        <v>33</v>
      </c>
      <c r="B57" s="17" t="str">
        <f>+CONSOLIDADO!C17</f>
        <v>BERNARDO ENRIQUE BRAVO</v>
      </c>
      <c r="C57" s="17"/>
      <c r="D57" s="17"/>
      <c r="E57" s="1"/>
      <c r="F57" s="77" t="s">
        <v>67</v>
      </c>
      <c r="G57" s="73">
        <f>+CONSOLIDADO!D17</f>
        <v>0.33</v>
      </c>
      <c r="H57" s="75">
        <f>SUM(G56:G58)</f>
        <v>1</v>
      </c>
      <c r="I57" s="15" t="s">
        <v>31</v>
      </c>
      <c r="J57" s="13">
        <f>COUNTIF(K61:K78,"N/A")</f>
        <v>4</v>
      </c>
    </row>
    <row r="58" spans="1:16" x14ac:dyDescent="0.25">
      <c r="A58" s="15" t="s">
        <v>34</v>
      </c>
      <c r="B58" s="17" t="str">
        <f>+CONSOLIDADO!C18</f>
        <v>SOCIOAMBIENTAL CONSULTORES</v>
      </c>
      <c r="C58" s="17"/>
      <c r="D58" s="17"/>
      <c r="E58" s="16"/>
      <c r="F58" s="78" t="s">
        <v>67</v>
      </c>
      <c r="G58" s="74">
        <f>+CONSOLIDADO!D18</f>
        <v>0.33</v>
      </c>
      <c r="H58" s="16"/>
      <c r="I58" s="16"/>
      <c r="J58" s="16"/>
    </row>
    <row r="59" spans="1:16" ht="7.5" customHeight="1" thickBot="1" x14ac:dyDescent="0.3"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6" s="14" customFormat="1" ht="22.5" customHeight="1" thickBot="1" x14ac:dyDescent="0.3">
      <c r="A60" s="25" t="s">
        <v>26</v>
      </c>
      <c r="B60" s="29" t="s">
        <v>28</v>
      </c>
      <c r="C60" s="299" t="s">
        <v>27</v>
      </c>
      <c r="D60" s="30" t="s">
        <v>31</v>
      </c>
      <c r="E60" s="543" t="s">
        <v>42</v>
      </c>
      <c r="F60" s="544"/>
      <c r="G60" s="544"/>
      <c r="H60" s="544"/>
      <c r="I60" s="544"/>
      <c r="J60" s="545"/>
      <c r="K60" s="30" t="s">
        <v>47</v>
      </c>
    </row>
    <row r="61" spans="1:16" ht="76.5" customHeight="1" thickTop="1" x14ac:dyDescent="0.25">
      <c r="A61" s="26" t="s">
        <v>162</v>
      </c>
      <c r="B61" s="31" t="s">
        <v>35</v>
      </c>
      <c r="C61" s="20"/>
      <c r="D61" s="32"/>
      <c r="E61" s="548"/>
      <c r="F61" s="549"/>
      <c r="G61" s="549"/>
      <c r="H61" s="549"/>
      <c r="I61" s="549"/>
      <c r="J61" s="550"/>
      <c r="K61" s="32" t="s">
        <v>28</v>
      </c>
    </row>
    <row r="62" spans="1:16" ht="48.75" customHeight="1" x14ac:dyDescent="0.25">
      <c r="A62" s="27" t="s">
        <v>163</v>
      </c>
      <c r="B62" s="33" t="s">
        <v>35</v>
      </c>
      <c r="C62" s="19"/>
      <c r="D62" s="34"/>
      <c r="E62" s="540"/>
      <c r="F62" s="541"/>
      <c r="G62" s="541"/>
      <c r="H62" s="541"/>
      <c r="I62" s="541"/>
      <c r="J62" s="542"/>
      <c r="K62" s="34" t="s">
        <v>28</v>
      </c>
    </row>
    <row r="63" spans="1:16" ht="60" customHeight="1" x14ac:dyDescent="0.25">
      <c r="A63" s="28" t="s">
        <v>164</v>
      </c>
      <c r="B63" s="33"/>
      <c r="C63" s="19"/>
      <c r="D63" s="34" t="s">
        <v>31</v>
      </c>
      <c r="E63" s="540"/>
      <c r="F63" s="541"/>
      <c r="G63" s="541"/>
      <c r="H63" s="541"/>
      <c r="I63" s="541"/>
      <c r="J63" s="542"/>
      <c r="K63" s="34" t="s">
        <v>31</v>
      </c>
    </row>
    <row r="64" spans="1:16" ht="34.5" customHeight="1" x14ac:dyDescent="0.25">
      <c r="A64" s="65" t="s">
        <v>105</v>
      </c>
      <c r="B64" s="61" t="s">
        <v>35</v>
      </c>
      <c r="C64" s="62"/>
      <c r="D64" s="63"/>
      <c r="E64" s="50"/>
      <c r="F64" s="50"/>
      <c r="G64" s="50"/>
      <c r="H64" s="50"/>
      <c r="I64" s="50"/>
      <c r="J64" s="64"/>
      <c r="K64" s="63" t="s">
        <v>48</v>
      </c>
      <c r="L64" s="15" t="str">
        <f>+$A$3</f>
        <v>GRUPO 1</v>
      </c>
      <c r="M64" s="304" t="s">
        <v>176</v>
      </c>
      <c r="N64" s="304" t="s">
        <v>175</v>
      </c>
      <c r="O64" s="304" t="s">
        <v>174</v>
      </c>
      <c r="P64" s="304" t="s">
        <v>173</v>
      </c>
    </row>
    <row r="65" spans="1:18" ht="45" customHeight="1" x14ac:dyDescent="0.25">
      <c r="A65" s="27" t="s">
        <v>43</v>
      </c>
      <c r="B65" s="33" t="s">
        <v>35</v>
      </c>
      <c r="C65" s="19"/>
      <c r="D65" s="34"/>
      <c r="E65" s="540"/>
      <c r="F65" s="541"/>
      <c r="G65" s="541"/>
      <c r="H65" s="541"/>
      <c r="I65" s="541"/>
      <c r="J65" s="542"/>
      <c r="K65" s="34" t="s">
        <v>48</v>
      </c>
      <c r="L65" s="15"/>
      <c r="M65" s="321">
        <f>+'DATOS BASE DEL GRUPO'!$B$4*0.1</f>
        <v>564300000</v>
      </c>
      <c r="N65" s="322">
        <f>+$N$13</f>
        <v>43090</v>
      </c>
      <c r="O65" s="323">
        <f>+P65-N65</f>
        <v>120</v>
      </c>
      <c r="P65" s="322">
        <f>+$P$13</f>
        <v>43210</v>
      </c>
    </row>
    <row r="66" spans="1:18" ht="20.100000000000001" customHeight="1" x14ac:dyDescent="0.25">
      <c r="A66" s="27" t="s">
        <v>140</v>
      </c>
      <c r="B66" s="33" t="s">
        <v>35</v>
      </c>
      <c r="C66" s="19"/>
      <c r="D66" s="34"/>
      <c r="E66" s="17"/>
      <c r="F66" s="17"/>
      <c r="G66" s="17"/>
      <c r="H66" s="17"/>
      <c r="I66" s="17"/>
      <c r="J66" s="21"/>
      <c r="K66" s="34" t="s">
        <v>48</v>
      </c>
      <c r="M66" s="554" t="s">
        <v>177</v>
      </c>
      <c r="N66" s="554"/>
      <c r="O66" s="554"/>
      <c r="P66" s="554"/>
      <c r="Q66" s="554"/>
      <c r="R66" s="554"/>
    </row>
    <row r="67" spans="1:18" ht="42.75" customHeight="1" x14ac:dyDescent="0.25">
      <c r="A67" s="37" t="s">
        <v>46</v>
      </c>
      <c r="B67" s="38"/>
      <c r="C67" s="39"/>
      <c r="D67" s="40" t="s">
        <v>35</v>
      </c>
      <c r="E67" s="41"/>
      <c r="F67" s="41"/>
      <c r="G67" s="41"/>
      <c r="H67" s="41"/>
      <c r="I67" s="41"/>
      <c r="J67" s="42"/>
      <c r="K67" s="40" t="s">
        <v>31</v>
      </c>
      <c r="M67" s="554"/>
      <c r="N67" s="554"/>
      <c r="O67" s="554"/>
      <c r="P67" s="554"/>
      <c r="Q67" s="554"/>
      <c r="R67" s="554"/>
    </row>
    <row r="68" spans="1:18" ht="46.5" customHeight="1" x14ac:dyDescent="0.25">
      <c r="A68" s="28" t="s">
        <v>45</v>
      </c>
      <c r="B68" s="33" t="s">
        <v>35</v>
      </c>
      <c r="C68" s="19"/>
      <c r="D68" s="34"/>
      <c r="E68" s="17"/>
      <c r="F68" s="17"/>
      <c r="G68" s="17"/>
      <c r="H68" s="17"/>
      <c r="I68" s="17"/>
      <c r="J68" s="21"/>
      <c r="K68" s="34" t="s">
        <v>28</v>
      </c>
    </row>
    <row r="69" spans="1:18" ht="34.5" customHeight="1" x14ac:dyDescent="0.25">
      <c r="A69" s="28" t="s">
        <v>44</v>
      </c>
      <c r="B69" s="33" t="s">
        <v>35</v>
      </c>
      <c r="C69" s="19"/>
      <c r="D69" s="34"/>
      <c r="E69" s="17"/>
      <c r="F69" s="17"/>
      <c r="G69" s="17"/>
      <c r="H69" s="17"/>
      <c r="I69" s="17"/>
      <c r="J69" s="21"/>
      <c r="K69" s="34" t="s">
        <v>28</v>
      </c>
    </row>
    <row r="70" spans="1:18" ht="31.5" customHeight="1" x14ac:dyDescent="0.25">
      <c r="A70" s="37" t="s">
        <v>30</v>
      </c>
      <c r="B70" s="38"/>
      <c r="C70" s="39"/>
      <c r="D70" s="40" t="s">
        <v>35</v>
      </c>
      <c r="E70" s="41"/>
      <c r="F70" s="41"/>
      <c r="G70" s="41"/>
      <c r="H70" s="41"/>
      <c r="I70" s="41"/>
      <c r="J70" s="42"/>
      <c r="K70" s="40" t="s">
        <v>31</v>
      </c>
    </row>
    <row r="71" spans="1:18" ht="42.75" customHeight="1" x14ac:dyDescent="0.25">
      <c r="A71" s="28" t="s">
        <v>36</v>
      </c>
      <c r="B71" s="33" t="s">
        <v>35</v>
      </c>
      <c r="C71" s="19"/>
      <c r="D71" s="34"/>
      <c r="E71" s="540"/>
      <c r="F71" s="541"/>
      <c r="G71" s="541"/>
      <c r="H71" s="541"/>
      <c r="I71" s="541"/>
      <c r="J71" s="542"/>
      <c r="K71" s="34" t="s">
        <v>28</v>
      </c>
      <c r="M71" s="13" t="s">
        <v>197</v>
      </c>
    </row>
    <row r="72" spans="1:18" ht="34.5" customHeight="1" x14ac:dyDescent="0.25">
      <c r="A72" s="37" t="s">
        <v>37</v>
      </c>
      <c r="B72" s="38"/>
      <c r="C72" s="39"/>
      <c r="D72" s="40" t="s">
        <v>35</v>
      </c>
      <c r="E72" s="41"/>
      <c r="F72" s="41"/>
      <c r="G72" s="41"/>
      <c r="H72" s="41"/>
      <c r="I72" s="41"/>
      <c r="J72" s="42"/>
      <c r="K72" s="40" t="s">
        <v>31</v>
      </c>
    </row>
    <row r="73" spans="1:18" ht="30.75" customHeight="1" x14ac:dyDescent="0.25">
      <c r="A73" s="28" t="s">
        <v>141</v>
      </c>
      <c r="B73" s="33" t="s">
        <v>35</v>
      </c>
      <c r="C73" s="19"/>
      <c r="D73" s="34"/>
      <c r="E73" s="17"/>
      <c r="F73" s="17"/>
      <c r="G73" s="17"/>
      <c r="H73" s="17"/>
      <c r="I73" s="17"/>
      <c r="J73" s="21"/>
      <c r="K73" s="34" t="s">
        <v>28</v>
      </c>
    </row>
    <row r="74" spans="1:18" ht="30.75" customHeight="1" x14ac:dyDescent="0.25">
      <c r="A74" s="28" t="s">
        <v>165</v>
      </c>
      <c r="B74" s="33" t="s">
        <v>35</v>
      </c>
      <c r="C74" s="19"/>
      <c r="D74" s="34"/>
      <c r="E74" s="17"/>
      <c r="F74" s="17"/>
      <c r="G74" s="17"/>
      <c r="H74" s="17"/>
      <c r="I74" s="17"/>
      <c r="J74" s="21"/>
      <c r="K74" s="34" t="s">
        <v>28</v>
      </c>
    </row>
    <row r="75" spans="1:18" ht="31.5" customHeight="1" x14ac:dyDescent="0.25">
      <c r="A75" s="28" t="s">
        <v>38</v>
      </c>
      <c r="B75" s="33" t="s">
        <v>35</v>
      </c>
      <c r="C75" s="19"/>
      <c r="D75" s="34"/>
      <c r="E75" s="17"/>
      <c r="F75" s="17"/>
      <c r="G75" s="17"/>
      <c r="H75" s="17"/>
      <c r="I75" s="17"/>
      <c r="J75" s="21"/>
      <c r="K75" s="34" t="s">
        <v>28</v>
      </c>
    </row>
    <row r="76" spans="1:18" ht="20.100000000000001" customHeight="1" x14ac:dyDescent="0.25">
      <c r="A76" s="27" t="s">
        <v>39</v>
      </c>
      <c r="B76" s="33" t="s">
        <v>35</v>
      </c>
      <c r="C76" s="19"/>
      <c r="D76" s="34"/>
      <c r="E76" s="17"/>
      <c r="F76" s="17"/>
      <c r="G76" s="17"/>
      <c r="H76" s="17"/>
      <c r="I76" s="17"/>
      <c r="J76" s="21"/>
      <c r="K76" s="34" t="s">
        <v>28</v>
      </c>
    </row>
    <row r="77" spans="1:18" ht="20.100000000000001" customHeight="1" x14ac:dyDescent="0.25">
      <c r="A77" s="27" t="s">
        <v>40</v>
      </c>
      <c r="B77" s="33" t="s">
        <v>35</v>
      </c>
      <c r="C77" s="19"/>
      <c r="D77" s="34"/>
      <c r="E77" s="17"/>
      <c r="F77" s="17"/>
      <c r="G77" s="17"/>
      <c r="H77" s="17"/>
      <c r="I77" s="17"/>
      <c r="J77" s="21"/>
      <c r="K77" s="34" t="s">
        <v>28</v>
      </c>
    </row>
    <row r="78" spans="1:18" ht="30.75" customHeight="1" thickBot="1" x14ac:dyDescent="0.3">
      <c r="A78" s="289" t="s">
        <v>41</v>
      </c>
      <c r="B78" s="35" t="s">
        <v>35</v>
      </c>
      <c r="C78" s="24"/>
      <c r="D78" s="36"/>
      <c r="E78" s="22"/>
      <c r="F78" s="22"/>
      <c r="G78" s="22"/>
      <c r="H78" s="22"/>
      <c r="I78" s="22"/>
      <c r="J78" s="23"/>
      <c r="K78" s="36" t="s">
        <v>28</v>
      </c>
    </row>
    <row r="80" spans="1:18" x14ac:dyDescent="0.25">
      <c r="A80" s="15" t="s">
        <v>29</v>
      </c>
      <c r="B80" s="16" t="str">
        <f>+CONSOLIDADO!A19</f>
        <v>CONSORCIO LV PERIJÁ</v>
      </c>
      <c r="C80" s="16"/>
      <c r="D80" s="16"/>
      <c r="E80" s="16"/>
      <c r="F80" s="16"/>
      <c r="G80" s="1"/>
      <c r="H80" s="539" t="s">
        <v>51</v>
      </c>
      <c r="I80" s="539"/>
      <c r="J80" s="43" t="str">
        <f>IF(J82&gt;0,"NO HABILITADO","HABILITADO")</f>
        <v>HABILITADO</v>
      </c>
    </row>
    <row r="81" spans="1:18" x14ac:dyDescent="0.25">
      <c r="A81" s="15" t="str">
        <f>+'DATOS BASE DEL GRUPO'!$A$3</f>
        <v>GRUPO 1</v>
      </c>
      <c r="B81" s="13" t="str">
        <f>+B55</f>
        <v>SIERRA NEVADA-PERIJÁ-ZONA BANANERA</v>
      </c>
      <c r="G81" s="1"/>
      <c r="I81" s="15" t="s">
        <v>49</v>
      </c>
      <c r="J81" s="13">
        <f>COUNTIF(K87:K104,"SI")</f>
        <v>14</v>
      </c>
    </row>
    <row r="82" spans="1:18" x14ac:dyDescent="0.25">
      <c r="A82" s="15" t="s">
        <v>32</v>
      </c>
      <c r="B82" s="17" t="str">
        <f>+CONSOLIDADO!C20</f>
        <v>JAVIER ARTURO LEÓN HERAZO</v>
      </c>
      <c r="C82" s="17"/>
      <c r="D82" s="17"/>
      <c r="E82" s="18"/>
      <c r="F82" s="76" t="s">
        <v>67</v>
      </c>
      <c r="G82" s="73">
        <f>+CONSOLIDADO!D20</f>
        <v>0.35</v>
      </c>
      <c r="H82" s="1"/>
      <c r="I82" s="15" t="s">
        <v>50</v>
      </c>
      <c r="J82" s="13">
        <f>COUNTIF(K87:K104,"NO")</f>
        <v>0</v>
      </c>
    </row>
    <row r="83" spans="1:18" x14ac:dyDescent="0.25">
      <c r="A83" s="15" t="s">
        <v>33</v>
      </c>
      <c r="B83" s="17" t="str">
        <f>+CONSOLIDADO!C21</f>
        <v>GERMÁN VILLANUEVA CALDERÓN</v>
      </c>
      <c r="C83" s="17"/>
      <c r="D83" s="17"/>
      <c r="E83" s="1"/>
      <c r="F83" s="77" t="s">
        <v>67</v>
      </c>
      <c r="G83" s="73">
        <f>+CONSOLIDADO!D21</f>
        <v>0.35</v>
      </c>
      <c r="H83" s="75">
        <f>SUM(G82:G84)</f>
        <v>1</v>
      </c>
      <c r="I83" s="15" t="s">
        <v>31</v>
      </c>
      <c r="J83" s="13">
        <f>COUNTIF(K87:K104,"N/A")</f>
        <v>4</v>
      </c>
    </row>
    <row r="84" spans="1:18" x14ac:dyDescent="0.25">
      <c r="A84" s="15" t="s">
        <v>34</v>
      </c>
      <c r="B84" s="17" t="str">
        <f>+CONSOLIDADO!C22</f>
        <v>FRANCISCO RAMÓN RÍOS DANIES</v>
      </c>
      <c r="C84" s="17"/>
      <c r="D84" s="17"/>
      <c r="E84" s="16"/>
      <c r="F84" s="78" t="s">
        <v>67</v>
      </c>
      <c r="G84" s="74">
        <f>+CONSOLIDADO!D22</f>
        <v>0.3</v>
      </c>
      <c r="H84" s="16"/>
      <c r="I84" s="16"/>
      <c r="J84" s="16"/>
    </row>
    <row r="85" spans="1:18" ht="7.5" customHeight="1" thickBot="1" x14ac:dyDescent="0.3"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8" s="14" customFormat="1" ht="22.5" customHeight="1" thickBot="1" x14ac:dyDescent="0.3">
      <c r="A86" s="25" t="s">
        <v>26</v>
      </c>
      <c r="B86" s="29" t="s">
        <v>28</v>
      </c>
      <c r="C86" s="299" t="s">
        <v>27</v>
      </c>
      <c r="D86" s="30" t="s">
        <v>31</v>
      </c>
      <c r="E86" s="543" t="s">
        <v>42</v>
      </c>
      <c r="F86" s="544"/>
      <c r="G86" s="544"/>
      <c r="H86" s="544"/>
      <c r="I86" s="544"/>
      <c r="J86" s="545"/>
      <c r="K86" s="30" t="s">
        <v>47</v>
      </c>
    </row>
    <row r="87" spans="1:18" ht="76.5" customHeight="1" thickTop="1" x14ac:dyDescent="0.25">
      <c r="A87" s="26" t="s">
        <v>162</v>
      </c>
      <c r="B87" s="31" t="s">
        <v>35</v>
      </c>
      <c r="C87" s="20"/>
      <c r="D87" s="32"/>
      <c r="E87" s="548"/>
      <c r="F87" s="549"/>
      <c r="G87" s="549"/>
      <c r="H87" s="549"/>
      <c r="I87" s="549"/>
      <c r="J87" s="550"/>
      <c r="K87" s="32" t="s">
        <v>28</v>
      </c>
    </row>
    <row r="88" spans="1:18" ht="48.75" customHeight="1" x14ac:dyDescent="0.25">
      <c r="A88" s="27" t="s">
        <v>163</v>
      </c>
      <c r="B88" s="33" t="s">
        <v>35</v>
      </c>
      <c r="C88" s="19"/>
      <c r="D88" s="34"/>
      <c r="E88" s="540"/>
      <c r="F88" s="541"/>
      <c r="G88" s="541"/>
      <c r="H88" s="541"/>
      <c r="I88" s="541"/>
      <c r="J88" s="542"/>
      <c r="K88" s="34" t="s">
        <v>28</v>
      </c>
    </row>
    <row r="89" spans="1:18" ht="60" customHeight="1" x14ac:dyDescent="0.25">
      <c r="A89" s="28" t="s">
        <v>164</v>
      </c>
      <c r="B89" s="33"/>
      <c r="C89" s="19"/>
      <c r="D89" s="34" t="s">
        <v>31</v>
      </c>
      <c r="E89" s="540"/>
      <c r="F89" s="541"/>
      <c r="G89" s="541"/>
      <c r="H89" s="541"/>
      <c r="I89" s="541"/>
      <c r="J89" s="542"/>
      <c r="K89" s="34" t="s">
        <v>31</v>
      </c>
    </row>
    <row r="90" spans="1:18" ht="34.5" customHeight="1" x14ac:dyDescent="0.25">
      <c r="A90" s="65" t="s">
        <v>105</v>
      </c>
      <c r="B90" s="61" t="s">
        <v>35</v>
      </c>
      <c r="C90" s="62"/>
      <c r="D90" s="63"/>
      <c r="E90" s="50"/>
      <c r="F90" s="50"/>
      <c r="G90" s="50"/>
      <c r="H90" s="50"/>
      <c r="I90" s="50"/>
      <c r="J90" s="64"/>
      <c r="K90" s="63" t="s">
        <v>48</v>
      </c>
      <c r="L90" s="15" t="str">
        <f>+$A$3</f>
        <v>GRUPO 1</v>
      </c>
      <c r="M90" s="304" t="s">
        <v>176</v>
      </c>
      <c r="N90" s="304" t="s">
        <v>175</v>
      </c>
      <c r="O90" s="304" t="s">
        <v>174</v>
      </c>
      <c r="P90" s="304" t="s">
        <v>173</v>
      </c>
    </row>
    <row r="91" spans="1:18" ht="45" customHeight="1" x14ac:dyDescent="0.25">
      <c r="A91" s="27" t="s">
        <v>43</v>
      </c>
      <c r="B91" s="33" t="s">
        <v>35</v>
      </c>
      <c r="C91" s="19"/>
      <c r="D91" s="34"/>
      <c r="E91" s="540"/>
      <c r="F91" s="541"/>
      <c r="G91" s="541"/>
      <c r="H91" s="541"/>
      <c r="I91" s="541"/>
      <c r="J91" s="542"/>
      <c r="K91" s="34" t="s">
        <v>48</v>
      </c>
      <c r="L91" s="15"/>
      <c r="M91" s="321">
        <f>+'DATOS BASE DEL GRUPO'!$B$4*0.1</f>
        <v>564300000</v>
      </c>
      <c r="N91" s="322">
        <f>+$N$13</f>
        <v>43090</v>
      </c>
      <c r="O91" s="323">
        <f>+P91-N91</f>
        <v>120</v>
      </c>
      <c r="P91" s="322">
        <f>+$P$13</f>
        <v>43210</v>
      </c>
    </row>
    <row r="92" spans="1:18" ht="20.100000000000001" customHeight="1" x14ac:dyDescent="0.25">
      <c r="A92" s="27" t="s">
        <v>140</v>
      </c>
      <c r="B92" s="33" t="s">
        <v>35</v>
      </c>
      <c r="C92" s="19"/>
      <c r="D92" s="34"/>
      <c r="E92" s="17"/>
      <c r="F92" s="17"/>
      <c r="G92" s="17"/>
      <c r="H92" s="17"/>
      <c r="I92" s="17"/>
      <c r="J92" s="21"/>
      <c r="K92" s="34" t="s">
        <v>48</v>
      </c>
      <c r="M92" s="554" t="s">
        <v>177</v>
      </c>
      <c r="N92" s="554"/>
      <c r="O92" s="554"/>
      <c r="P92" s="554"/>
      <c r="Q92" s="554"/>
      <c r="R92" s="554"/>
    </row>
    <row r="93" spans="1:18" ht="42.75" customHeight="1" x14ac:dyDescent="0.25">
      <c r="A93" s="37" t="s">
        <v>46</v>
      </c>
      <c r="B93" s="38"/>
      <c r="C93" s="39"/>
      <c r="D93" s="40" t="s">
        <v>35</v>
      </c>
      <c r="E93" s="41"/>
      <c r="F93" s="41"/>
      <c r="G93" s="41"/>
      <c r="H93" s="41"/>
      <c r="I93" s="41"/>
      <c r="J93" s="42"/>
      <c r="K93" s="40" t="s">
        <v>31</v>
      </c>
      <c r="M93" s="554"/>
      <c r="N93" s="554"/>
      <c r="O93" s="554"/>
      <c r="P93" s="554"/>
      <c r="Q93" s="554"/>
      <c r="R93" s="554"/>
    </row>
    <row r="94" spans="1:18" ht="46.5" customHeight="1" x14ac:dyDescent="0.25">
      <c r="A94" s="28" t="s">
        <v>45</v>
      </c>
      <c r="B94" s="33" t="s">
        <v>35</v>
      </c>
      <c r="C94" s="19"/>
      <c r="D94" s="34"/>
      <c r="E94" s="17"/>
      <c r="F94" s="17"/>
      <c r="G94" s="17"/>
      <c r="H94" s="17"/>
      <c r="I94" s="17"/>
      <c r="J94" s="21"/>
      <c r="K94" s="34" t="s">
        <v>28</v>
      </c>
    </row>
    <row r="95" spans="1:18" ht="34.5" customHeight="1" x14ac:dyDescent="0.25">
      <c r="A95" s="28" t="s">
        <v>44</v>
      </c>
      <c r="B95" s="33" t="s">
        <v>35</v>
      </c>
      <c r="C95" s="19"/>
      <c r="D95" s="34"/>
      <c r="E95" s="17"/>
      <c r="F95" s="17"/>
      <c r="G95" s="17"/>
      <c r="H95" s="17"/>
      <c r="I95" s="17"/>
      <c r="J95" s="21"/>
      <c r="K95" s="34" t="s">
        <v>28</v>
      </c>
    </row>
    <row r="96" spans="1:18" ht="31.5" customHeight="1" x14ac:dyDescent="0.25">
      <c r="A96" s="37" t="s">
        <v>30</v>
      </c>
      <c r="B96" s="38"/>
      <c r="C96" s="39"/>
      <c r="D96" s="40" t="s">
        <v>35</v>
      </c>
      <c r="E96" s="41"/>
      <c r="F96" s="41"/>
      <c r="G96" s="41"/>
      <c r="H96" s="41"/>
      <c r="I96" s="41"/>
      <c r="J96" s="42"/>
      <c r="K96" s="40" t="s">
        <v>31</v>
      </c>
    </row>
    <row r="97" spans="1:13" ht="42.75" customHeight="1" x14ac:dyDescent="0.25">
      <c r="A97" s="28" t="s">
        <v>36</v>
      </c>
      <c r="B97" s="33" t="s">
        <v>35</v>
      </c>
      <c r="C97" s="19"/>
      <c r="D97" s="34"/>
      <c r="E97" s="540"/>
      <c r="F97" s="541"/>
      <c r="G97" s="541"/>
      <c r="H97" s="541"/>
      <c r="I97" s="541"/>
      <c r="J97" s="542"/>
      <c r="K97" s="34" t="s">
        <v>28</v>
      </c>
      <c r="M97" s="13" t="s">
        <v>197</v>
      </c>
    </row>
    <row r="98" spans="1:13" ht="34.5" customHeight="1" x14ac:dyDescent="0.25">
      <c r="A98" s="37" t="s">
        <v>37</v>
      </c>
      <c r="B98" s="38"/>
      <c r="C98" s="39"/>
      <c r="D98" s="40" t="s">
        <v>35</v>
      </c>
      <c r="E98" s="41"/>
      <c r="F98" s="41"/>
      <c r="G98" s="41"/>
      <c r="H98" s="41"/>
      <c r="I98" s="41"/>
      <c r="J98" s="42"/>
      <c r="K98" s="40" t="s">
        <v>31</v>
      </c>
    </row>
    <row r="99" spans="1:13" ht="30.75" customHeight="1" x14ac:dyDescent="0.25">
      <c r="A99" s="28" t="s">
        <v>141</v>
      </c>
      <c r="B99" s="33" t="s">
        <v>35</v>
      </c>
      <c r="C99" s="19"/>
      <c r="D99" s="34"/>
      <c r="E99" s="17"/>
      <c r="F99" s="17"/>
      <c r="G99" s="17"/>
      <c r="H99" s="17"/>
      <c r="I99" s="17"/>
      <c r="J99" s="21"/>
      <c r="K99" s="34" t="s">
        <v>28</v>
      </c>
    </row>
    <row r="100" spans="1:13" ht="30.75" customHeight="1" x14ac:dyDescent="0.25">
      <c r="A100" s="28" t="s">
        <v>165</v>
      </c>
      <c r="B100" s="33" t="s">
        <v>35</v>
      </c>
      <c r="C100" s="19"/>
      <c r="D100" s="34"/>
      <c r="E100" s="17"/>
      <c r="F100" s="17"/>
      <c r="G100" s="17"/>
      <c r="H100" s="17"/>
      <c r="I100" s="17"/>
      <c r="J100" s="21"/>
      <c r="K100" s="34" t="s">
        <v>28</v>
      </c>
    </row>
    <row r="101" spans="1:13" ht="31.5" customHeight="1" x14ac:dyDescent="0.25">
      <c r="A101" s="28" t="s">
        <v>38</v>
      </c>
      <c r="B101" s="33" t="s">
        <v>35</v>
      </c>
      <c r="C101" s="19"/>
      <c r="D101" s="34"/>
      <c r="E101" s="17"/>
      <c r="F101" s="17"/>
      <c r="G101" s="17"/>
      <c r="H101" s="17"/>
      <c r="I101" s="17"/>
      <c r="J101" s="21"/>
      <c r="K101" s="34" t="s">
        <v>28</v>
      </c>
    </row>
    <row r="102" spans="1:13" ht="20.100000000000001" customHeight="1" x14ac:dyDescent="0.25">
      <c r="A102" s="27" t="s">
        <v>39</v>
      </c>
      <c r="B102" s="33" t="s">
        <v>35</v>
      </c>
      <c r="C102" s="19"/>
      <c r="D102" s="34"/>
      <c r="E102" s="17"/>
      <c r="F102" s="17"/>
      <c r="G102" s="17"/>
      <c r="H102" s="17"/>
      <c r="I102" s="17"/>
      <c r="J102" s="21"/>
      <c r="K102" s="34" t="s">
        <v>28</v>
      </c>
    </row>
    <row r="103" spans="1:13" ht="20.100000000000001" customHeight="1" x14ac:dyDescent="0.25">
      <c r="A103" s="27" t="s">
        <v>40</v>
      </c>
      <c r="B103" s="33" t="s">
        <v>35</v>
      </c>
      <c r="C103" s="19"/>
      <c r="D103" s="34"/>
      <c r="E103" s="17"/>
      <c r="F103" s="17"/>
      <c r="G103" s="17"/>
      <c r="H103" s="17"/>
      <c r="I103" s="17"/>
      <c r="J103" s="21"/>
      <c r="K103" s="34" t="s">
        <v>28</v>
      </c>
    </row>
    <row r="104" spans="1:13" ht="30.75" customHeight="1" thickBot="1" x14ac:dyDescent="0.3">
      <c r="A104" s="289" t="s">
        <v>41</v>
      </c>
      <c r="B104" s="35" t="s">
        <v>35</v>
      </c>
      <c r="C104" s="24"/>
      <c r="D104" s="36"/>
      <c r="E104" s="22"/>
      <c r="F104" s="22"/>
      <c r="G104" s="22"/>
      <c r="H104" s="22"/>
      <c r="I104" s="22"/>
      <c r="J104" s="23"/>
      <c r="K104" s="36" t="s">
        <v>28</v>
      </c>
    </row>
    <row r="106" spans="1:13" x14ac:dyDescent="0.25">
      <c r="A106" s="15" t="s">
        <v>29</v>
      </c>
      <c r="B106" s="16" t="str">
        <f>+CONSOLIDADO!A23</f>
        <v>UNION TEMPORAL PERIJA 2017</v>
      </c>
      <c r="C106" s="16"/>
      <c r="D106" s="16"/>
      <c r="E106" s="16"/>
      <c r="F106" s="16"/>
      <c r="G106" s="1"/>
      <c r="H106" s="539" t="s">
        <v>51</v>
      </c>
      <c r="I106" s="539"/>
      <c r="J106" s="43" t="str">
        <f>IF(J108&gt;0,"NO HABILITADO","HABILITADO")</f>
        <v>HABILITADO</v>
      </c>
    </row>
    <row r="107" spans="1:13" x14ac:dyDescent="0.25">
      <c r="A107" s="15" t="str">
        <f>+'DATOS BASE DEL GRUPO'!$A$3</f>
        <v>GRUPO 1</v>
      </c>
      <c r="B107" s="13" t="str">
        <f>+$B$81</f>
        <v>SIERRA NEVADA-PERIJÁ-ZONA BANANERA</v>
      </c>
      <c r="G107" s="1"/>
      <c r="I107" s="15" t="s">
        <v>49</v>
      </c>
      <c r="J107" s="13">
        <f>COUNTIF(K113:K130,"SI")</f>
        <v>14</v>
      </c>
    </row>
    <row r="108" spans="1:13" x14ac:dyDescent="0.25">
      <c r="A108" s="15" t="s">
        <v>32</v>
      </c>
      <c r="B108" s="17" t="str">
        <f>+CONSOLIDADO!C24</f>
        <v>HENRY ARISMENDY GOMEZ</v>
      </c>
      <c r="C108" s="17"/>
      <c r="D108" s="17"/>
      <c r="E108" s="18"/>
      <c r="F108" s="76" t="s">
        <v>67</v>
      </c>
      <c r="G108" s="73">
        <f>+CONSOLIDADO!D24</f>
        <v>0.2</v>
      </c>
      <c r="H108" s="1"/>
      <c r="I108" s="15" t="s">
        <v>50</v>
      </c>
      <c r="J108" s="13">
        <f>COUNTIF(K113:K130,"NO")</f>
        <v>0</v>
      </c>
    </row>
    <row r="109" spans="1:13" x14ac:dyDescent="0.25">
      <c r="A109" s="15" t="s">
        <v>33</v>
      </c>
      <c r="B109" s="17" t="str">
        <f>+CONSOLIDADO!C25</f>
        <v>JAIME BRUGUES MORENO</v>
      </c>
      <c r="C109" s="17"/>
      <c r="D109" s="17"/>
      <c r="E109" s="1"/>
      <c r="F109" s="77" t="s">
        <v>67</v>
      </c>
      <c r="G109" s="73">
        <f>+CONSOLIDADO!D25</f>
        <v>0.4</v>
      </c>
      <c r="H109" s="75">
        <f>SUM(G108:G110)</f>
        <v>1</v>
      </c>
      <c r="I109" s="15" t="s">
        <v>31</v>
      </c>
      <c r="J109" s="13">
        <f>COUNTIF(K113:K130,"N/A")</f>
        <v>4</v>
      </c>
    </row>
    <row r="110" spans="1:13" x14ac:dyDescent="0.25">
      <c r="A110" s="15" t="s">
        <v>34</v>
      </c>
      <c r="B110" s="17" t="str">
        <f>+CONSOLIDADO!C26</f>
        <v>MACDANIEL LTDA</v>
      </c>
      <c r="C110" s="17"/>
      <c r="D110" s="17"/>
      <c r="E110" s="16"/>
      <c r="F110" s="78" t="s">
        <v>67</v>
      </c>
      <c r="G110" s="73">
        <f>+CONSOLIDADO!D26</f>
        <v>0.4</v>
      </c>
      <c r="H110" s="16"/>
      <c r="I110" s="16"/>
      <c r="J110" s="16"/>
    </row>
    <row r="111" spans="1:13" ht="7.5" customHeight="1" thickBot="1" x14ac:dyDescent="0.3"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3" s="14" customFormat="1" ht="15.75" thickBot="1" x14ac:dyDescent="0.3">
      <c r="A112" s="25" t="s">
        <v>26</v>
      </c>
      <c r="B112" s="29" t="s">
        <v>28</v>
      </c>
      <c r="C112" s="299" t="s">
        <v>27</v>
      </c>
      <c r="D112" s="30" t="s">
        <v>31</v>
      </c>
      <c r="E112" s="543" t="s">
        <v>42</v>
      </c>
      <c r="F112" s="544"/>
      <c r="G112" s="544"/>
      <c r="H112" s="544"/>
      <c r="I112" s="544"/>
      <c r="J112" s="545"/>
      <c r="K112" s="30" t="s">
        <v>47</v>
      </c>
    </row>
    <row r="113" spans="1:18" ht="76.5" customHeight="1" thickTop="1" x14ac:dyDescent="0.25">
      <c r="A113" s="26" t="s">
        <v>162</v>
      </c>
      <c r="B113" s="31" t="s">
        <v>35</v>
      </c>
      <c r="C113" s="20"/>
      <c r="D113" s="32"/>
      <c r="E113" s="548"/>
      <c r="F113" s="549"/>
      <c r="G113" s="549"/>
      <c r="H113" s="549"/>
      <c r="I113" s="549"/>
      <c r="J113" s="550"/>
      <c r="K113" s="32" t="s">
        <v>28</v>
      </c>
    </row>
    <row r="114" spans="1:18" ht="48.75" customHeight="1" x14ac:dyDescent="0.25">
      <c r="A114" s="27" t="s">
        <v>163</v>
      </c>
      <c r="B114" s="33" t="s">
        <v>35</v>
      </c>
      <c r="C114" s="19"/>
      <c r="D114" s="34"/>
      <c r="E114" s="540"/>
      <c r="F114" s="541"/>
      <c r="G114" s="541"/>
      <c r="H114" s="541"/>
      <c r="I114" s="541"/>
      <c r="J114" s="542"/>
      <c r="K114" s="34" t="s">
        <v>28</v>
      </c>
    </row>
    <row r="115" spans="1:18" ht="60" customHeight="1" x14ac:dyDescent="0.25">
      <c r="A115" s="28" t="s">
        <v>164</v>
      </c>
      <c r="B115" s="33"/>
      <c r="C115" s="19"/>
      <c r="D115" s="34" t="s">
        <v>31</v>
      </c>
      <c r="E115" s="540"/>
      <c r="F115" s="541"/>
      <c r="G115" s="541"/>
      <c r="H115" s="541"/>
      <c r="I115" s="541"/>
      <c r="J115" s="542"/>
      <c r="K115" s="34" t="s">
        <v>31</v>
      </c>
    </row>
    <row r="116" spans="1:18" ht="34.5" customHeight="1" x14ac:dyDescent="0.25">
      <c r="A116" s="65" t="s">
        <v>105</v>
      </c>
      <c r="B116" s="61" t="s">
        <v>35</v>
      </c>
      <c r="C116" s="62"/>
      <c r="D116" s="63"/>
      <c r="E116" s="50"/>
      <c r="F116" s="50"/>
      <c r="G116" s="50"/>
      <c r="H116" s="50"/>
      <c r="I116" s="50"/>
      <c r="J116" s="64"/>
      <c r="K116" s="63" t="s">
        <v>48</v>
      </c>
      <c r="L116" s="15" t="str">
        <f>+$A$3</f>
        <v>GRUPO 1</v>
      </c>
      <c r="M116" s="304" t="s">
        <v>176</v>
      </c>
      <c r="N116" s="304" t="s">
        <v>175</v>
      </c>
      <c r="O116" s="304" t="s">
        <v>174</v>
      </c>
      <c r="P116" s="304" t="s">
        <v>173</v>
      </c>
    </row>
    <row r="117" spans="1:18" ht="45" customHeight="1" x14ac:dyDescent="0.25">
      <c r="A117" s="27" t="s">
        <v>43</v>
      </c>
      <c r="B117" s="33" t="s">
        <v>35</v>
      </c>
      <c r="C117" s="19"/>
      <c r="D117" s="34"/>
      <c r="E117" s="540"/>
      <c r="F117" s="541"/>
      <c r="G117" s="541"/>
      <c r="H117" s="541"/>
      <c r="I117" s="541"/>
      <c r="J117" s="542"/>
      <c r="K117" s="34" t="s">
        <v>48</v>
      </c>
      <c r="L117" s="15"/>
      <c r="M117" s="321">
        <f>+'DATOS BASE DEL GRUPO'!$B$4*0.1</f>
        <v>564300000</v>
      </c>
      <c r="N117" s="322">
        <f>+$N$13</f>
        <v>43090</v>
      </c>
      <c r="O117" s="323">
        <f>+P117-N117</f>
        <v>120</v>
      </c>
      <c r="P117" s="322">
        <f>+$P$13</f>
        <v>43210</v>
      </c>
    </row>
    <row r="118" spans="1:18" ht="20.100000000000001" customHeight="1" x14ac:dyDescent="0.25">
      <c r="A118" s="27" t="s">
        <v>140</v>
      </c>
      <c r="B118" s="33" t="s">
        <v>35</v>
      </c>
      <c r="C118" s="19"/>
      <c r="D118" s="34"/>
      <c r="E118" s="17"/>
      <c r="F118" s="17"/>
      <c r="G118" s="17"/>
      <c r="H118" s="17"/>
      <c r="I118" s="17"/>
      <c r="J118" s="21"/>
      <c r="K118" s="34" t="s">
        <v>48</v>
      </c>
      <c r="M118" s="554" t="s">
        <v>177</v>
      </c>
      <c r="N118" s="554"/>
      <c r="O118" s="554"/>
      <c r="P118" s="554"/>
      <c r="Q118" s="554"/>
      <c r="R118" s="554"/>
    </row>
    <row r="119" spans="1:18" ht="42.75" customHeight="1" x14ac:dyDescent="0.25">
      <c r="A119" s="37" t="s">
        <v>46</v>
      </c>
      <c r="B119" s="38"/>
      <c r="C119" s="39"/>
      <c r="D119" s="40" t="s">
        <v>35</v>
      </c>
      <c r="E119" s="41"/>
      <c r="F119" s="41"/>
      <c r="G119" s="41"/>
      <c r="H119" s="41"/>
      <c r="I119" s="41"/>
      <c r="J119" s="42"/>
      <c r="K119" s="40" t="s">
        <v>31</v>
      </c>
      <c r="M119" s="554"/>
      <c r="N119" s="554"/>
      <c r="O119" s="554"/>
      <c r="P119" s="554"/>
      <c r="Q119" s="554"/>
      <c r="R119" s="554"/>
    </row>
    <row r="120" spans="1:18" ht="46.5" customHeight="1" x14ac:dyDescent="0.25">
      <c r="A120" s="28" t="s">
        <v>45</v>
      </c>
      <c r="B120" s="33" t="s">
        <v>35</v>
      </c>
      <c r="C120" s="19"/>
      <c r="D120" s="34"/>
      <c r="E120" s="17"/>
      <c r="F120" s="17"/>
      <c r="G120" s="17"/>
      <c r="H120" s="17"/>
      <c r="I120" s="17"/>
      <c r="J120" s="21"/>
      <c r="K120" s="34" t="s">
        <v>28</v>
      </c>
    </row>
    <row r="121" spans="1:18" ht="34.5" customHeight="1" x14ac:dyDescent="0.25">
      <c r="A121" s="28" t="s">
        <v>44</v>
      </c>
      <c r="B121" s="33" t="s">
        <v>35</v>
      </c>
      <c r="C121" s="19"/>
      <c r="D121" s="34"/>
      <c r="E121" s="17"/>
      <c r="F121" s="17"/>
      <c r="G121" s="17"/>
      <c r="H121" s="17"/>
      <c r="I121" s="17"/>
      <c r="J121" s="21"/>
      <c r="K121" s="34" t="s">
        <v>28</v>
      </c>
    </row>
    <row r="122" spans="1:18" ht="31.5" customHeight="1" x14ac:dyDescent="0.25">
      <c r="A122" s="37" t="s">
        <v>30</v>
      </c>
      <c r="B122" s="38"/>
      <c r="C122" s="39"/>
      <c r="D122" s="40" t="s">
        <v>35</v>
      </c>
      <c r="E122" s="41"/>
      <c r="F122" s="41"/>
      <c r="G122" s="41"/>
      <c r="H122" s="41"/>
      <c r="I122" s="41"/>
      <c r="J122" s="42"/>
      <c r="K122" s="40" t="s">
        <v>31</v>
      </c>
    </row>
    <row r="123" spans="1:18" ht="42.75" customHeight="1" x14ac:dyDescent="0.25">
      <c r="A123" s="28" t="s">
        <v>36</v>
      </c>
      <c r="B123" s="33" t="s">
        <v>35</v>
      </c>
      <c r="C123" s="19"/>
      <c r="D123" s="34"/>
      <c r="E123" s="540"/>
      <c r="F123" s="541"/>
      <c r="G123" s="541"/>
      <c r="H123" s="541"/>
      <c r="I123" s="541"/>
      <c r="J123" s="542"/>
      <c r="K123" s="34" t="s">
        <v>28</v>
      </c>
      <c r="M123" s="13" t="s">
        <v>197</v>
      </c>
    </row>
    <row r="124" spans="1:18" ht="34.5" customHeight="1" x14ac:dyDescent="0.25">
      <c r="A124" s="37" t="s">
        <v>37</v>
      </c>
      <c r="B124" s="38"/>
      <c r="C124" s="39"/>
      <c r="D124" s="40" t="s">
        <v>35</v>
      </c>
      <c r="E124" s="41"/>
      <c r="F124" s="41"/>
      <c r="G124" s="41"/>
      <c r="H124" s="41"/>
      <c r="I124" s="41"/>
      <c r="J124" s="42"/>
      <c r="K124" s="40" t="s">
        <v>31</v>
      </c>
    </row>
    <row r="125" spans="1:18" ht="30.75" customHeight="1" x14ac:dyDescent="0.25">
      <c r="A125" s="28" t="s">
        <v>141</v>
      </c>
      <c r="B125" s="33" t="s">
        <v>35</v>
      </c>
      <c r="C125" s="19"/>
      <c r="D125" s="34"/>
      <c r="E125" s="17"/>
      <c r="F125" s="17"/>
      <c r="G125" s="17"/>
      <c r="H125" s="17"/>
      <c r="I125" s="17"/>
      <c r="J125" s="21"/>
      <c r="K125" s="34" t="s">
        <v>28</v>
      </c>
    </row>
    <row r="126" spans="1:18" ht="30.75" customHeight="1" x14ac:dyDescent="0.25">
      <c r="A126" s="28" t="s">
        <v>165</v>
      </c>
      <c r="B126" s="33" t="s">
        <v>35</v>
      </c>
      <c r="C126" s="19"/>
      <c r="D126" s="34"/>
      <c r="E126" s="17"/>
      <c r="F126" s="17"/>
      <c r="G126" s="17"/>
      <c r="H126" s="17"/>
      <c r="I126" s="17"/>
      <c r="J126" s="21"/>
      <c r="K126" s="34" t="s">
        <v>28</v>
      </c>
    </row>
    <row r="127" spans="1:18" ht="31.5" customHeight="1" x14ac:dyDescent="0.25">
      <c r="A127" s="28" t="s">
        <v>38</v>
      </c>
      <c r="B127" s="33" t="s">
        <v>35</v>
      </c>
      <c r="C127" s="19"/>
      <c r="D127" s="34"/>
      <c r="E127" s="17"/>
      <c r="F127" s="17"/>
      <c r="G127" s="17"/>
      <c r="H127" s="17"/>
      <c r="I127" s="17"/>
      <c r="J127" s="21"/>
      <c r="K127" s="34" t="s">
        <v>28</v>
      </c>
    </row>
    <row r="128" spans="1:18" ht="20.100000000000001" customHeight="1" x14ac:dyDescent="0.25">
      <c r="A128" s="27" t="s">
        <v>39</v>
      </c>
      <c r="B128" s="33" t="s">
        <v>35</v>
      </c>
      <c r="C128" s="19"/>
      <c r="D128" s="34"/>
      <c r="E128" s="17"/>
      <c r="F128" s="17"/>
      <c r="G128" s="17"/>
      <c r="H128" s="17"/>
      <c r="I128" s="17"/>
      <c r="J128" s="21"/>
      <c r="K128" s="34" t="s">
        <v>28</v>
      </c>
    </row>
    <row r="129" spans="1:16" ht="20.100000000000001" customHeight="1" x14ac:dyDescent="0.25">
      <c r="A129" s="27" t="s">
        <v>40</v>
      </c>
      <c r="B129" s="33" t="s">
        <v>35</v>
      </c>
      <c r="C129" s="19"/>
      <c r="D129" s="34"/>
      <c r="E129" s="17"/>
      <c r="F129" s="17"/>
      <c r="G129" s="17"/>
      <c r="H129" s="17"/>
      <c r="I129" s="17"/>
      <c r="J129" s="21"/>
      <c r="K129" s="34" t="s">
        <v>28</v>
      </c>
    </row>
    <row r="130" spans="1:16" ht="30.75" customHeight="1" thickBot="1" x14ac:dyDescent="0.3">
      <c r="A130" s="289" t="s">
        <v>41</v>
      </c>
      <c r="B130" s="35" t="s">
        <v>35</v>
      </c>
      <c r="C130" s="24"/>
      <c r="D130" s="36"/>
      <c r="E130" s="22"/>
      <c r="F130" s="22"/>
      <c r="G130" s="22"/>
      <c r="H130" s="22"/>
      <c r="I130" s="22"/>
      <c r="J130" s="23"/>
      <c r="K130" s="36" t="s">
        <v>28</v>
      </c>
    </row>
    <row r="131" spans="1:16" ht="30.75" customHeight="1" x14ac:dyDescent="0.25">
      <c r="A131" s="464"/>
      <c r="B131" s="465"/>
      <c r="C131" s="465"/>
      <c r="D131" s="465"/>
      <c r="E131" s="1"/>
      <c r="F131" s="1"/>
      <c r="G131" s="1"/>
      <c r="H131" s="1"/>
      <c r="I131" s="1"/>
      <c r="J131" s="1"/>
      <c r="K131" s="465"/>
    </row>
    <row r="133" spans="1:16" x14ac:dyDescent="0.25">
      <c r="A133" s="15" t="s">
        <v>29</v>
      </c>
      <c r="B133" s="16" t="str">
        <f>+CONSOLIDADO!A27</f>
        <v>UNIÓN TEMPORAL OBRAS RENACER</v>
      </c>
      <c r="C133" s="16"/>
      <c r="D133" s="16"/>
      <c r="E133" s="16"/>
      <c r="F133" s="16"/>
      <c r="G133" s="1"/>
      <c r="H133" s="539" t="s">
        <v>51</v>
      </c>
      <c r="I133" s="539"/>
      <c r="J133" s="43" t="str">
        <f>IF(J135&gt;0,"NO HABILITADO","HABILITADO")</f>
        <v>HABILITADO</v>
      </c>
    </row>
    <row r="134" spans="1:16" x14ac:dyDescent="0.25">
      <c r="A134" s="15" t="str">
        <f>+'DATOS BASE DEL GRUPO'!$A$3</f>
        <v>GRUPO 1</v>
      </c>
      <c r="B134" s="13" t="str">
        <f>+$B$81</f>
        <v>SIERRA NEVADA-PERIJÁ-ZONA BANANERA</v>
      </c>
      <c r="G134" s="1"/>
      <c r="I134" s="15" t="s">
        <v>49</v>
      </c>
      <c r="J134" s="13">
        <f>COUNTIF(K140:K157,"SI")</f>
        <v>14</v>
      </c>
    </row>
    <row r="135" spans="1:16" x14ac:dyDescent="0.25">
      <c r="A135" s="15" t="s">
        <v>32</v>
      </c>
      <c r="B135" s="17" t="str">
        <f>+CONSOLIDADO!C28</f>
        <v>JOSE FERNANDO ANGULO</v>
      </c>
      <c r="C135" s="17"/>
      <c r="D135" s="17"/>
      <c r="E135" s="18"/>
      <c r="F135" s="76" t="s">
        <v>67</v>
      </c>
      <c r="G135" s="73">
        <f>+CONSOLIDADO!D28</f>
        <v>0.48</v>
      </c>
      <c r="H135" s="1"/>
      <c r="I135" s="15" t="s">
        <v>50</v>
      </c>
      <c r="J135" s="13">
        <f>COUNTIF(K140:K157,"NO")</f>
        <v>0</v>
      </c>
    </row>
    <row r="136" spans="1:16" x14ac:dyDescent="0.25">
      <c r="A136" s="15" t="s">
        <v>33</v>
      </c>
      <c r="B136" s="17" t="str">
        <f>+CONSOLIDADO!C29</f>
        <v>ORLANDO SEPULVEDA</v>
      </c>
      <c r="C136" s="17"/>
      <c r="D136" s="17"/>
      <c r="E136" s="1"/>
      <c r="F136" s="77" t="s">
        <v>67</v>
      </c>
      <c r="G136" s="73">
        <f>+CONSOLIDADO!D29</f>
        <v>0.48</v>
      </c>
      <c r="H136" s="75">
        <f>SUM(G135:G137)</f>
        <v>1</v>
      </c>
      <c r="I136" s="15" t="s">
        <v>31</v>
      </c>
      <c r="J136" s="13">
        <f>COUNTIF(K140:K157,"N/A")</f>
        <v>4</v>
      </c>
    </row>
    <row r="137" spans="1:16" x14ac:dyDescent="0.25">
      <c r="A137" s="15" t="s">
        <v>34</v>
      </c>
      <c r="B137" s="17" t="str">
        <f>+CONSOLIDADO!C30</f>
        <v>CORPORACIÓN COLOMBIA CRECE</v>
      </c>
      <c r="C137" s="17"/>
      <c r="D137" s="17"/>
      <c r="E137" s="16"/>
      <c r="F137" s="78" t="s">
        <v>67</v>
      </c>
      <c r="G137" s="73">
        <f>+CONSOLIDADO!D30</f>
        <v>0.04</v>
      </c>
      <c r="H137" s="16"/>
      <c r="I137" s="16"/>
      <c r="J137" s="16"/>
    </row>
    <row r="138" spans="1:16" ht="7.5" customHeight="1" thickBot="1" x14ac:dyDescent="0.3"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6" s="14" customFormat="1" ht="15.75" thickBot="1" x14ac:dyDescent="0.3">
      <c r="A139" s="25" t="s">
        <v>26</v>
      </c>
      <c r="B139" s="29" t="s">
        <v>28</v>
      </c>
      <c r="C139" s="458" t="s">
        <v>27</v>
      </c>
      <c r="D139" s="30" t="s">
        <v>31</v>
      </c>
      <c r="E139" s="543" t="s">
        <v>42</v>
      </c>
      <c r="F139" s="544"/>
      <c r="G139" s="544"/>
      <c r="H139" s="544"/>
      <c r="I139" s="544"/>
      <c r="J139" s="545"/>
      <c r="K139" s="30" t="s">
        <v>47</v>
      </c>
    </row>
    <row r="140" spans="1:16" ht="76.5" customHeight="1" thickTop="1" x14ac:dyDescent="0.25">
      <c r="A140" s="26" t="s">
        <v>162</v>
      </c>
      <c r="B140" s="31" t="s">
        <v>35</v>
      </c>
      <c r="C140" s="20"/>
      <c r="D140" s="32"/>
      <c r="E140" s="548"/>
      <c r="F140" s="549"/>
      <c r="G140" s="549"/>
      <c r="H140" s="549"/>
      <c r="I140" s="549"/>
      <c r="J140" s="550"/>
      <c r="K140" s="32" t="s">
        <v>28</v>
      </c>
    </row>
    <row r="141" spans="1:16" ht="48.75" customHeight="1" x14ac:dyDescent="0.25">
      <c r="A141" s="27" t="s">
        <v>163</v>
      </c>
      <c r="B141" s="33" t="s">
        <v>35</v>
      </c>
      <c r="C141" s="19"/>
      <c r="D141" s="34"/>
      <c r="E141" s="540"/>
      <c r="F141" s="541"/>
      <c r="G141" s="541"/>
      <c r="H141" s="541"/>
      <c r="I141" s="541"/>
      <c r="J141" s="542"/>
      <c r="K141" s="34" t="s">
        <v>28</v>
      </c>
    </row>
    <row r="142" spans="1:16" ht="60" customHeight="1" x14ac:dyDescent="0.25">
      <c r="A142" s="28" t="s">
        <v>164</v>
      </c>
      <c r="B142" s="33"/>
      <c r="C142" s="19"/>
      <c r="D142" s="34" t="s">
        <v>31</v>
      </c>
      <c r="E142" s="540"/>
      <c r="F142" s="541"/>
      <c r="G142" s="541"/>
      <c r="H142" s="541"/>
      <c r="I142" s="541"/>
      <c r="J142" s="542"/>
      <c r="K142" s="34" t="s">
        <v>31</v>
      </c>
    </row>
    <row r="143" spans="1:16" ht="34.5" customHeight="1" x14ac:dyDescent="0.25">
      <c r="A143" s="65" t="s">
        <v>105</v>
      </c>
      <c r="B143" s="61" t="s">
        <v>35</v>
      </c>
      <c r="C143" s="62"/>
      <c r="D143" s="63"/>
      <c r="E143" s="50"/>
      <c r="F143" s="50"/>
      <c r="G143" s="50"/>
      <c r="H143" s="50"/>
      <c r="I143" s="50"/>
      <c r="J143" s="64"/>
      <c r="K143" s="63" t="s">
        <v>48</v>
      </c>
      <c r="L143" s="15" t="str">
        <f>+$A$3</f>
        <v>GRUPO 1</v>
      </c>
      <c r="M143" s="304" t="s">
        <v>176</v>
      </c>
      <c r="N143" s="304" t="s">
        <v>175</v>
      </c>
      <c r="O143" s="304" t="s">
        <v>174</v>
      </c>
      <c r="P143" s="304" t="s">
        <v>173</v>
      </c>
    </row>
    <row r="144" spans="1:16" ht="45" customHeight="1" x14ac:dyDescent="0.25">
      <c r="A144" s="27" t="s">
        <v>43</v>
      </c>
      <c r="B144" s="33" t="s">
        <v>35</v>
      </c>
      <c r="C144" s="19"/>
      <c r="D144" s="34"/>
      <c r="E144" s="540"/>
      <c r="F144" s="541"/>
      <c r="G144" s="541"/>
      <c r="H144" s="541"/>
      <c r="I144" s="541"/>
      <c r="J144" s="542"/>
      <c r="K144" s="34" t="s">
        <v>48</v>
      </c>
      <c r="L144" s="15"/>
      <c r="M144" s="321">
        <f>+'DATOS BASE DEL GRUPO'!$B$4*0.1</f>
        <v>564300000</v>
      </c>
      <c r="N144" s="322">
        <f>+$N$13</f>
        <v>43090</v>
      </c>
      <c r="O144" s="323">
        <f>+P144-N144</f>
        <v>120</v>
      </c>
      <c r="P144" s="322">
        <f>+$P$13</f>
        <v>43210</v>
      </c>
    </row>
    <row r="145" spans="1:18" ht="20.100000000000001" customHeight="1" x14ac:dyDescent="0.25">
      <c r="A145" s="27" t="s">
        <v>140</v>
      </c>
      <c r="B145" s="33" t="s">
        <v>35</v>
      </c>
      <c r="C145" s="19"/>
      <c r="D145" s="34"/>
      <c r="E145" s="17"/>
      <c r="F145" s="17"/>
      <c r="G145" s="17"/>
      <c r="H145" s="17"/>
      <c r="I145" s="17"/>
      <c r="J145" s="21"/>
      <c r="K145" s="34" t="s">
        <v>48</v>
      </c>
      <c r="M145" s="554" t="s">
        <v>177</v>
      </c>
      <c r="N145" s="554"/>
      <c r="O145" s="554"/>
      <c r="P145" s="554"/>
      <c r="Q145" s="554"/>
      <c r="R145" s="554"/>
    </row>
    <row r="146" spans="1:18" ht="42.75" customHeight="1" x14ac:dyDescent="0.25">
      <c r="A146" s="37" t="s">
        <v>46</v>
      </c>
      <c r="B146" s="38"/>
      <c r="C146" s="39"/>
      <c r="D146" s="40" t="s">
        <v>35</v>
      </c>
      <c r="E146" s="41"/>
      <c r="F146" s="41"/>
      <c r="G146" s="41"/>
      <c r="H146" s="41"/>
      <c r="I146" s="41"/>
      <c r="J146" s="42"/>
      <c r="K146" s="40" t="s">
        <v>31</v>
      </c>
      <c r="M146" s="554"/>
      <c r="N146" s="554"/>
      <c r="O146" s="554"/>
      <c r="P146" s="554"/>
      <c r="Q146" s="554"/>
      <c r="R146" s="554"/>
    </row>
    <row r="147" spans="1:18" ht="46.5" customHeight="1" x14ac:dyDescent="0.25">
      <c r="A147" s="28" t="s">
        <v>45</v>
      </c>
      <c r="B147" s="33" t="s">
        <v>35</v>
      </c>
      <c r="C147" s="19"/>
      <c r="D147" s="34"/>
      <c r="E147" s="17"/>
      <c r="F147" s="17"/>
      <c r="G147" s="17"/>
      <c r="H147" s="17"/>
      <c r="I147" s="17"/>
      <c r="J147" s="21"/>
      <c r="K147" s="34" t="s">
        <v>28</v>
      </c>
    </row>
    <row r="148" spans="1:18" ht="34.5" customHeight="1" x14ac:dyDescent="0.25">
      <c r="A148" s="28" t="s">
        <v>44</v>
      </c>
      <c r="B148" s="33" t="s">
        <v>35</v>
      </c>
      <c r="C148" s="19"/>
      <c r="D148" s="34"/>
      <c r="E148" s="17"/>
      <c r="F148" s="17"/>
      <c r="G148" s="17"/>
      <c r="H148" s="17"/>
      <c r="I148" s="17"/>
      <c r="J148" s="21"/>
      <c r="K148" s="34" t="s">
        <v>28</v>
      </c>
    </row>
    <row r="149" spans="1:18" ht="31.5" customHeight="1" x14ac:dyDescent="0.25">
      <c r="A149" s="37" t="s">
        <v>30</v>
      </c>
      <c r="B149" s="38"/>
      <c r="C149" s="39"/>
      <c r="D149" s="40" t="s">
        <v>35</v>
      </c>
      <c r="E149" s="41"/>
      <c r="F149" s="41"/>
      <c r="G149" s="41"/>
      <c r="H149" s="41"/>
      <c r="I149" s="41"/>
      <c r="J149" s="42"/>
      <c r="K149" s="40" t="s">
        <v>31</v>
      </c>
    </row>
    <row r="150" spans="1:18" ht="42.75" customHeight="1" x14ac:dyDescent="0.25">
      <c r="A150" s="28" t="s">
        <v>36</v>
      </c>
      <c r="B150" s="33" t="s">
        <v>35</v>
      </c>
      <c r="C150" s="19"/>
      <c r="D150" s="34"/>
      <c r="E150" s="540"/>
      <c r="F150" s="541"/>
      <c r="G150" s="541"/>
      <c r="H150" s="541"/>
      <c r="I150" s="541"/>
      <c r="J150" s="542"/>
      <c r="K150" s="34" t="s">
        <v>28</v>
      </c>
      <c r="M150" s="13" t="s">
        <v>197</v>
      </c>
    </row>
    <row r="151" spans="1:18" ht="34.5" customHeight="1" x14ac:dyDescent="0.25">
      <c r="A151" s="37" t="s">
        <v>37</v>
      </c>
      <c r="B151" s="38"/>
      <c r="C151" s="39"/>
      <c r="D151" s="40" t="s">
        <v>35</v>
      </c>
      <c r="E151" s="41"/>
      <c r="F151" s="41"/>
      <c r="G151" s="41"/>
      <c r="H151" s="41"/>
      <c r="I151" s="41"/>
      <c r="J151" s="42"/>
      <c r="K151" s="40" t="s">
        <v>31</v>
      </c>
    </row>
    <row r="152" spans="1:18" ht="30.75" customHeight="1" x14ac:dyDescent="0.25">
      <c r="A152" s="28" t="s">
        <v>141</v>
      </c>
      <c r="B152" s="33" t="s">
        <v>35</v>
      </c>
      <c r="C152" s="19"/>
      <c r="D152" s="34"/>
      <c r="E152" s="17"/>
      <c r="F152" s="17"/>
      <c r="G152" s="17"/>
      <c r="H152" s="17"/>
      <c r="I152" s="17"/>
      <c r="J152" s="21"/>
      <c r="K152" s="34" t="s">
        <v>28</v>
      </c>
    </row>
    <row r="153" spans="1:18" ht="30.75" customHeight="1" x14ac:dyDescent="0.25">
      <c r="A153" s="28" t="s">
        <v>165</v>
      </c>
      <c r="B153" s="33" t="s">
        <v>35</v>
      </c>
      <c r="C153" s="19"/>
      <c r="D153" s="34"/>
      <c r="E153" s="17"/>
      <c r="F153" s="17"/>
      <c r="G153" s="17"/>
      <c r="H153" s="17"/>
      <c r="I153" s="17"/>
      <c r="J153" s="21"/>
      <c r="K153" s="34" t="s">
        <v>28</v>
      </c>
    </row>
    <row r="154" spans="1:18" ht="31.5" customHeight="1" x14ac:dyDescent="0.25">
      <c r="A154" s="28" t="s">
        <v>38</v>
      </c>
      <c r="B154" s="33" t="s">
        <v>35</v>
      </c>
      <c r="C154" s="19"/>
      <c r="D154" s="34"/>
      <c r="E154" s="17"/>
      <c r="F154" s="17"/>
      <c r="G154" s="17"/>
      <c r="H154" s="17"/>
      <c r="I154" s="17"/>
      <c r="J154" s="21"/>
      <c r="K154" s="34" t="s">
        <v>28</v>
      </c>
    </row>
    <row r="155" spans="1:18" ht="20.100000000000001" customHeight="1" x14ac:dyDescent="0.25">
      <c r="A155" s="27" t="s">
        <v>39</v>
      </c>
      <c r="B155" s="33" t="s">
        <v>35</v>
      </c>
      <c r="C155" s="19"/>
      <c r="D155" s="34"/>
      <c r="E155" s="17"/>
      <c r="F155" s="17"/>
      <c r="G155" s="17"/>
      <c r="H155" s="17"/>
      <c r="I155" s="17"/>
      <c r="J155" s="21"/>
      <c r="K155" s="34" t="s">
        <v>28</v>
      </c>
    </row>
    <row r="156" spans="1:18" ht="20.100000000000001" customHeight="1" x14ac:dyDescent="0.25">
      <c r="A156" s="27" t="s">
        <v>40</v>
      </c>
      <c r="B156" s="33" t="s">
        <v>35</v>
      </c>
      <c r="C156" s="19"/>
      <c r="D156" s="34"/>
      <c r="E156" s="17"/>
      <c r="F156" s="17"/>
      <c r="G156" s="17"/>
      <c r="H156" s="17"/>
      <c r="I156" s="17"/>
      <c r="J156" s="21"/>
      <c r="K156" s="34" t="s">
        <v>28</v>
      </c>
    </row>
    <row r="157" spans="1:18" ht="30.75" customHeight="1" thickBot="1" x14ac:dyDescent="0.3">
      <c r="A157" s="289" t="s">
        <v>41</v>
      </c>
      <c r="B157" s="35" t="s">
        <v>35</v>
      </c>
      <c r="C157" s="24"/>
      <c r="D157" s="36"/>
      <c r="E157" s="22"/>
      <c r="F157" s="22"/>
      <c r="G157" s="22"/>
      <c r="H157" s="22"/>
      <c r="I157" s="22"/>
      <c r="J157" s="23"/>
      <c r="K157" s="36" t="s">
        <v>28</v>
      </c>
    </row>
    <row r="158" spans="1:18" ht="30.75" customHeight="1" x14ac:dyDescent="0.25">
      <c r="A158" s="464"/>
      <c r="B158" s="465"/>
      <c r="C158" s="465"/>
      <c r="D158" s="465"/>
      <c r="E158" s="1"/>
      <c r="F158" s="1"/>
      <c r="G158" s="1"/>
      <c r="H158" s="1"/>
      <c r="I158" s="1"/>
      <c r="J158" s="1"/>
      <c r="K158" s="465"/>
    </row>
    <row r="160" spans="1:18" x14ac:dyDescent="0.25">
      <c r="A160" s="15" t="s">
        <v>29</v>
      </c>
      <c r="B160" s="16" t="str">
        <f>+CONSOLIDADO!A31</f>
        <v>CONSORCIO INFRAESTRUCTURA SIERRA NEVADA</v>
      </c>
      <c r="C160" s="16"/>
      <c r="D160" s="16"/>
      <c r="E160" s="16"/>
      <c r="F160" s="16"/>
      <c r="G160" s="1"/>
      <c r="H160" s="539" t="s">
        <v>51</v>
      </c>
      <c r="I160" s="539"/>
      <c r="J160" s="43" t="str">
        <f>IF(J162&gt;0,"NO HABILITADO","HABILITADO")</f>
        <v>HABILITADO</v>
      </c>
    </row>
    <row r="161" spans="1:18" x14ac:dyDescent="0.25">
      <c r="A161" s="15" t="str">
        <f>+'DATOS BASE DEL GRUPO'!$A$3</f>
        <v>GRUPO 1</v>
      </c>
      <c r="B161" s="13" t="str">
        <f>+$B$81</f>
        <v>SIERRA NEVADA-PERIJÁ-ZONA BANANERA</v>
      </c>
      <c r="G161" s="1"/>
      <c r="I161" s="15" t="s">
        <v>49</v>
      </c>
      <c r="J161" s="13">
        <f>COUNTIF(K167:K184,"SI")</f>
        <v>14</v>
      </c>
    </row>
    <row r="162" spans="1:18" x14ac:dyDescent="0.25">
      <c r="A162" s="15" t="s">
        <v>32</v>
      </c>
      <c r="B162" s="17" t="str">
        <f>+CONSOLIDADO!C32</f>
        <v>CADSA SAS</v>
      </c>
      <c r="C162" s="17"/>
      <c r="D162" s="17"/>
      <c r="E162" s="18"/>
      <c r="F162" s="76" t="s">
        <v>67</v>
      </c>
      <c r="G162" s="73">
        <f>+CONSOLIDADO!D32</f>
        <v>0.5</v>
      </c>
      <c r="H162" s="1"/>
      <c r="I162" s="15" t="s">
        <v>50</v>
      </c>
      <c r="J162" s="13">
        <f>COUNTIF(K167:K184,"NO")</f>
        <v>0</v>
      </c>
    </row>
    <row r="163" spans="1:18" x14ac:dyDescent="0.25">
      <c r="A163" s="15" t="s">
        <v>33</v>
      </c>
      <c r="B163" s="17" t="str">
        <f>+CONSOLIDADO!C33</f>
        <v>CORPORACIÓN SELVA HÚMEDA ONG</v>
      </c>
      <c r="C163" s="17"/>
      <c r="D163" s="17"/>
      <c r="E163" s="1"/>
      <c r="F163" s="77" t="s">
        <v>67</v>
      </c>
      <c r="G163" s="73">
        <f>+CONSOLIDADO!D33</f>
        <v>0.25</v>
      </c>
      <c r="H163" s="75">
        <f>SUM(G162:G164)</f>
        <v>1</v>
      </c>
      <c r="I163" s="15" t="s">
        <v>31</v>
      </c>
      <c r="J163" s="13">
        <f>COUNTIF(K167:K184,"N/A")</f>
        <v>4</v>
      </c>
    </row>
    <row r="164" spans="1:18" x14ac:dyDescent="0.25">
      <c r="A164" s="15" t="s">
        <v>34</v>
      </c>
      <c r="B164" s="17" t="str">
        <f>+CONSOLIDADO!C34</f>
        <v>MODEPCA LTDA</v>
      </c>
      <c r="C164" s="17"/>
      <c r="D164" s="17"/>
      <c r="E164" s="16"/>
      <c r="F164" s="78" t="s">
        <v>67</v>
      </c>
      <c r="G164" s="73">
        <f>+CONSOLIDADO!D34</f>
        <v>0.25</v>
      </c>
      <c r="H164" s="16"/>
      <c r="I164" s="16"/>
      <c r="J164" s="16"/>
    </row>
    <row r="165" spans="1:18" ht="7.5" customHeight="1" thickBot="1" x14ac:dyDescent="0.3"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8" s="14" customFormat="1" ht="15.75" thickBot="1" x14ac:dyDescent="0.3">
      <c r="A166" s="25" t="s">
        <v>26</v>
      </c>
      <c r="B166" s="29" t="s">
        <v>28</v>
      </c>
      <c r="C166" s="458" t="s">
        <v>27</v>
      </c>
      <c r="D166" s="30" t="s">
        <v>31</v>
      </c>
      <c r="E166" s="543" t="s">
        <v>42</v>
      </c>
      <c r="F166" s="544"/>
      <c r="G166" s="544"/>
      <c r="H166" s="544"/>
      <c r="I166" s="544"/>
      <c r="J166" s="545"/>
      <c r="K166" s="30" t="s">
        <v>47</v>
      </c>
    </row>
    <row r="167" spans="1:18" ht="76.5" customHeight="1" thickTop="1" x14ac:dyDescent="0.25">
      <c r="A167" s="26" t="s">
        <v>162</v>
      </c>
      <c r="B167" s="31" t="s">
        <v>35</v>
      </c>
      <c r="C167" s="20"/>
      <c r="D167" s="32"/>
      <c r="E167" s="548"/>
      <c r="F167" s="549"/>
      <c r="G167" s="549"/>
      <c r="H167" s="549"/>
      <c r="I167" s="549"/>
      <c r="J167" s="550"/>
      <c r="K167" s="32" t="s">
        <v>28</v>
      </c>
    </row>
    <row r="168" spans="1:18" ht="48.75" customHeight="1" x14ac:dyDescent="0.25">
      <c r="A168" s="27" t="s">
        <v>163</v>
      </c>
      <c r="B168" s="33" t="s">
        <v>35</v>
      </c>
      <c r="C168" s="19"/>
      <c r="D168" s="34"/>
      <c r="E168" s="540"/>
      <c r="F168" s="541"/>
      <c r="G168" s="541"/>
      <c r="H168" s="541"/>
      <c r="I168" s="541"/>
      <c r="J168" s="542"/>
      <c r="K168" s="34" t="s">
        <v>28</v>
      </c>
    </row>
    <row r="169" spans="1:18" ht="60" customHeight="1" x14ac:dyDescent="0.25">
      <c r="A169" s="28" t="s">
        <v>164</v>
      </c>
      <c r="B169" s="33"/>
      <c r="C169" s="19"/>
      <c r="D169" s="34" t="s">
        <v>31</v>
      </c>
      <c r="E169" s="540"/>
      <c r="F169" s="541"/>
      <c r="G169" s="541"/>
      <c r="H169" s="541"/>
      <c r="I169" s="541"/>
      <c r="J169" s="542"/>
      <c r="K169" s="34" t="s">
        <v>31</v>
      </c>
    </row>
    <row r="170" spans="1:18" ht="34.5" customHeight="1" x14ac:dyDescent="0.25">
      <c r="A170" s="65" t="s">
        <v>105</v>
      </c>
      <c r="B170" s="61" t="s">
        <v>35</v>
      </c>
      <c r="C170" s="62"/>
      <c r="D170" s="63"/>
      <c r="E170" s="50"/>
      <c r="F170" s="50"/>
      <c r="G170" s="50"/>
      <c r="H170" s="50"/>
      <c r="I170" s="50"/>
      <c r="J170" s="64"/>
      <c r="K170" s="63" t="s">
        <v>48</v>
      </c>
      <c r="L170" s="15" t="str">
        <f>+$A$3</f>
        <v>GRUPO 1</v>
      </c>
      <c r="M170" s="304" t="s">
        <v>176</v>
      </c>
      <c r="N170" s="304" t="s">
        <v>175</v>
      </c>
      <c r="O170" s="304" t="s">
        <v>174</v>
      </c>
      <c r="P170" s="304" t="s">
        <v>173</v>
      </c>
    </row>
    <row r="171" spans="1:18" ht="45" customHeight="1" x14ac:dyDescent="0.25">
      <c r="A171" s="27" t="s">
        <v>43</v>
      </c>
      <c r="B171" s="33" t="s">
        <v>35</v>
      </c>
      <c r="C171" s="19"/>
      <c r="D171" s="34"/>
      <c r="E171" s="540"/>
      <c r="F171" s="541"/>
      <c r="G171" s="541"/>
      <c r="H171" s="541"/>
      <c r="I171" s="541"/>
      <c r="J171" s="542"/>
      <c r="K171" s="34" t="s">
        <v>48</v>
      </c>
      <c r="L171" s="15"/>
      <c r="M171" s="321">
        <f>+'DATOS BASE DEL GRUPO'!$B$4*0.1</f>
        <v>564300000</v>
      </c>
      <c r="N171" s="322">
        <f>+$N$13</f>
        <v>43090</v>
      </c>
      <c r="O171" s="323">
        <f>+P171-N171</f>
        <v>120</v>
      </c>
      <c r="P171" s="322">
        <f>+$P$13</f>
        <v>43210</v>
      </c>
    </row>
    <row r="172" spans="1:18" ht="20.100000000000001" customHeight="1" x14ac:dyDescent="0.25">
      <c r="A172" s="27" t="s">
        <v>140</v>
      </c>
      <c r="B172" s="33" t="s">
        <v>35</v>
      </c>
      <c r="C172" s="19"/>
      <c r="D172" s="34"/>
      <c r="E172" s="17"/>
      <c r="F172" s="17"/>
      <c r="G172" s="17"/>
      <c r="H172" s="17"/>
      <c r="I172" s="17"/>
      <c r="J172" s="21"/>
      <c r="K172" s="34" t="s">
        <v>48</v>
      </c>
      <c r="M172" s="554" t="s">
        <v>177</v>
      </c>
      <c r="N172" s="554"/>
      <c r="O172" s="554"/>
      <c r="P172" s="554"/>
      <c r="Q172" s="554"/>
      <c r="R172" s="554"/>
    </row>
    <row r="173" spans="1:18" ht="42.75" customHeight="1" x14ac:dyDescent="0.25">
      <c r="A173" s="37" t="s">
        <v>46</v>
      </c>
      <c r="B173" s="38"/>
      <c r="C173" s="39"/>
      <c r="D173" s="40" t="s">
        <v>35</v>
      </c>
      <c r="E173" s="41"/>
      <c r="F173" s="41"/>
      <c r="G173" s="41"/>
      <c r="H173" s="41"/>
      <c r="I173" s="41"/>
      <c r="J173" s="42"/>
      <c r="K173" s="40" t="s">
        <v>31</v>
      </c>
      <c r="M173" s="554"/>
      <c r="N173" s="554"/>
      <c r="O173" s="554"/>
      <c r="P173" s="554"/>
      <c r="Q173" s="554"/>
      <c r="R173" s="554"/>
    </row>
    <row r="174" spans="1:18" ht="46.5" customHeight="1" x14ac:dyDescent="0.25">
      <c r="A174" s="28" t="s">
        <v>45</v>
      </c>
      <c r="B174" s="33" t="s">
        <v>35</v>
      </c>
      <c r="C174" s="19"/>
      <c r="D174" s="34"/>
      <c r="E174" s="17"/>
      <c r="F174" s="17"/>
      <c r="G174" s="17"/>
      <c r="H174" s="17"/>
      <c r="I174" s="17"/>
      <c r="J174" s="21"/>
      <c r="K174" s="34" t="s">
        <v>28</v>
      </c>
    </row>
    <row r="175" spans="1:18" ht="34.5" customHeight="1" x14ac:dyDescent="0.25">
      <c r="A175" s="28" t="s">
        <v>44</v>
      </c>
      <c r="B175" s="33" t="s">
        <v>35</v>
      </c>
      <c r="C175" s="19"/>
      <c r="D175" s="34"/>
      <c r="E175" s="17"/>
      <c r="F175" s="17"/>
      <c r="G175" s="17"/>
      <c r="H175" s="17"/>
      <c r="I175" s="17"/>
      <c r="J175" s="21"/>
      <c r="K175" s="34" t="s">
        <v>28</v>
      </c>
    </row>
    <row r="176" spans="1:18" ht="31.5" customHeight="1" x14ac:dyDescent="0.25">
      <c r="A176" s="37" t="s">
        <v>30</v>
      </c>
      <c r="B176" s="38"/>
      <c r="C176" s="39"/>
      <c r="D176" s="40" t="s">
        <v>35</v>
      </c>
      <c r="E176" s="41"/>
      <c r="F176" s="41"/>
      <c r="G176" s="41"/>
      <c r="H176" s="41"/>
      <c r="I176" s="41"/>
      <c r="J176" s="42"/>
      <c r="K176" s="40" t="s">
        <v>31</v>
      </c>
    </row>
    <row r="177" spans="1:13" ht="42.75" customHeight="1" x14ac:dyDescent="0.25">
      <c r="A177" s="28" t="s">
        <v>36</v>
      </c>
      <c r="B177" s="33" t="s">
        <v>35</v>
      </c>
      <c r="C177" s="19"/>
      <c r="D177" s="34"/>
      <c r="E177" s="540"/>
      <c r="F177" s="541"/>
      <c r="G177" s="541"/>
      <c r="H177" s="541"/>
      <c r="I177" s="541"/>
      <c r="J177" s="542"/>
      <c r="K177" s="34" t="s">
        <v>28</v>
      </c>
      <c r="M177" s="13" t="s">
        <v>197</v>
      </c>
    </row>
    <row r="178" spans="1:13" ht="34.5" customHeight="1" x14ac:dyDescent="0.25">
      <c r="A178" s="37" t="s">
        <v>37</v>
      </c>
      <c r="B178" s="38"/>
      <c r="C178" s="39"/>
      <c r="D178" s="40" t="s">
        <v>35</v>
      </c>
      <c r="E178" s="41"/>
      <c r="F178" s="41"/>
      <c r="G178" s="41"/>
      <c r="H178" s="41"/>
      <c r="I178" s="41"/>
      <c r="J178" s="42"/>
      <c r="K178" s="40" t="s">
        <v>31</v>
      </c>
    </row>
    <row r="179" spans="1:13" ht="30.75" customHeight="1" x14ac:dyDescent="0.25">
      <c r="A179" s="28" t="s">
        <v>141</v>
      </c>
      <c r="B179" s="33" t="s">
        <v>35</v>
      </c>
      <c r="C179" s="19"/>
      <c r="D179" s="34"/>
      <c r="E179" s="17"/>
      <c r="F179" s="17"/>
      <c r="G179" s="17"/>
      <c r="H179" s="17"/>
      <c r="I179" s="17"/>
      <c r="J179" s="21"/>
      <c r="K179" s="34" t="s">
        <v>28</v>
      </c>
    </row>
    <row r="180" spans="1:13" ht="30.75" customHeight="1" x14ac:dyDescent="0.25">
      <c r="A180" s="28" t="s">
        <v>165</v>
      </c>
      <c r="B180" s="33" t="s">
        <v>35</v>
      </c>
      <c r="C180" s="19"/>
      <c r="D180" s="34"/>
      <c r="E180" s="17"/>
      <c r="F180" s="17"/>
      <c r="G180" s="17"/>
      <c r="H180" s="17"/>
      <c r="I180" s="17"/>
      <c r="J180" s="21"/>
      <c r="K180" s="34" t="s">
        <v>28</v>
      </c>
    </row>
    <row r="181" spans="1:13" ht="31.5" customHeight="1" x14ac:dyDescent="0.25">
      <c r="A181" s="28" t="s">
        <v>38</v>
      </c>
      <c r="B181" s="33" t="s">
        <v>35</v>
      </c>
      <c r="C181" s="19"/>
      <c r="D181" s="34"/>
      <c r="E181" s="17"/>
      <c r="F181" s="17"/>
      <c r="G181" s="17"/>
      <c r="H181" s="17"/>
      <c r="I181" s="17"/>
      <c r="J181" s="21"/>
      <c r="K181" s="34" t="s">
        <v>28</v>
      </c>
    </row>
    <row r="182" spans="1:13" ht="20.100000000000001" customHeight="1" x14ac:dyDescent="0.25">
      <c r="A182" s="27" t="s">
        <v>39</v>
      </c>
      <c r="B182" s="33" t="s">
        <v>35</v>
      </c>
      <c r="C182" s="19"/>
      <c r="D182" s="34"/>
      <c r="E182" s="17"/>
      <c r="F182" s="17"/>
      <c r="G182" s="17"/>
      <c r="H182" s="17"/>
      <c r="I182" s="17"/>
      <c r="J182" s="21"/>
      <c r="K182" s="34" t="s">
        <v>28</v>
      </c>
    </row>
    <row r="183" spans="1:13" ht="20.100000000000001" customHeight="1" x14ac:dyDescent="0.25">
      <c r="A183" s="27" t="s">
        <v>40</v>
      </c>
      <c r="B183" s="33" t="s">
        <v>35</v>
      </c>
      <c r="C183" s="19"/>
      <c r="D183" s="34"/>
      <c r="E183" s="17"/>
      <c r="F183" s="17"/>
      <c r="G183" s="17"/>
      <c r="H183" s="17"/>
      <c r="I183" s="17"/>
      <c r="J183" s="21"/>
      <c r="K183" s="34" t="s">
        <v>28</v>
      </c>
    </row>
    <row r="184" spans="1:13" ht="30.75" customHeight="1" thickBot="1" x14ac:dyDescent="0.3">
      <c r="A184" s="289" t="s">
        <v>41</v>
      </c>
      <c r="B184" s="35" t="s">
        <v>35</v>
      </c>
      <c r="C184" s="24"/>
      <c r="D184" s="36"/>
      <c r="E184" s="22"/>
      <c r="F184" s="22"/>
      <c r="G184" s="22"/>
      <c r="H184" s="22"/>
      <c r="I184" s="22"/>
      <c r="J184" s="23"/>
      <c r="K184" s="36" t="s">
        <v>28</v>
      </c>
    </row>
    <row r="185" spans="1:13" ht="30.75" customHeight="1" x14ac:dyDescent="0.25">
      <c r="A185" s="464"/>
      <c r="B185" s="465"/>
      <c r="C185" s="465"/>
      <c r="D185" s="465"/>
      <c r="E185" s="1"/>
      <c r="F185" s="1"/>
      <c r="G185" s="1"/>
      <c r="H185" s="1"/>
      <c r="I185" s="1"/>
      <c r="J185" s="1"/>
      <c r="K185" s="465"/>
    </row>
    <row r="187" spans="1:13" x14ac:dyDescent="0.25">
      <c r="A187" s="15" t="s">
        <v>29</v>
      </c>
      <c r="B187" s="16" t="str">
        <f>+CONSOLIDADO!A35</f>
        <v>UNION TEMPORAL PARA EL FORTALECIMIENTO COMUNITARIO EN LOS TERRITORIOS 2017</v>
      </c>
      <c r="C187" s="16"/>
      <c r="D187" s="16"/>
      <c r="E187" s="16"/>
      <c r="F187" s="16"/>
      <c r="G187" s="1"/>
      <c r="H187" s="539" t="s">
        <v>51</v>
      </c>
      <c r="I187" s="539"/>
      <c r="J187" s="43" t="str">
        <f>IF(J189&gt;0,"NO HABILITADO","HABILITADO")</f>
        <v>HABILITADO</v>
      </c>
    </row>
    <row r="188" spans="1:13" x14ac:dyDescent="0.25">
      <c r="A188" s="15" t="str">
        <f>+'DATOS BASE DEL GRUPO'!$A$3</f>
        <v>GRUPO 1</v>
      </c>
      <c r="B188" s="13" t="str">
        <f>+$B$81</f>
        <v>SIERRA NEVADA-PERIJÁ-ZONA BANANERA</v>
      </c>
      <c r="G188" s="1"/>
      <c r="I188" s="15" t="s">
        <v>49</v>
      </c>
      <c r="J188" s="13">
        <f>COUNTIF(K194:K211,"SI")</f>
        <v>14</v>
      </c>
    </row>
    <row r="189" spans="1:13" x14ac:dyDescent="0.25">
      <c r="A189" s="15" t="s">
        <v>32</v>
      </c>
      <c r="B189" s="17" t="str">
        <f>+CONSOLIDADO!C36</f>
        <v>CORPORACIÓN MULTIACTIVAEMPRENDER ORGANIZACIÓN NO GUBERNAMENTAL</v>
      </c>
      <c r="C189" s="17"/>
      <c r="D189" s="17"/>
      <c r="E189" s="18"/>
      <c r="F189" s="76" t="s">
        <v>67</v>
      </c>
      <c r="G189" s="73">
        <f>+CONSOLIDADO!D36</f>
        <v>0.5</v>
      </c>
      <c r="H189" s="1"/>
      <c r="I189" s="15" t="s">
        <v>50</v>
      </c>
      <c r="J189" s="13">
        <f>COUNTIF(K194:K211,"NO")</f>
        <v>0</v>
      </c>
    </row>
    <row r="190" spans="1:13" x14ac:dyDescent="0.25">
      <c r="A190" s="15" t="s">
        <v>33</v>
      </c>
      <c r="B190" s="17" t="str">
        <f>+CONSOLIDADO!C37</f>
        <v>FUNDACIÓN INNOVA CARIBE</v>
      </c>
      <c r="C190" s="17"/>
      <c r="D190" s="17"/>
      <c r="E190" s="1"/>
      <c r="F190" s="77" t="s">
        <v>67</v>
      </c>
      <c r="G190" s="73">
        <f>+CONSOLIDADO!D37</f>
        <v>0.5</v>
      </c>
      <c r="H190" s="75">
        <f>SUM(G189:G191)</f>
        <v>1</v>
      </c>
      <c r="I190" s="15" t="s">
        <v>31</v>
      </c>
      <c r="J190" s="13">
        <f>COUNTIF(K194:K211,"N/A")</f>
        <v>4</v>
      </c>
    </row>
    <row r="191" spans="1:13" x14ac:dyDescent="0.25">
      <c r="A191" s="15" t="s">
        <v>34</v>
      </c>
      <c r="B191" s="17">
        <f>+CONSOLIDADO!C38</f>
        <v>0</v>
      </c>
      <c r="C191" s="17"/>
      <c r="D191" s="17"/>
      <c r="E191" s="16"/>
      <c r="F191" s="78" t="s">
        <v>67</v>
      </c>
      <c r="G191" s="73">
        <f>+CONSOLIDADO!D38</f>
        <v>0</v>
      </c>
      <c r="H191" s="16"/>
      <c r="I191" s="16"/>
      <c r="J191" s="16"/>
    </row>
    <row r="192" spans="1:13" ht="7.5" customHeight="1" thickBot="1" x14ac:dyDescent="0.3"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8" s="14" customFormat="1" ht="15.75" thickBot="1" x14ac:dyDescent="0.3">
      <c r="A193" s="25" t="s">
        <v>26</v>
      </c>
      <c r="B193" s="29" t="s">
        <v>28</v>
      </c>
      <c r="C193" s="458" t="s">
        <v>27</v>
      </c>
      <c r="D193" s="30" t="s">
        <v>31</v>
      </c>
      <c r="E193" s="543" t="s">
        <v>42</v>
      </c>
      <c r="F193" s="544"/>
      <c r="G193" s="544"/>
      <c r="H193" s="544"/>
      <c r="I193" s="544"/>
      <c r="J193" s="545"/>
      <c r="K193" s="30" t="s">
        <v>47</v>
      </c>
    </row>
    <row r="194" spans="1:18" ht="76.5" customHeight="1" thickTop="1" x14ac:dyDescent="0.25">
      <c r="A194" s="26" t="s">
        <v>162</v>
      </c>
      <c r="B194" s="31" t="s">
        <v>35</v>
      </c>
      <c r="C194" s="20"/>
      <c r="D194" s="32"/>
      <c r="E194" s="548"/>
      <c r="F194" s="549"/>
      <c r="G194" s="549"/>
      <c r="H194" s="549"/>
      <c r="I194" s="549"/>
      <c r="J194" s="550"/>
      <c r="K194" s="32" t="s">
        <v>28</v>
      </c>
    </row>
    <row r="195" spans="1:18" ht="48.75" customHeight="1" x14ac:dyDescent="0.25">
      <c r="A195" s="27" t="s">
        <v>163</v>
      </c>
      <c r="B195" s="33" t="s">
        <v>35</v>
      </c>
      <c r="C195" s="19"/>
      <c r="D195" s="34"/>
      <c r="E195" s="540"/>
      <c r="F195" s="541"/>
      <c r="G195" s="541"/>
      <c r="H195" s="541"/>
      <c r="I195" s="541"/>
      <c r="J195" s="542"/>
      <c r="K195" s="34" t="s">
        <v>28</v>
      </c>
    </row>
    <row r="196" spans="1:18" ht="60" customHeight="1" x14ac:dyDescent="0.25">
      <c r="A196" s="28" t="s">
        <v>164</v>
      </c>
      <c r="B196" s="33"/>
      <c r="C196" s="19"/>
      <c r="D196" s="34" t="s">
        <v>31</v>
      </c>
      <c r="E196" s="540"/>
      <c r="F196" s="541"/>
      <c r="G196" s="541"/>
      <c r="H196" s="541"/>
      <c r="I196" s="541"/>
      <c r="J196" s="542"/>
      <c r="K196" s="34" t="s">
        <v>31</v>
      </c>
    </row>
    <row r="197" spans="1:18" ht="34.5" customHeight="1" x14ac:dyDescent="0.25">
      <c r="A197" s="65" t="s">
        <v>105</v>
      </c>
      <c r="B197" s="61" t="s">
        <v>35</v>
      </c>
      <c r="C197" s="62"/>
      <c r="D197" s="63"/>
      <c r="E197" s="50"/>
      <c r="F197" s="50"/>
      <c r="G197" s="50"/>
      <c r="H197" s="50"/>
      <c r="I197" s="50"/>
      <c r="J197" s="64"/>
      <c r="K197" s="63" t="s">
        <v>48</v>
      </c>
      <c r="L197" s="15" t="str">
        <f>+$A$3</f>
        <v>GRUPO 1</v>
      </c>
      <c r="M197" s="304" t="s">
        <v>176</v>
      </c>
      <c r="N197" s="304" t="s">
        <v>175</v>
      </c>
      <c r="O197" s="304" t="s">
        <v>174</v>
      </c>
      <c r="P197" s="304" t="s">
        <v>173</v>
      </c>
    </row>
    <row r="198" spans="1:18" ht="45" customHeight="1" x14ac:dyDescent="0.25">
      <c r="A198" s="27" t="s">
        <v>43</v>
      </c>
      <c r="B198" s="33" t="s">
        <v>35</v>
      </c>
      <c r="C198" s="19"/>
      <c r="D198" s="34"/>
      <c r="E198" s="540"/>
      <c r="F198" s="541"/>
      <c r="G198" s="541"/>
      <c r="H198" s="541"/>
      <c r="I198" s="541"/>
      <c r="J198" s="542"/>
      <c r="K198" s="34" t="s">
        <v>48</v>
      </c>
      <c r="L198" s="15"/>
      <c r="M198" s="321">
        <f>+'DATOS BASE DEL GRUPO'!$B$4*0.1</f>
        <v>564300000</v>
      </c>
      <c r="N198" s="322">
        <f>+$N$13</f>
        <v>43090</v>
      </c>
      <c r="O198" s="323">
        <f>+P198-N198</f>
        <v>120</v>
      </c>
      <c r="P198" s="322">
        <f>+$P$13</f>
        <v>43210</v>
      </c>
    </row>
    <row r="199" spans="1:18" ht="20.100000000000001" customHeight="1" x14ac:dyDescent="0.25">
      <c r="A199" s="27" t="s">
        <v>140</v>
      </c>
      <c r="B199" s="33" t="s">
        <v>35</v>
      </c>
      <c r="C199" s="19"/>
      <c r="D199" s="34"/>
      <c r="E199" s="17"/>
      <c r="F199" s="17"/>
      <c r="G199" s="17"/>
      <c r="H199" s="17"/>
      <c r="I199" s="17"/>
      <c r="J199" s="21"/>
      <c r="K199" s="34" t="s">
        <v>48</v>
      </c>
      <c r="M199" s="554" t="s">
        <v>177</v>
      </c>
      <c r="N199" s="554"/>
      <c r="O199" s="554"/>
      <c r="P199" s="554"/>
      <c r="Q199" s="554"/>
      <c r="R199" s="554"/>
    </row>
    <row r="200" spans="1:18" ht="42.75" customHeight="1" x14ac:dyDescent="0.25">
      <c r="A200" s="37" t="s">
        <v>46</v>
      </c>
      <c r="B200" s="38"/>
      <c r="C200" s="39"/>
      <c r="D200" s="40" t="s">
        <v>35</v>
      </c>
      <c r="E200" s="41"/>
      <c r="F200" s="41"/>
      <c r="G200" s="41"/>
      <c r="H200" s="41"/>
      <c r="I200" s="41"/>
      <c r="J200" s="42"/>
      <c r="K200" s="40" t="s">
        <v>31</v>
      </c>
      <c r="M200" s="554"/>
      <c r="N200" s="554"/>
      <c r="O200" s="554"/>
      <c r="P200" s="554"/>
      <c r="Q200" s="554"/>
      <c r="R200" s="554"/>
    </row>
    <row r="201" spans="1:18" ht="46.5" customHeight="1" x14ac:dyDescent="0.25">
      <c r="A201" s="28" t="s">
        <v>45</v>
      </c>
      <c r="B201" s="33" t="s">
        <v>35</v>
      </c>
      <c r="C201" s="19"/>
      <c r="D201" s="34"/>
      <c r="E201" s="17"/>
      <c r="F201" s="17"/>
      <c r="G201" s="17"/>
      <c r="H201" s="17"/>
      <c r="I201" s="17"/>
      <c r="J201" s="21"/>
      <c r="K201" s="34" t="s">
        <v>28</v>
      </c>
    </row>
    <row r="202" spans="1:18" ht="34.5" customHeight="1" x14ac:dyDescent="0.25">
      <c r="A202" s="28" t="s">
        <v>44</v>
      </c>
      <c r="B202" s="33" t="s">
        <v>35</v>
      </c>
      <c r="C202" s="19"/>
      <c r="D202" s="34"/>
      <c r="E202" s="17"/>
      <c r="F202" s="17"/>
      <c r="G202" s="17"/>
      <c r="H202" s="17"/>
      <c r="I202" s="17"/>
      <c r="J202" s="21"/>
      <c r="K202" s="34" t="s">
        <v>28</v>
      </c>
    </row>
    <row r="203" spans="1:18" ht="31.5" customHeight="1" x14ac:dyDescent="0.25">
      <c r="A203" s="37" t="s">
        <v>30</v>
      </c>
      <c r="B203" s="38"/>
      <c r="C203" s="39"/>
      <c r="D203" s="40" t="s">
        <v>35</v>
      </c>
      <c r="E203" s="41"/>
      <c r="F203" s="41"/>
      <c r="G203" s="41"/>
      <c r="H203" s="41"/>
      <c r="I203" s="41"/>
      <c r="J203" s="42"/>
      <c r="K203" s="40" t="s">
        <v>31</v>
      </c>
    </row>
    <row r="204" spans="1:18" ht="42.75" customHeight="1" x14ac:dyDescent="0.25">
      <c r="A204" s="28" t="s">
        <v>36</v>
      </c>
      <c r="B204" s="33" t="s">
        <v>35</v>
      </c>
      <c r="C204" s="19"/>
      <c r="D204" s="34"/>
      <c r="E204" s="540"/>
      <c r="F204" s="541"/>
      <c r="G204" s="541"/>
      <c r="H204" s="541"/>
      <c r="I204" s="541"/>
      <c r="J204" s="542"/>
      <c r="K204" s="34" t="s">
        <v>28</v>
      </c>
      <c r="M204" s="13" t="s">
        <v>197</v>
      </c>
    </row>
    <row r="205" spans="1:18" ht="34.5" customHeight="1" x14ac:dyDescent="0.25">
      <c r="A205" s="37" t="s">
        <v>37</v>
      </c>
      <c r="B205" s="38"/>
      <c r="C205" s="39"/>
      <c r="D205" s="40" t="s">
        <v>35</v>
      </c>
      <c r="E205" s="41"/>
      <c r="F205" s="41"/>
      <c r="G205" s="41"/>
      <c r="H205" s="41"/>
      <c r="I205" s="41"/>
      <c r="J205" s="42"/>
      <c r="K205" s="40" t="s">
        <v>31</v>
      </c>
    </row>
    <row r="206" spans="1:18" ht="30.75" customHeight="1" x14ac:dyDescent="0.25">
      <c r="A206" s="28" t="s">
        <v>141</v>
      </c>
      <c r="B206" s="33" t="s">
        <v>35</v>
      </c>
      <c r="C206" s="19"/>
      <c r="D206" s="34"/>
      <c r="E206" s="17"/>
      <c r="F206" s="17"/>
      <c r="G206" s="17"/>
      <c r="H206" s="17"/>
      <c r="I206" s="17"/>
      <c r="J206" s="21"/>
      <c r="K206" s="34" t="s">
        <v>28</v>
      </c>
    </row>
    <row r="207" spans="1:18" ht="30.75" customHeight="1" x14ac:dyDescent="0.25">
      <c r="A207" s="28" t="s">
        <v>165</v>
      </c>
      <c r="B207" s="33" t="s">
        <v>35</v>
      </c>
      <c r="C207" s="19"/>
      <c r="D207" s="34"/>
      <c r="E207" s="17"/>
      <c r="F207" s="17"/>
      <c r="G207" s="17"/>
      <c r="H207" s="17"/>
      <c r="I207" s="17"/>
      <c r="J207" s="21"/>
      <c r="K207" s="34" t="s">
        <v>28</v>
      </c>
    </row>
    <row r="208" spans="1:18" ht="31.5" customHeight="1" x14ac:dyDescent="0.25">
      <c r="A208" s="28" t="s">
        <v>38</v>
      </c>
      <c r="B208" s="33" t="s">
        <v>35</v>
      </c>
      <c r="C208" s="19"/>
      <c r="D208" s="34"/>
      <c r="E208" s="17"/>
      <c r="F208" s="17"/>
      <c r="G208" s="17"/>
      <c r="H208" s="17"/>
      <c r="I208" s="17"/>
      <c r="J208" s="21"/>
      <c r="K208" s="34" t="s">
        <v>28</v>
      </c>
    </row>
    <row r="209" spans="1:16" ht="20.100000000000001" customHeight="1" x14ac:dyDescent="0.25">
      <c r="A209" s="27" t="s">
        <v>39</v>
      </c>
      <c r="B209" s="33" t="s">
        <v>35</v>
      </c>
      <c r="C209" s="19"/>
      <c r="D209" s="34"/>
      <c r="E209" s="17"/>
      <c r="F209" s="17"/>
      <c r="G209" s="17"/>
      <c r="H209" s="17"/>
      <c r="I209" s="17"/>
      <c r="J209" s="21"/>
      <c r="K209" s="34" t="s">
        <v>28</v>
      </c>
    </row>
    <row r="210" spans="1:16" ht="20.100000000000001" customHeight="1" x14ac:dyDescent="0.25">
      <c r="A210" s="27" t="s">
        <v>40</v>
      </c>
      <c r="B210" s="33" t="s">
        <v>35</v>
      </c>
      <c r="C210" s="19"/>
      <c r="D210" s="34"/>
      <c r="E210" s="17"/>
      <c r="F210" s="17"/>
      <c r="G210" s="17"/>
      <c r="H210" s="17"/>
      <c r="I210" s="17"/>
      <c r="J210" s="21"/>
      <c r="K210" s="34" t="s">
        <v>28</v>
      </c>
    </row>
    <row r="211" spans="1:16" ht="30.75" customHeight="1" thickBot="1" x14ac:dyDescent="0.3">
      <c r="A211" s="289" t="s">
        <v>41</v>
      </c>
      <c r="B211" s="35" t="s">
        <v>35</v>
      </c>
      <c r="C211" s="24"/>
      <c r="D211" s="36"/>
      <c r="E211" s="22"/>
      <c r="F211" s="22"/>
      <c r="G211" s="22"/>
      <c r="H211" s="22"/>
      <c r="I211" s="22"/>
      <c r="J211" s="23"/>
      <c r="K211" s="36" t="s">
        <v>28</v>
      </c>
    </row>
    <row r="212" spans="1:16" ht="30.75" customHeight="1" x14ac:dyDescent="0.25">
      <c r="A212" s="464"/>
      <c r="B212" s="465"/>
      <c r="C212" s="465"/>
      <c r="D212" s="465"/>
      <c r="E212" s="1"/>
      <c r="F212" s="1"/>
      <c r="G212" s="1"/>
      <c r="H212" s="1"/>
      <c r="I212" s="1"/>
      <c r="J212" s="1"/>
      <c r="K212" s="465"/>
    </row>
    <row r="214" spans="1:16" x14ac:dyDescent="0.25">
      <c r="A214" s="15" t="s">
        <v>29</v>
      </c>
      <c r="B214" s="16" t="str">
        <f>+CONSOLIDADO!A39</f>
        <v>UNION TEMPORAL RENACER 2017</v>
      </c>
      <c r="C214" s="16"/>
      <c r="D214" s="16"/>
      <c r="E214" s="16"/>
      <c r="F214" s="16"/>
      <c r="G214" s="1"/>
      <c r="H214" s="539" t="s">
        <v>51</v>
      </c>
      <c r="I214" s="539"/>
      <c r="J214" s="43" t="str">
        <f>IF(J216&gt;0,"NO HABILITADO","HABILITADO")</f>
        <v>HABILITADO</v>
      </c>
    </row>
    <row r="215" spans="1:16" x14ac:dyDescent="0.25">
      <c r="A215" s="15" t="str">
        <f>+'DATOS BASE DEL GRUPO'!$A$3</f>
        <v>GRUPO 1</v>
      </c>
      <c r="B215" s="13" t="str">
        <f>+$B$81</f>
        <v>SIERRA NEVADA-PERIJÁ-ZONA BANANERA</v>
      </c>
      <c r="G215" s="1"/>
      <c r="I215" s="15" t="s">
        <v>49</v>
      </c>
      <c r="J215" s="13">
        <f>COUNTIF(K221:K238,"SI")</f>
        <v>14</v>
      </c>
    </row>
    <row r="216" spans="1:16" x14ac:dyDescent="0.25">
      <c r="A216" s="15" t="s">
        <v>32</v>
      </c>
      <c r="B216" s="17" t="str">
        <f>+CONSOLIDADO!C40</f>
        <v>DISCEP SAS</v>
      </c>
      <c r="C216" s="17"/>
      <c r="D216" s="17"/>
      <c r="E216" s="18"/>
      <c r="F216" s="76" t="s">
        <v>67</v>
      </c>
      <c r="G216" s="73">
        <f>+CONSOLIDADO!D40</f>
        <v>0.95</v>
      </c>
      <c r="H216" s="1"/>
      <c r="I216" s="15" t="s">
        <v>50</v>
      </c>
      <c r="J216" s="13">
        <f>COUNTIF(K221:K238,"NO")</f>
        <v>0</v>
      </c>
    </row>
    <row r="217" spans="1:16" x14ac:dyDescent="0.25">
      <c r="A217" s="15" t="s">
        <v>33</v>
      </c>
      <c r="B217" s="17" t="str">
        <f>+CONSOLIDADO!C41</f>
        <v>FUNDACIÓN PARA EL DESARROLLO DE LA JAGUA</v>
      </c>
      <c r="C217" s="17"/>
      <c r="D217" s="17"/>
      <c r="E217" s="1"/>
      <c r="F217" s="77" t="s">
        <v>67</v>
      </c>
      <c r="G217" s="73">
        <f>+CONSOLIDADO!D41</f>
        <v>0.05</v>
      </c>
      <c r="H217" s="75">
        <f>SUM(G216:G218)</f>
        <v>1</v>
      </c>
      <c r="I217" s="15" t="s">
        <v>31</v>
      </c>
      <c r="J217" s="13">
        <f>COUNTIF(K221:K238,"N/A")</f>
        <v>4</v>
      </c>
    </row>
    <row r="218" spans="1:16" x14ac:dyDescent="0.25">
      <c r="A218" s="15" t="s">
        <v>34</v>
      </c>
      <c r="B218" s="17">
        <f>+CONSOLIDADO!C42</f>
        <v>0</v>
      </c>
      <c r="C218" s="17"/>
      <c r="D218" s="17"/>
      <c r="E218" s="16"/>
      <c r="F218" s="78" t="s">
        <v>67</v>
      </c>
      <c r="G218" s="73">
        <f>+CONSOLIDADO!D42</f>
        <v>0</v>
      </c>
      <c r="H218" s="16"/>
      <c r="I218" s="16"/>
      <c r="J218" s="16"/>
    </row>
    <row r="219" spans="1:16" ht="7.5" customHeight="1" thickBot="1" x14ac:dyDescent="0.3"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6" s="14" customFormat="1" ht="15.75" thickBot="1" x14ac:dyDescent="0.3">
      <c r="A220" s="25" t="s">
        <v>26</v>
      </c>
      <c r="B220" s="29" t="s">
        <v>28</v>
      </c>
      <c r="C220" s="458" t="s">
        <v>27</v>
      </c>
      <c r="D220" s="30" t="s">
        <v>31</v>
      </c>
      <c r="E220" s="543" t="s">
        <v>42</v>
      </c>
      <c r="F220" s="544"/>
      <c r="G220" s="544"/>
      <c r="H220" s="544"/>
      <c r="I220" s="544"/>
      <c r="J220" s="545"/>
      <c r="K220" s="30" t="s">
        <v>47</v>
      </c>
    </row>
    <row r="221" spans="1:16" ht="76.5" customHeight="1" thickTop="1" x14ac:dyDescent="0.25">
      <c r="A221" s="26" t="s">
        <v>162</v>
      </c>
      <c r="B221" s="31" t="s">
        <v>35</v>
      </c>
      <c r="C221" s="20"/>
      <c r="D221" s="32"/>
      <c r="E221" s="548"/>
      <c r="F221" s="549"/>
      <c r="G221" s="549"/>
      <c r="H221" s="549"/>
      <c r="I221" s="549"/>
      <c r="J221" s="550"/>
      <c r="K221" s="32" t="s">
        <v>28</v>
      </c>
    </row>
    <row r="222" spans="1:16" ht="48.75" customHeight="1" x14ac:dyDescent="0.25">
      <c r="A222" s="27" t="s">
        <v>163</v>
      </c>
      <c r="B222" s="33" t="s">
        <v>35</v>
      </c>
      <c r="C222" s="19"/>
      <c r="D222" s="34"/>
      <c r="E222" s="540"/>
      <c r="F222" s="541"/>
      <c r="G222" s="541"/>
      <c r="H222" s="541"/>
      <c r="I222" s="541"/>
      <c r="J222" s="542"/>
      <c r="K222" s="34" t="s">
        <v>28</v>
      </c>
    </row>
    <row r="223" spans="1:16" ht="60" customHeight="1" x14ac:dyDescent="0.25">
      <c r="A223" s="28" t="s">
        <v>164</v>
      </c>
      <c r="B223" s="33"/>
      <c r="C223" s="19"/>
      <c r="D223" s="34" t="s">
        <v>31</v>
      </c>
      <c r="E223" s="540"/>
      <c r="F223" s="541"/>
      <c r="G223" s="541"/>
      <c r="H223" s="541"/>
      <c r="I223" s="541"/>
      <c r="J223" s="542"/>
      <c r="K223" s="34" t="s">
        <v>31</v>
      </c>
    </row>
    <row r="224" spans="1:16" ht="34.5" customHeight="1" x14ac:dyDescent="0.25">
      <c r="A224" s="65" t="s">
        <v>105</v>
      </c>
      <c r="B224" s="61" t="s">
        <v>35</v>
      </c>
      <c r="C224" s="62"/>
      <c r="D224" s="63"/>
      <c r="E224" s="50"/>
      <c r="F224" s="50"/>
      <c r="G224" s="50"/>
      <c r="H224" s="50"/>
      <c r="I224" s="50"/>
      <c r="J224" s="64"/>
      <c r="K224" s="63" t="s">
        <v>48</v>
      </c>
      <c r="L224" s="15" t="str">
        <f>+$A$3</f>
        <v>GRUPO 1</v>
      </c>
      <c r="M224" s="304" t="s">
        <v>176</v>
      </c>
      <c r="N224" s="304" t="s">
        <v>175</v>
      </c>
      <c r="O224" s="304" t="s">
        <v>174</v>
      </c>
      <c r="P224" s="304" t="s">
        <v>173</v>
      </c>
    </row>
    <row r="225" spans="1:18" ht="45" customHeight="1" x14ac:dyDescent="0.25">
      <c r="A225" s="27" t="s">
        <v>43</v>
      </c>
      <c r="B225" s="33" t="s">
        <v>35</v>
      </c>
      <c r="C225" s="19"/>
      <c r="D225" s="34"/>
      <c r="E225" s="540"/>
      <c r="F225" s="541"/>
      <c r="G225" s="541"/>
      <c r="H225" s="541"/>
      <c r="I225" s="541"/>
      <c r="J225" s="542"/>
      <c r="K225" s="34" t="s">
        <v>48</v>
      </c>
      <c r="L225" s="15"/>
      <c r="M225" s="321">
        <f>+'DATOS BASE DEL GRUPO'!$B$4*0.1</f>
        <v>564300000</v>
      </c>
      <c r="N225" s="322">
        <f>+$N$13</f>
        <v>43090</v>
      </c>
      <c r="O225" s="323">
        <f>+P225-N225</f>
        <v>120</v>
      </c>
      <c r="P225" s="322">
        <f>+$P$13</f>
        <v>43210</v>
      </c>
    </row>
    <row r="226" spans="1:18" ht="20.100000000000001" customHeight="1" x14ac:dyDescent="0.25">
      <c r="A226" s="27" t="s">
        <v>140</v>
      </c>
      <c r="B226" s="33" t="s">
        <v>35</v>
      </c>
      <c r="C226" s="19"/>
      <c r="D226" s="34"/>
      <c r="E226" s="17"/>
      <c r="F226" s="17"/>
      <c r="G226" s="17"/>
      <c r="H226" s="17"/>
      <c r="I226" s="17"/>
      <c r="J226" s="21"/>
      <c r="K226" s="34" t="s">
        <v>48</v>
      </c>
      <c r="M226" s="554" t="s">
        <v>177</v>
      </c>
      <c r="N226" s="554"/>
      <c r="O226" s="554"/>
      <c r="P226" s="554"/>
      <c r="Q226" s="554"/>
      <c r="R226" s="554"/>
    </row>
    <row r="227" spans="1:18" ht="42.75" customHeight="1" x14ac:dyDescent="0.25">
      <c r="A227" s="37" t="s">
        <v>46</v>
      </c>
      <c r="B227" s="38"/>
      <c r="C227" s="39"/>
      <c r="D227" s="40" t="s">
        <v>35</v>
      </c>
      <c r="E227" s="41"/>
      <c r="F227" s="41"/>
      <c r="G227" s="41"/>
      <c r="H227" s="41"/>
      <c r="I227" s="41"/>
      <c r="J227" s="42"/>
      <c r="K227" s="40" t="s">
        <v>31</v>
      </c>
      <c r="M227" s="554"/>
      <c r="N227" s="554"/>
      <c r="O227" s="554"/>
      <c r="P227" s="554"/>
      <c r="Q227" s="554"/>
      <c r="R227" s="554"/>
    </row>
    <row r="228" spans="1:18" ht="46.5" customHeight="1" x14ac:dyDescent="0.25">
      <c r="A228" s="28" t="s">
        <v>45</v>
      </c>
      <c r="B228" s="33" t="s">
        <v>35</v>
      </c>
      <c r="C228" s="19"/>
      <c r="D228" s="34"/>
      <c r="E228" s="17"/>
      <c r="F228" s="17"/>
      <c r="G228" s="17"/>
      <c r="H228" s="17"/>
      <c r="I228" s="17"/>
      <c r="J228" s="21"/>
      <c r="K228" s="34" t="s">
        <v>28</v>
      </c>
    </row>
    <row r="229" spans="1:18" ht="34.5" customHeight="1" x14ac:dyDescent="0.25">
      <c r="A229" s="28" t="s">
        <v>44</v>
      </c>
      <c r="B229" s="33" t="s">
        <v>35</v>
      </c>
      <c r="C229" s="19"/>
      <c r="D229" s="34"/>
      <c r="E229" s="17"/>
      <c r="F229" s="17"/>
      <c r="G229" s="17"/>
      <c r="H229" s="17"/>
      <c r="I229" s="17"/>
      <c r="J229" s="21"/>
      <c r="K229" s="34" t="s">
        <v>28</v>
      </c>
    </row>
    <row r="230" spans="1:18" ht="31.5" customHeight="1" x14ac:dyDescent="0.25">
      <c r="A230" s="37" t="s">
        <v>30</v>
      </c>
      <c r="B230" s="38"/>
      <c r="C230" s="39"/>
      <c r="D230" s="40" t="s">
        <v>35</v>
      </c>
      <c r="E230" s="41"/>
      <c r="F230" s="41"/>
      <c r="G230" s="41"/>
      <c r="H230" s="41"/>
      <c r="I230" s="41"/>
      <c r="J230" s="42"/>
      <c r="K230" s="40" t="s">
        <v>31</v>
      </c>
    </row>
    <row r="231" spans="1:18" ht="42.75" customHeight="1" x14ac:dyDescent="0.25">
      <c r="A231" s="28" t="s">
        <v>36</v>
      </c>
      <c r="B231" s="33" t="s">
        <v>35</v>
      </c>
      <c r="C231" s="19"/>
      <c r="D231" s="34"/>
      <c r="E231" s="540"/>
      <c r="F231" s="541"/>
      <c r="G231" s="541"/>
      <c r="H231" s="541"/>
      <c r="I231" s="541"/>
      <c r="J231" s="542"/>
      <c r="K231" s="34" t="s">
        <v>28</v>
      </c>
      <c r="M231" s="13" t="s">
        <v>197</v>
      </c>
    </row>
    <row r="232" spans="1:18" ht="34.5" customHeight="1" x14ac:dyDescent="0.25">
      <c r="A232" s="37" t="s">
        <v>37</v>
      </c>
      <c r="B232" s="38"/>
      <c r="C232" s="39"/>
      <c r="D232" s="40" t="s">
        <v>35</v>
      </c>
      <c r="E232" s="41"/>
      <c r="F232" s="41"/>
      <c r="G232" s="41"/>
      <c r="H232" s="41"/>
      <c r="I232" s="41"/>
      <c r="J232" s="42"/>
      <c r="K232" s="40" t="s">
        <v>31</v>
      </c>
    </row>
    <row r="233" spans="1:18" ht="30.75" customHeight="1" x14ac:dyDescent="0.25">
      <c r="A233" s="28" t="s">
        <v>141</v>
      </c>
      <c r="B233" s="33" t="s">
        <v>35</v>
      </c>
      <c r="C233" s="19"/>
      <c r="D233" s="34"/>
      <c r="E233" s="17"/>
      <c r="F233" s="17"/>
      <c r="G233" s="17"/>
      <c r="H233" s="17"/>
      <c r="I233" s="17"/>
      <c r="J233" s="21"/>
      <c r="K233" s="34" t="s">
        <v>28</v>
      </c>
    </row>
    <row r="234" spans="1:18" ht="30.75" customHeight="1" x14ac:dyDescent="0.25">
      <c r="A234" s="28" t="s">
        <v>165</v>
      </c>
      <c r="B234" s="33" t="s">
        <v>35</v>
      </c>
      <c r="C234" s="19"/>
      <c r="D234" s="34"/>
      <c r="E234" s="17"/>
      <c r="F234" s="17"/>
      <c r="G234" s="17"/>
      <c r="H234" s="17"/>
      <c r="I234" s="17"/>
      <c r="J234" s="21"/>
      <c r="K234" s="34" t="s">
        <v>28</v>
      </c>
    </row>
    <row r="235" spans="1:18" ht="31.5" customHeight="1" x14ac:dyDescent="0.25">
      <c r="A235" s="28" t="s">
        <v>38</v>
      </c>
      <c r="B235" s="33" t="s">
        <v>35</v>
      </c>
      <c r="C235" s="19"/>
      <c r="D235" s="34"/>
      <c r="E235" s="17"/>
      <c r="F235" s="17"/>
      <c r="G235" s="17"/>
      <c r="H235" s="17"/>
      <c r="I235" s="17"/>
      <c r="J235" s="21"/>
      <c r="K235" s="34" t="s">
        <v>28</v>
      </c>
    </row>
    <row r="236" spans="1:18" ht="20.100000000000001" customHeight="1" x14ac:dyDescent="0.25">
      <c r="A236" s="27" t="s">
        <v>39</v>
      </c>
      <c r="B236" s="33" t="s">
        <v>35</v>
      </c>
      <c r="C236" s="19"/>
      <c r="D236" s="34"/>
      <c r="E236" s="17"/>
      <c r="F236" s="17"/>
      <c r="G236" s="17"/>
      <c r="H236" s="17"/>
      <c r="I236" s="17"/>
      <c r="J236" s="21"/>
      <c r="K236" s="34" t="s">
        <v>28</v>
      </c>
    </row>
    <row r="237" spans="1:18" ht="20.100000000000001" customHeight="1" x14ac:dyDescent="0.25">
      <c r="A237" s="27" t="s">
        <v>40</v>
      </c>
      <c r="B237" s="33" t="s">
        <v>35</v>
      </c>
      <c r="C237" s="19"/>
      <c r="D237" s="34"/>
      <c r="E237" s="17"/>
      <c r="F237" s="17"/>
      <c r="G237" s="17"/>
      <c r="H237" s="17"/>
      <c r="I237" s="17"/>
      <c r="J237" s="21"/>
      <c r="K237" s="34" t="s">
        <v>28</v>
      </c>
    </row>
    <row r="238" spans="1:18" ht="30.75" customHeight="1" thickBot="1" x14ac:dyDescent="0.3">
      <c r="A238" s="289" t="s">
        <v>41</v>
      </c>
      <c r="B238" s="35" t="s">
        <v>35</v>
      </c>
      <c r="C238" s="24"/>
      <c r="D238" s="36"/>
      <c r="E238" s="22"/>
      <c r="F238" s="22"/>
      <c r="G238" s="22"/>
      <c r="H238" s="22"/>
      <c r="I238" s="22"/>
      <c r="J238" s="23"/>
      <c r="K238" s="36" t="s">
        <v>28</v>
      </c>
    </row>
    <row r="239" spans="1:18" ht="30.75" customHeight="1" x14ac:dyDescent="0.25">
      <c r="A239" s="464"/>
      <c r="B239" s="465"/>
      <c r="C239" s="465"/>
      <c r="D239" s="465"/>
      <c r="E239" s="1"/>
      <c r="F239" s="1"/>
      <c r="G239" s="1"/>
      <c r="H239" s="1"/>
      <c r="I239" s="1"/>
      <c r="J239" s="1"/>
      <c r="K239" s="465"/>
    </row>
    <row r="241" spans="1:18" x14ac:dyDescent="0.25">
      <c r="A241" s="15" t="s">
        <v>29</v>
      </c>
      <c r="B241" s="16" t="str">
        <f>+CONSOLIDADO!A43</f>
        <v>WILLIAM ARTURO DAZA FLOREZ</v>
      </c>
      <c r="C241" s="16"/>
      <c r="D241" s="16"/>
      <c r="E241" s="16"/>
      <c r="F241" s="16"/>
      <c r="G241" s="1"/>
      <c r="H241" s="539" t="s">
        <v>51</v>
      </c>
      <c r="I241" s="539"/>
      <c r="J241" s="43" t="str">
        <f>IF(J243&gt;0,"NO HABILITADO","HABILITADO")</f>
        <v>HABILITADO</v>
      </c>
    </row>
    <row r="242" spans="1:18" x14ac:dyDescent="0.25">
      <c r="A242" s="15" t="str">
        <f>+'DATOS BASE DEL GRUPO'!$A$3</f>
        <v>GRUPO 1</v>
      </c>
      <c r="B242" s="13" t="str">
        <f>+$B$81</f>
        <v>SIERRA NEVADA-PERIJÁ-ZONA BANANERA</v>
      </c>
      <c r="G242" s="1"/>
      <c r="I242" s="15" t="s">
        <v>49</v>
      </c>
      <c r="J242" s="13">
        <f>COUNTIF(K248:K265,"SI")</f>
        <v>14</v>
      </c>
    </row>
    <row r="243" spans="1:18" x14ac:dyDescent="0.25">
      <c r="A243" s="15" t="s">
        <v>32</v>
      </c>
      <c r="B243" s="17" t="str">
        <f>+CONSOLIDADO!C44</f>
        <v>WILIAM ARTURO DAZA</v>
      </c>
      <c r="C243" s="17"/>
      <c r="D243" s="17"/>
      <c r="E243" s="18"/>
      <c r="F243" s="76" t="s">
        <v>67</v>
      </c>
      <c r="G243" s="73">
        <f>+CONSOLIDADO!D44</f>
        <v>1</v>
      </c>
      <c r="H243" s="1"/>
      <c r="I243" s="15" t="s">
        <v>50</v>
      </c>
      <c r="J243" s="13">
        <f>COUNTIF(K248:K265,"NO")</f>
        <v>0</v>
      </c>
    </row>
    <row r="244" spans="1:18" x14ac:dyDescent="0.25">
      <c r="A244" s="15" t="s">
        <v>33</v>
      </c>
      <c r="B244" s="17">
        <f>+CONSOLIDADO!C45</f>
        <v>0</v>
      </c>
      <c r="C244" s="17"/>
      <c r="D244" s="17"/>
      <c r="E244" s="1"/>
      <c r="F244" s="77" t="s">
        <v>67</v>
      </c>
      <c r="G244" s="73">
        <f>+CONSOLIDADO!D45</f>
        <v>0</v>
      </c>
      <c r="H244" s="75">
        <f>SUM(G243:G245)</f>
        <v>1</v>
      </c>
      <c r="I244" s="15" t="s">
        <v>31</v>
      </c>
      <c r="J244" s="13">
        <f>COUNTIF(K248:K265,"N/A")</f>
        <v>4</v>
      </c>
    </row>
    <row r="245" spans="1:18" x14ac:dyDescent="0.25">
      <c r="A245" s="15" t="s">
        <v>34</v>
      </c>
      <c r="B245" s="17">
        <f>+CONSOLIDADO!C46</f>
        <v>0</v>
      </c>
      <c r="C245" s="17"/>
      <c r="D245" s="17"/>
      <c r="E245" s="16"/>
      <c r="F245" s="78" t="s">
        <v>67</v>
      </c>
      <c r="G245" s="73">
        <f>+CONSOLIDADO!D46</f>
        <v>0</v>
      </c>
      <c r="H245" s="16"/>
      <c r="I245" s="16"/>
      <c r="J245" s="16"/>
    </row>
    <row r="246" spans="1:18" ht="7.5" customHeight="1" thickBot="1" x14ac:dyDescent="0.3"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8" s="14" customFormat="1" ht="15.75" thickBot="1" x14ac:dyDescent="0.3">
      <c r="A247" s="25" t="s">
        <v>26</v>
      </c>
      <c r="B247" s="29" t="s">
        <v>28</v>
      </c>
      <c r="C247" s="458" t="s">
        <v>27</v>
      </c>
      <c r="D247" s="30" t="s">
        <v>31</v>
      </c>
      <c r="E247" s="543" t="s">
        <v>42</v>
      </c>
      <c r="F247" s="544"/>
      <c r="G247" s="544"/>
      <c r="H247" s="544"/>
      <c r="I247" s="544"/>
      <c r="J247" s="545"/>
      <c r="K247" s="30" t="s">
        <v>47</v>
      </c>
    </row>
    <row r="248" spans="1:18" ht="76.5" customHeight="1" thickTop="1" x14ac:dyDescent="0.25">
      <c r="A248" s="26" t="s">
        <v>162</v>
      </c>
      <c r="B248" s="31" t="s">
        <v>35</v>
      </c>
      <c r="C248" s="20"/>
      <c r="D248" s="32"/>
      <c r="E248" s="548"/>
      <c r="F248" s="549"/>
      <c r="G248" s="549"/>
      <c r="H248" s="549"/>
      <c r="I248" s="549"/>
      <c r="J248" s="550"/>
      <c r="K248" s="32" t="s">
        <v>28</v>
      </c>
    </row>
    <row r="249" spans="1:18" ht="48.75" customHeight="1" x14ac:dyDescent="0.25">
      <c r="A249" s="27" t="s">
        <v>163</v>
      </c>
      <c r="B249" s="33" t="s">
        <v>35</v>
      </c>
      <c r="C249" s="19"/>
      <c r="D249" s="34"/>
      <c r="E249" s="540"/>
      <c r="F249" s="541"/>
      <c r="G249" s="541"/>
      <c r="H249" s="541"/>
      <c r="I249" s="541"/>
      <c r="J249" s="542"/>
      <c r="K249" s="34" t="s">
        <v>28</v>
      </c>
    </row>
    <row r="250" spans="1:18" ht="60" customHeight="1" x14ac:dyDescent="0.25">
      <c r="A250" s="28" t="s">
        <v>164</v>
      </c>
      <c r="B250" s="33"/>
      <c r="C250" s="19"/>
      <c r="D250" s="34" t="s">
        <v>31</v>
      </c>
      <c r="E250" s="540"/>
      <c r="F250" s="541"/>
      <c r="G250" s="541"/>
      <c r="H250" s="541"/>
      <c r="I250" s="541"/>
      <c r="J250" s="542"/>
      <c r="K250" s="34" t="s">
        <v>31</v>
      </c>
    </row>
    <row r="251" spans="1:18" ht="34.5" customHeight="1" x14ac:dyDescent="0.25">
      <c r="A251" s="65" t="s">
        <v>105</v>
      </c>
      <c r="B251" s="61" t="s">
        <v>35</v>
      </c>
      <c r="C251" s="62"/>
      <c r="D251" s="63"/>
      <c r="E251" s="50"/>
      <c r="F251" s="50"/>
      <c r="G251" s="50"/>
      <c r="H251" s="50"/>
      <c r="I251" s="50"/>
      <c r="J251" s="64"/>
      <c r="K251" s="63" t="s">
        <v>48</v>
      </c>
      <c r="L251" s="15" t="str">
        <f>+$A$3</f>
        <v>GRUPO 1</v>
      </c>
      <c r="M251" s="304" t="s">
        <v>176</v>
      </c>
      <c r="N251" s="304" t="s">
        <v>175</v>
      </c>
      <c r="O251" s="304" t="s">
        <v>174</v>
      </c>
      <c r="P251" s="304" t="s">
        <v>173</v>
      </c>
    </row>
    <row r="252" spans="1:18" ht="45" customHeight="1" x14ac:dyDescent="0.25">
      <c r="A252" s="27" t="s">
        <v>43</v>
      </c>
      <c r="B252" s="33" t="s">
        <v>35</v>
      </c>
      <c r="C252" s="19"/>
      <c r="D252" s="34"/>
      <c r="E252" s="540"/>
      <c r="F252" s="541"/>
      <c r="G252" s="541"/>
      <c r="H252" s="541"/>
      <c r="I252" s="541"/>
      <c r="J252" s="542"/>
      <c r="K252" s="34" t="s">
        <v>48</v>
      </c>
      <c r="L252" s="15"/>
      <c r="M252" s="321">
        <f>+'DATOS BASE DEL GRUPO'!$B$4*0.1</f>
        <v>564300000</v>
      </c>
      <c r="N252" s="322">
        <f>+$N$13</f>
        <v>43090</v>
      </c>
      <c r="O252" s="323">
        <f>+P252-N252</f>
        <v>120</v>
      </c>
      <c r="P252" s="322">
        <f>+$P$13</f>
        <v>43210</v>
      </c>
    </row>
    <row r="253" spans="1:18" ht="20.100000000000001" customHeight="1" x14ac:dyDescent="0.25">
      <c r="A253" s="27" t="s">
        <v>140</v>
      </c>
      <c r="B253" s="33" t="s">
        <v>35</v>
      </c>
      <c r="C253" s="19"/>
      <c r="D253" s="34"/>
      <c r="E253" s="17"/>
      <c r="F253" s="17"/>
      <c r="G253" s="17"/>
      <c r="H253" s="17"/>
      <c r="I253" s="17"/>
      <c r="J253" s="21"/>
      <c r="K253" s="34" t="s">
        <v>48</v>
      </c>
      <c r="M253" s="554" t="s">
        <v>177</v>
      </c>
      <c r="N253" s="554"/>
      <c r="O253" s="554"/>
      <c r="P253" s="554"/>
      <c r="Q253" s="554"/>
      <c r="R253" s="554"/>
    </row>
    <row r="254" spans="1:18" ht="42.75" customHeight="1" x14ac:dyDescent="0.25">
      <c r="A254" s="37" t="s">
        <v>46</v>
      </c>
      <c r="B254" s="38"/>
      <c r="C254" s="39"/>
      <c r="D254" s="40" t="s">
        <v>35</v>
      </c>
      <c r="E254" s="41"/>
      <c r="F254" s="41"/>
      <c r="G254" s="41"/>
      <c r="H254" s="41"/>
      <c r="I254" s="41"/>
      <c r="J254" s="42"/>
      <c r="K254" s="40" t="s">
        <v>31</v>
      </c>
      <c r="M254" s="554"/>
      <c r="N254" s="554"/>
      <c r="O254" s="554"/>
      <c r="P254" s="554"/>
      <c r="Q254" s="554"/>
      <c r="R254" s="554"/>
    </row>
    <row r="255" spans="1:18" ht="46.5" customHeight="1" x14ac:dyDescent="0.25">
      <c r="A255" s="28" t="s">
        <v>45</v>
      </c>
      <c r="B255" s="33" t="s">
        <v>35</v>
      </c>
      <c r="C255" s="19"/>
      <c r="D255" s="34"/>
      <c r="E255" s="17"/>
      <c r="F255" s="17"/>
      <c r="G255" s="17"/>
      <c r="H255" s="17"/>
      <c r="I255" s="17"/>
      <c r="J255" s="21"/>
      <c r="K255" s="34" t="s">
        <v>28</v>
      </c>
    </row>
    <row r="256" spans="1:18" ht="34.5" customHeight="1" x14ac:dyDescent="0.25">
      <c r="A256" s="28" t="s">
        <v>44</v>
      </c>
      <c r="B256" s="33" t="s">
        <v>35</v>
      </c>
      <c r="C256" s="19"/>
      <c r="D256" s="34"/>
      <c r="E256" s="17"/>
      <c r="F256" s="17"/>
      <c r="G256" s="17"/>
      <c r="H256" s="17"/>
      <c r="I256" s="17"/>
      <c r="J256" s="21"/>
      <c r="K256" s="34" t="s">
        <v>28</v>
      </c>
    </row>
    <row r="257" spans="1:13" ht="31.5" customHeight="1" x14ac:dyDescent="0.25">
      <c r="A257" s="37" t="s">
        <v>30</v>
      </c>
      <c r="B257" s="38"/>
      <c r="C257" s="39"/>
      <c r="D257" s="40" t="s">
        <v>35</v>
      </c>
      <c r="E257" s="41"/>
      <c r="F257" s="41"/>
      <c r="G257" s="41"/>
      <c r="H257" s="41"/>
      <c r="I257" s="41"/>
      <c r="J257" s="42"/>
      <c r="K257" s="40" t="s">
        <v>31</v>
      </c>
    </row>
    <row r="258" spans="1:13" ht="42.75" customHeight="1" x14ac:dyDescent="0.25">
      <c r="A258" s="28" t="s">
        <v>36</v>
      </c>
      <c r="B258" s="33" t="s">
        <v>35</v>
      </c>
      <c r="C258" s="19"/>
      <c r="D258" s="34"/>
      <c r="E258" s="540"/>
      <c r="F258" s="541"/>
      <c r="G258" s="541"/>
      <c r="H258" s="541"/>
      <c r="I258" s="541"/>
      <c r="J258" s="542"/>
      <c r="K258" s="34" t="s">
        <v>28</v>
      </c>
      <c r="M258" s="13" t="s">
        <v>197</v>
      </c>
    </row>
    <row r="259" spans="1:13" ht="34.5" customHeight="1" x14ac:dyDescent="0.25">
      <c r="A259" s="37" t="s">
        <v>37</v>
      </c>
      <c r="B259" s="38"/>
      <c r="C259" s="39"/>
      <c r="D259" s="40" t="s">
        <v>35</v>
      </c>
      <c r="E259" s="41"/>
      <c r="F259" s="41"/>
      <c r="G259" s="41"/>
      <c r="H259" s="41"/>
      <c r="I259" s="41"/>
      <c r="J259" s="42"/>
      <c r="K259" s="40" t="s">
        <v>31</v>
      </c>
    </row>
    <row r="260" spans="1:13" ht="30.75" customHeight="1" x14ac:dyDescent="0.25">
      <c r="A260" s="28" t="s">
        <v>141</v>
      </c>
      <c r="B260" s="33" t="s">
        <v>35</v>
      </c>
      <c r="C260" s="19"/>
      <c r="D260" s="34"/>
      <c r="E260" s="17"/>
      <c r="F260" s="17"/>
      <c r="G260" s="17"/>
      <c r="H260" s="17"/>
      <c r="I260" s="17"/>
      <c r="J260" s="21"/>
      <c r="K260" s="34" t="s">
        <v>28</v>
      </c>
    </row>
    <row r="261" spans="1:13" ht="30.75" customHeight="1" x14ac:dyDescent="0.25">
      <c r="A261" s="28" t="s">
        <v>165</v>
      </c>
      <c r="B261" s="33" t="s">
        <v>35</v>
      </c>
      <c r="C261" s="19"/>
      <c r="D261" s="34"/>
      <c r="E261" s="17"/>
      <c r="F261" s="17"/>
      <c r="G261" s="17"/>
      <c r="H261" s="17"/>
      <c r="I261" s="17"/>
      <c r="J261" s="21"/>
      <c r="K261" s="34" t="s">
        <v>28</v>
      </c>
    </row>
    <row r="262" spans="1:13" ht="31.5" customHeight="1" x14ac:dyDescent="0.25">
      <c r="A262" s="28" t="s">
        <v>38</v>
      </c>
      <c r="B262" s="33" t="s">
        <v>35</v>
      </c>
      <c r="C262" s="19"/>
      <c r="D262" s="34"/>
      <c r="E262" s="17"/>
      <c r="F262" s="17"/>
      <c r="G262" s="17"/>
      <c r="H262" s="17"/>
      <c r="I262" s="17"/>
      <c r="J262" s="21"/>
      <c r="K262" s="34" t="s">
        <v>28</v>
      </c>
    </row>
    <row r="263" spans="1:13" ht="20.100000000000001" customHeight="1" x14ac:dyDescent="0.25">
      <c r="A263" s="27" t="s">
        <v>39</v>
      </c>
      <c r="B263" s="33" t="s">
        <v>35</v>
      </c>
      <c r="C263" s="19"/>
      <c r="D263" s="34"/>
      <c r="E263" s="17"/>
      <c r="F263" s="17"/>
      <c r="G263" s="17"/>
      <c r="H263" s="17"/>
      <c r="I263" s="17"/>
      <c r="J263" s="21"/>
      <c r="K263" s="34" t="s">
        <v>28</v>
      </c>
    </row>
    <row r="264" spans="1:13" ht="20.100000000000001" customHeight="1" x14ac:dyDescent="0.25">
      <c r="A264" s="27" t="s">
        <v>40</v>
      </c>
      <c r="B264" s="33" t="s">
        <v>35</v>
      </c>
      <c r="C264" s="19"/>
      <c r="D264" s="34"/>
      <c r="E264" s="17"/>
      <c r="F264" s="17"/>
      <c r="G264" s="17"/>
      <c r="H264" s="17"/>
      <c r="I264" s="17"/>
      <c r="J264" s="21"/>
      <c r="K264" s="34" t="s">
        <v>28</v>
      </c>
    </row>
    <row r="265" spans="1:13" ht="30.75" customHeight="1" thickBot="1" x14ac:dyDescent="0.3">
      <c r="A265" s="289" t="s">
        <v>41</v>
      </c>
      <c r="B265" s="35" t="s">
        <v>35</v>
      </c>
      <c r="C265" s="24"/>
      <c r="D265" s="36"/>
      <c r="E265" s="22"/>
      <c r="F265" s="22"/>
      <c r="G265" s="22"/>
      <c r="H265" s="22"/>
      <c r="I265" s="22"/>
      <c r="J265" s="23"/>
      <c r="K265" s="36" t="s">
        <v>28</v>
      </c>
    </row>
    <row r="266" spans="1:13" ht="30.75" customHeight="1" x14ac:dyDescent="0.25">
      <c r="A266" s="464"/>
      <c r="B266" s="465"/>
      <c r="C266" s="465"/>
      <c r="D266" s="465"/>
      <c r="E266" s="1"/>
      <c r="F266" s="1"/>
      <c r="G266" s="1"/>
      <c r="H266" s="1"/>
      <c r="I266" s="1"/>
      <c r="J266" s="1"/>
      <c r="K266" s="465"/>
    </row>
    <row r="268" spans="1:13" x14ac:dyDescent="0.25">
      <c r="A268" s="15" t="s">
        <v>29</v>
      </c>
      <c r="B268" s="16" t="str">
        <f>+CONSOLIDADO!A47</f>
        <v>FEDERACIÓN NACIONAL DE CAFETEROS</v>
      </c>
      <c r="C268" s="16"/>
      <c r="D268" s="16"/>
      <c r="E268" s="16"/>
      <c r="F268" s="16"/>
      <c r="G268" s="1"/>
      <c r="H268" s="539" t="s">
        <v>51</v>
      </c>
      <c r="I268" s="539"/>
      <c r="J268" s="43" t="str">
        <f>IF(J270&gt;0,"NO HABILITADO","HABILITADO")</f>
        <v>HABILITADO</v>
      </c>
    </row>
    <row r="269" spans="1:13" x14ac:dyDescent="0.25">
      <c r="A269" s="15" t="str">
        <f>+'DATOS BASE DEL GRUPO'!$A$3</f>
        <v>GRUPO 1</v>
      </c>
      <c r="B269" s="13" t="str">
        <f>+$B$81</f>
        <v>SIERRA NEVADA-PERIJÁ-ZONA BANANERA</v>
      </c>
      <c r="G269" s="1"/>
      <c r="I269" s="15" t="s">
        <v>49</v>
      </c>
      <c r="J269" s="13">
        <f>COUNTIF(K275:K292,"SI")</f>
        <v>14</v>
      </c>
    </row>
    <row r="270" spans="1:13" x14ac:dyDescent="0.25">
      <c r="A270" s="15" t="s">
        <v>32</v>
      </c>
      <c r="B270" s="17" t="str">
        <f>+CONSOLIDADO!C48</f>
        <v>FEDERACION NACIONAL DE CAFETEROS</v>
      </c>
      <c r="C270" s="17"/>
      <c r="D270" s="17"/>
      <c r="E270" s="18"/>
      <c r="F270" s="76" t="s">
        <v>67</v>
      </c>
      <c r="G270" s="73">
        <f>+CONSOLIDADO!D48</f>
        <v>1</v>
      </c>
      <c r="H270" s="1"/>
      <c r="I270" s="15" t="s">
        <v>50</v>
      </c>
      <c r="J270" s="13">
        <f>COUNTIF(K275:K292,"NO")</f>
        <v>0</v>
      </c>
    </row>
    <row r="271" spans="1:13" x14ac:dyDescent="0.25">
      <c r="A271" s="15" t="s">
        <v>33</v>
      </c>
      <c r="B271" s="17">
        <f>+CONSOLIDADO!C49</f>
        <v>0</v>
      </c>
      <c r="C271" s="17"/>
      <c r="D271" s="17"/>
      <c r="E271" s="1"/>
      <c r="F271" s="77" t="s">
        <v>67</v>
      </c>
      <c r="G271" s="73">
        <f>+CONSOLIDADO!D49</f>
        <v>0</v>
      </c>
      <c r="H271" s="75">
        <f>SUM(G270:G272)</f>
        <v>1</v>
      </c>
      <c r="I271" s="15" t="s">
        <v>31</v>
      </c>
      <c r="J271" s="13">
        <f>COUNTIF(K275:K292,"N/A")</f>
        <v>4</v>
      </c>
    </row>
    <row r="272" spans="1:13" x14ac:dyDescent="0.25">
      <c r="A272" s="15" t="s">
        <v>34</v>
      </c>
      <c r="B272" s="17">
        <f>+CONSOLIDADO!C50</f>
        <v>0</v>
      </c>
      <c r="C272" s="17"/>
      <c r="D272" s="17"/>
      <c r="E272" s="16"/>
      <c r="F272" s="78" t="s">
        <v>67</v>
      </c>
      <c r="G272" s="73">
        <f>+CONSOLIDADO!D50</f>
        <v>0</v>
      </c>
      <c r="H272" s="16"/>
      <c r="I272" s="16"/>
      <c r="J272" s="16"/>
    </row>
    <row r="273" spans="1:18" ht="7.5" customHeight="1" thickBot="1" x14ac:dyDescent="0.3"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8" s="14" customFormat="1" ht="15.75" thickBot="1" x14ac:dyDescent="0.3">
      <c r="A274" s="25" t="s">
        <v>26</v>
      </c>
      <c r="B274" s="29" t="s">
        <v>28</v>
      </c>
      <c r="C274" s="458" t="s">
        <v>27</v>
      </c>
      <c r="D274" s="30" t="s">
        <v>31</v>
      </c>
      <c r="E274" s="543" t="s">
        <v>42</v>
      </c>
      <c r="F274" s="544"/>
      <c r="G274" s="544"/>
      <c r="H274" s="544"/>
      <c r="I274" s="544"/>
      <c r="J274" s="545"/>
      <c r="K274" s="30" t="s">
        <v>47</v>
      </c>
    </row>
    <row r="275" spans="1:18" ht="76.5" customHeight="1" thickTop="1" x14ac:dyDescent="0.25">
      <c r="A275" s="26" t="s">
        <v>162</v>
      </c>
      <c r="B275" s="31" t="s">
        <v>35</v>
      </c>
      <c r="C275" s="20"/>
      <c r="D275" s="32"/>
      <c r="E275" s="548"/>
      <c r="F275" s="549"/>
      <c r="G275" s="549"/>
      <c r="H275" s="549"/>
      <c r="I275" s="549"/>
      <c r="J275" s="550"/>
      <c r="K275" s="32" t="s">
        <v>28</v>
      </c>
    </row>
    <row r="276" spans="1:18" ht="48.75" customHeight="1" x14ac:dyDescent="0.25">
      <c r="A276" s="27" t="s">
        <v>163</v>
      </c>
      <c r="B276" s="33" t="s">
        <v>35</v>
      </c>
      <c r="C276" s="19"/>
      <c r="D276" s="34"/>
      <c r="E276" s="540"/>
      <c r="F276" s="541"/>
      <c r="G276" s="541"/>
      <c r="H276" s="541"/>
      <c r="I276" s="541"/>
      <c r="J276" s="542"/>
      <c r="K276" s="34" t="s">
        <v>28</v>
      </c>
    </row>
    <row r="277" spans="1:18" ht="60" customHeight="1" x14ac:dyDescent="0.25">
      <c r="A277" s="28" t="s">
        <v>164</v>
      </c>
      <c r="B277" s="33"/>
      <c r="C277" s="19"/>
      <c r="D277" s="34" t="s">
        <v>31</v>
      </c>
      <c r="E277" s="540"/>
      <c r="F277" s="541"/>
      <c r="G277" s="541"/>
      <c r="H277" s="541"/>
      <c r="I277" s="541"/>
      <c r="J277" s="542"/>
      <c r="K277" s="34" t="s">
        <v>31</v>
      </c>
    </row>
    <row r="278" spans="1:18" ht="34.5" customHeight="1" x14ac:dyDescent="0.25">
      <c r="A278" s="65" t="s">
        <v>105</v>
      </c>
      <c r="B278" s="61" t="s">
        <v>35</v>
      </c>
      <c r="C278" s="62"/>
      <c r="D278" s="63"/>
      <c r="E278" s="50"/>
      <c r="F278" s="50"/>
      <c r="G278" s="50"/>
      <c r="H278" s="50"/>
      <c r="I278" s="50"/>
      <c r="J278" s="64"/>
      <c r="K278" s="63" t="s">
        <v>48</v>
      </c>
      <c r="L278" s="15" t="str">
        <f>+$A$3</f>
        <v>GRUPO 1</v>
      </c>
      <c r="M278" s="304" t="s">
        <v>176</v>
      </c>
      <c r="N278" s="304" t="s">
        <v>175</v>
      </c>
      <c r="O278" s="304" t="s">
        <v>174</v>
      </c>
      <c r="P278" s="304" t="s">
        <v>173</v>
      </c>
    </row>
    <row r="279" spans="1:18" ht="45" customHeight="1" x14ac:dyDescent="0.25">
      <c r="A279" s="27" t="s">
        <v>43</v>
      </c>
      <c r="B279" s="33" t="s">
        <v>35</v>
      </c>
      <c r="C279" s="19"/>
      <c r="D279" s="34"/>
      <c r="E279" s="540"/>
      <c r="F279" s="541"/>
      <c r="G279" s="541"/>
      <c r="H279" s="541"/>
      <c r="I279" s="541"/>
      <c r="J279" s="542"/>
      <c r="K279" s="34" t="s">
        <v>48</v>
      </c>
      <c r="L279" s="15"/>
      <c r="M279" s="321">
        <f>+'DATOS BASE DEL GRUPO'!$B$4*0.1</f>
        <v>564300000</v>
      </c>
      <c r="N279" s="322">
        <f>+$N$13</f>
        <v>43090</v>
      </c>
      <c r="O279" s="323">
        <f>+P279-N279</f>
        <v>120</v>
      </c>
      <c r="P279" s="322">
        <f>+$P$13</f>
        <v>43210</v>
      </c>
    </row>
    <row r="280" spans="1:18" ht="20.100000000000001" customHeight="1" x14ac:dyDescent="0.25">
      <c r="A280" s="27" t="s">
        <v>140</v>
      </c>
      <c r="B280" s="33" t="s">
        <v>35</v>
      </c>
      <c r="C280" s="19"/>
      <c r="D280" s="34"/>
      <c r="E280" s="17"/>
      <c r="F280" s="17"/>
      <c r="G280" s="17"/>
      <c r="H280" s="17"/>
      <c r="I280" s="17"/>
      <c r="J280" s="21"/>
      <c r="K280" s="34" t="s">
        <v>48</v>
      </c>
      <c r="M280" s="554" t="s">
        <v>177</v>
      </c>
      <c r="N280" s="554"/>
      <c r="O280" s="554"/>
      <c r="P280" s="554"/>
      <c r="Q280" s="554"/>
      <c r="R280" s="554"/>
    </row>
    <row r="281" spans="1:18" ht="42.75" customHeight="1" x14ac:dyDescent="0.25">
      <c r="A281" s="37" t="s">
        <v>46</v>
      </c>
      <c r="B281" s="38"/>
      <c r="C281" s="39"/>
      <c r="D281" s="40" t="s">
        <v>35</v>
      </c>
      <c r="E281" s="41"/>
      <c r="F281" s="41"/>
      <c r="G281" s="41"/>
      <c r="H281" s="41"/>
      <c r="I281" s="41"/>
      <c r="J281" s="42"/>
      <c r="K281" s="40" t="s">
        <v>31</v>
      </c>
      <c r="M281" s="554"/>
      <c r="N281" s="554"/>
      <c r="O281" s="554"/>
      <c r="P281" s="554"/>
      <c r="Q281" s="554"/>
      <c r="R281" s="554"/>
    </row>
    <row r="282" spans="1:18" ht="46.5" customHeight="1" x14ac:dyDescent="0.25">
      <c r="A282" s="28" t="s">
        <v>45</v>
      </c>
      <c r="B282" s="33" t="s">
        <v>35</v>
      </c>
      <c r="C282" s="19"/>
      <c r="D282" s="34"/>
      <c r="E282" s="17"/>
      <c r="F282" s="17"/>
      <c r="G282" s="17"/>
      <c r="H282" s="17"/>
      <c r="I282" s="17"/>
      <c r="J282" s="21"/>
      <c r="K282" s="34" t="s">
        <v>28</v>
      </c>
    </row>
    <row r="283" spans="1:18" ht="34.5" customHeight="1" x14ac:dyDescent="0.25">
      <c r="A283" s="28" t="s">
        <v>44</v>
      </c>
      <c r="B283" s="33" t="s">
        <v>35</v>
      </c>
      <c r="C283" s="19"/>
      <c r="D283" s="34"/>
      <c r="E283" s="17"/>
      <c r="F283" s="17"/>
      <c r="G283" s="17"/>
      <c r="H283" s="17"/>
      <c r="I283" s="17"/>
      <c r="J283" s="21"/>
      <c r="K283" s="34" t="s">
        <v>28</v>
      </c>
    </row>
    <row r="284" spans="1:18" ht="31.5" customHeight="1" x14ac:dyDescent="0.25">
      <c r="A284" s="37" t="s">
        <v>30</v>
      </c>
      <c r="B284" s="38"/>
      <c r="C284" s="39"/>
      <c r="D284" s="40" t="s">
        <v>35</v>
      </c>
      <c r="E284" s="41"/>
      <c r="F284" s="41"/>
      <c r="G284" s="41"/>
      <c r="H284" s="41"/>
      <c r="I284" s="41"/>
      <c r="J284" s="42"/>
      <c r="K284" s="40" t="s">
        <v>31</v>
      </c>
    </row>
    <row r="285" spans="1:18" ht="42.75" customHeight="1" x14ac:dyDescent="0.25">
      <c r="A285" s="28" t="s">
        <v>36</v>
      </c>
      <c r="B285" s="33" t="s">
        <v>35</v>
      </c>
      <c r="C285" s="19"/>
      <c r="D285" s="34"/>
      <c r="E285" s="540"/>
      <c r="F285" s="541"/>
      <c r="G285" s="541"/>
      <c r="H285" s="541"/>
      <c r="I285" s="541"/>
      <c r="J285" s="542"/>
      <c r="K285" s="34" t="s">
        <v>28</v>
      </c>
      <c r="M285" s="13" t="s">
        <v>197</v>
      </c>
    </row>
    <row r="286" spans="1:18" ht="34.5" customHeight="1" x14ac:dyDescent="0.25">
      <c r="A286" s="37" t="s">
        <v>37</v>
      </c>
      <c r="B286" s="38"/>
      <c r="C286" s="39"/>
      <c r="D286" s="40" t="s">
        <v>35</v>
      </c>
      <c r="E286" s="41"/>
      <c r="F286" s="41"/>
      <c r="G286" s="41"/>
      <c r="H286" s="41"/>
      <c r="I286" s="41"/>
      <c r="J286" s="42"/>
      <c r="K286" s="40" t="s">
        <v>31</v>
      </c>
    </row>
    <row r="287" spans="1:18" ht="30.75" customHeight="1" x14ac:dyDescent="0.25">
      <c r="A287" s="28" t="s">
        <v>141</v>
      </c>
      <c r="B287" s="33" t="s">
        <v>35</v>
      </c>
      <c r="C287" s="19"/>
      <c r="D287" s="34"/>
      <c r="E287" s="17"/>
      <c r="F287" s="17"/>
      <c r="G287" s="17"/>
      <c r="H287" s="17"/>
      <c r="I287" s="17"/>
      <c r="J287" s="21"/>
      <c r="K287" s="34" t="s">
        <v>28</v>
      </c>
    </row>
    <row r="288" spans="1:18" ht="30.75" customHeight="1" x14ac:dyDescent="0.25">
      <c r="A288" s="28" t="s">
        <v>165</v>
      </c>
      <c r="B288" s="33" t="s">
        <v>35</v>
      </c>
      <c r="C288" s="19"/>
      <c r="D288" s="34"/>
      <c r="E288" s="17"/>
      <c r="F288" s="17"/>
      <c r="G288" s="17"/>
      <c r="H288" s="17"/>
      <c r="I288" s="17"/>
      <c r="J288" s="21"/>
      <c r="K288" s="34" t="s">
        <v>28</v>
      </c>
    </row>
    <row r="289" spans="1:11" ht="31.5" customHeight="1" x14ac:dyDescent="0.25">
      <c r="A289" s="28" t="s">
        <v>38</v>
      </c>
      <c r="B289" s="33" t="s">
        <v>35</v>
      </c>
      <c r="C289" s="19"/>
      <c r="D289" s="34"/>
      <c r="E289" s="17"/>
      <c r="F289" s="17"/>
      <c r="G289" s="17"/>
      <c r="H289" s="17"/>
      <c r="I289" s="17"/>
      <c r="J289" s="21"/>
      <c r="K289" s="34" t="s">
        <v>28</v>
      </c>
    </row>
    <row r="290" spans="1:11" ht="20.100000000000001" customHeight="1" x14ac:dyDescent="0.25">
      <c r="A290" s="27" t="s">
        <v>39</v>
      </c>
      <c r="B290" s="33" t="s">
        <v>35</v>
      </c>
      <c r="C290" s="19"/>
      <c r="D290" s="34"/>
      <c r="E290" s="17"/>
      <c r="F290" s="17"/>
      <c r="G290" s="17"/>
      <c r="H290" s="17"/>
      <c r="I290" s="17"/>
      <c r="J290" s="21"/>
      <c r="K290" s="34" t="s">
        <v>28</v>
      </c>
    </row>
    <row r="291" spans="1:11" ht="20.100000000000001" customHeight="1" x14ac:dyDescent="0.25">
      <c r="A291" s="27" t="s">
        <v>40</v>
      </c>
      <c r="B291" s="33" t="s">
        <v>35</v>
      </c>
      <c r="C291" s="19"/>
      <c r="D291" s="34"/>
      <c r="E291" s="17"/>
      <c r="F291" s="17"/>
      <c r="G291" s="17"/>
      <c r="H291" s="17"/>
      <c r="I291" s="17"/>
      <c r="J291" s="21"/>
      <c r="K291" s="34" t="s">
        <v>28</v>
      </c>
    </row>
    <row r="292" spans="1:11" ht="30.75" customHeight="1" thickBot="1" x14ac:dyDescent="0.3">
      <c r="A292" s="289" t="s">
        <v>41</v>
      </c>
      <c r="B292" s="35" t="s">
        <v>35</v>
      </c>
      <c r="C292" s="24"/>
      <c r="D292" s="36"/>
      <c r="E292" s="22"/>
      <c r="F292" s="22"/>
      <c r="G292" s="22"/>
      <c r="H292" s="22"/>
      <c r="I292" s="22"/>
      <c r="J292" s="23"/>
      <c r="K292" s="36" t="s">
        <v>28</v>
      </c>
    </row>
    <row r="293" spans="1:11" ht="30.75" customHeight="1" x14ac:dyDescent="0.25">
      <c r="A293" s="464"/>
      <c r="B293" s="465"/>
      <c r="C293" s="465"/>
      <c r="D293" s="465"/>
      <c r="E293" s="1"/>
      <c r="F293" s="1"/>
      <c r="G293" s="1"/>
      <c r="H293" s="1"/>
      <c r="I293" s="1"/>
      <c r="J293" s="1"/>
      <c r="K293" s="465"/>
    </row>
    <row r="295" spans="1:11" x14ac:dyDescent="0.25">
      <c r="A295" s="15" t="s">
        <v>29</v>
      </c>
      <c r="B295" s="16" t="str">
        <f>+CONSOLIDADO!A51</f>
        <v>UNION TEMPORAL PROSPERIDAD</v>
      </c>
      <c r="C295" s="16"/>
      <c r="D295" s="16"/>
      <c r="E295" s="16"/>
      <c r="F295" s="16"/>
      <c r="G295" s="1"/>
      <c r="H295" s="539" t="s">
        <v>51</v>
      </c>
      <c r="I295" s="539"/>
      <c r="J295" s="43" t="str">
        <f>IF(J297&gt;0,"NO HABILITADO","HABILITADO")</f>
        <v>HABILITADO</v>
      </c>
    </row>
    <row r="296" spans="1:11" x14ac:dyDescent="0.25">
      <c r="A296" s="15" t="str">
        <f>+'DATOS BASE DEL GRUPO'!$A$3</f>
        <v>GRUPO 1</v>
      </c>
      <c r="B296" s="13" t="str">
        <f>+$B$81</f>
        <v>SIERRA NEVADA-PERIJÁ-ZONA BANANERA</v>
      </c>
      <c r="G296" s="1"/>
      <c r="I296" s="15" t="s">
        <v>49</v>
      </c>
      <c r="J296" s="13">
        <f>COUNTIF(K302:K319,"SI")</f>
        <v>14</v>
      </c>
    </row>
    <row r="297" spans="1:11" x14ac:dyDescent="0.25">
      <c r="A297" s="15" t="s">
        <v>32</v>
      </c>
      <c r="B297" s="17" t="str">
        <f>+CONSOLIDADO!C52</f>
        <v>AGE INGENIERIA SAS</v>
      </c>
      <c r="C297" s="17"/>
      <c r="D297" s="17"/>
      <c r="E297" s="18"/>
      <c r="F297" s="76" t="s">
        <v>67</v>
      </c>
      <c r="G297" s="73">
        <f>+CONSOLIDADO!D52</f>
        <v>0.5</v>
      </c>
      <c r="H297" s="1"/>
      <c r="I297" s="15" t="s">
        <v>50</v>
      </c>
      <c r="J297" s="13">
        <f>COUNTIF(K302:K319,"NO")</f>
        <v>0</v>
      </c>
    </row>
    <row r="298" spans="1:11" x14ac:dyDescent="0.25">
      <c r="A298" s="15" t="s">
        <v>33</v>
      </c>
      <c r="B298" s="17" t="str">
        <f>+CONSOLIDADO!C53</f>
        <v>ASOCIACION AGROPECUARIA</v>
      </c>
      <c r="C298" s="17"/>
      <c r="D298" s="17"/>
      <c r="E298" s="1"/>
      <c r="F298" s="77" t="s">
        <v>67</v>
      </c>
      <c r="G298" s="73">
        <f>+CONSOLIDADO!D53</f>
        <v>0.3</v>
      </c>
      <c r="H298" s="75">
        <f>SUM(G297:G299)</f>
        <v>1</v>
      </c>
      <c r="I298" s="15" t="s">
        <v>31</v>
      </c>
      <c r="J298" s="13">
        <f>COUNTIF(K302:K319,"N/A")</f>
        <v>4</v>
      </c>
    </row>
    <row r="299" spans="1:11" x14ac:dyDescent="0.25">
      <c r="A299" s="15" t="s">
        <v>34</v>
      </c>
      <c r="B299" s="17" t="str">
        <f>+CONSOLIDADO!C54</f>
        <v>FABIÁN LEONARDO TORRADO</v>
      </c>
      <c r="C299" s="17"/>
      <c r="D299" s="17"/>
      <c r="E299" s="16"/>
      <c r="F299" s="78" t="s">
        <v>67</v>
      </c>
      <c r="G299" s="73">
        <f>+CONSOLIDADO!D54</f>
        <v>0.2</v>
      </c>
      <c r="H299" s="16"/>
      <c r="I299" s="16"/>
      <c r="J299" s="16"/>
    </row>
    <row r="300" spans="1:11" ht="7.5" customHeight="1" thickBot="1" x14ac:dyDescent="0.3"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s="14" customFormat="1" ht="15.75" thickBot="1" x14ac:dyDescent="0.3">
      <c r="A301" s="25" t="s">
        <v>26</v>
      </c>
      <c r="B301" s="29" t="s">
        <v>28</v>
      </c>
      <c r="C301" s="458" t="s">
        <v>27</v>
      </c>
      <c r="D301" s="30" t="s">
        <v>31</v>
      </c>
      <c r="E301" s="543" t="s">
        <v>42</v>
      </c>
      <c r="F301" s="544"/>
      <c r="G301" s="544"/>
      <c r="H301" s="544"/>
      <c r="I301" s="544"/>
      <c r="J301" s="545"/>
      <c r="K301" s="30" t="s">
        <v>47</v>
      </c>
    </row>
    <row r="302" spans="1:11" ht="76.5" customHeight="1" thickTop="1" x14ac:dyDescent="0.25">
      <c r="A302" s="26" t="s">
        <v>162</v>
      </c>
      <c r="B302" s="31" t="s">
        <v>35</v>
      </c>
      <c r="C302" s="20"/>
      <c r="D302" s="32"/>
      <c r="E302" s="548"/>
      <c r="F302" s="549"/>
      <c r="G302" s="549"/>
      <c r="H302" s="549"/>
      <c r="I302" s="549"/>
      <c r="J302" s="550"/>
      <c r="K302" s="32" t="s">
        <v>28</v>
      </c>
    </row>
    <row r="303" spans="1:11" ht="48.75" customHeight="1" x14ac:dyDescent="0.25">
      <c r="A303" s="27" t="s">
        <v>163</v>
      </c>
      <c r="B303" s="33" t="s">
        <v>35</v>
      </c>
      <c r="C303" s="19"/>
      <c r="D303" s="34"/>
      <c r="E303" s="540"/>
      <c r="F303" s="541"/>
      <c r="G303" s="541"/>
      <c r="H303" s="541"/>
      <c r="I303" s="541"/>
      <c r="J303" s="542"/>
      <c r="K303" s="34" t="s">
        <v>28</v>
      </c>
    </row>
    <row r="304" spans="1:11" ht="60" customHeight="1" x14ac:dyDescent="0.25">
      <c r="A304" s="28" t="s">
        <v>164</v>
      </c>
      <c r="B304" s="33"/>
      <c r="C304" s="19"/>
      <c r="D304" s="34" t="s">
        <v>31</v>
      </c>
      <c r="E304" s="540"/>
      <c r="F304" s="541"/>
      <c r="G304" s="541"/>
      <c r="H304" s="541"/>
      <c r="I304" s="541"/>
      <c r="J304" s="542"/>
      <c r="K304" s="34" t="s">
        <v>31</v>
      </c>
    </row>
    <row r="305" spans="1:18" ht="34.5" customHeight="1" x14ac:dyDescent="0.25">
      <c r="A305" s="65" t="s">
        <v>105</v>
      </c>
      <c r="B305" s="61" t="s">
        <v>35</v>
      </c>
      <c r="C305" s="62"/>
      <c r="D305" s="63"/>
      <c r="E305" s="50"/>
      <c r="F305" s="50"/>
      <c r="G305" s="50"/>
      <c r="H305" s="50"/>
      <c r="I305" s="50"/>
      <c r="J305" s="64"/>
      <c r="K305" s="63" t="s">
        <v>48</v>
      </c>
      <c r="L305" s="15" t="str">
        <f>+$A$3</f>
        <v>GRUPO 1</v>
      </c>
      <c r="M305" s="304" t="s">
        <v>176</v>
      </c>
      <c r="N305" s="304" t="s">
        <v>175</v>
      </c>
      <c r="O305" s="304" t="s">
        <v>174</v>
      </c>
      <c r="P305" s="304" t="s">
        <v>173</v>
      </c>
    </row>
    <row r="306" spans="1:18" ht="45" customHeight="1" x14ac:dyDescent="0.25">
      <c r="A306" s="27" t="s">
        <v>43</v>
      </c>
      <c r="B306" s="33" t="s">
        <v>35</v>
      </c>
      <c r="C306" s="19"/>
      <c r="D306" s="34"/>
      <c r="E306" s="540"/>
      <c r="F306" s="541"/>
      <c r="G306" s="541"/>
      <c r="H306" s="541"/>
      <c r="I306" s="541"/>
      <c r="J306" s="542"/>
      <c r="K306" s="34" t="s">
        <v>48</v>
      </c>
      <c r="L306" s="15"/>
      <c r="M306" s="321">
        <f>+'DATOS BASE DEL GRUPO'!$B$4*0.1</f>
        <v>564300000</v>
      </c>
      <c r="N306" s="322">
        <f>+$N$13</f>
        <v>43090</v>
      </c>
      <c r="O306" s="323">
        <f>+P306-N306</f>
        <v>120</v>
      </c>
      <c r="P306" s="322">
        <f>+$P$13</f>
        <v>43210</v>
      </c>
    </row>
    <row r="307" spans="1:18" ht="20.100000000000001" customHeight="1" x14ac:dyDescent="0.25">
      <c r="A307" s="27" t="s">
        <v>140</v>
      </c>
      <c r="B307" s="33" t="s">
        <v>35</v>
      </c>
      <c r="C307" s="19"/>
      <c r="D307" s="34"/>
      <c r="E307" s="17"/>
      <c r="F307" s="17"/>
      <c r="G307" s="17"/>
      <c r="H307" s="17"/>
      <c r="I307" s="17"/>
      <c r="J307" s="21"/>
      <c r="K307" s="34" t="s">
        <v>48</v>
      </c>
      <c r="M307" s="554" t="s">
        <v>177</v>
      </c>
      <c r="N307" s="554"/>
      <c r="O307" s="554"/>
      <c r="P307" s="554"/>
      <c r="Q307" s="554"/>
      <c r="R307" s="554"/>
    </row>
    <row r="308" spans="1:18" ht="42.75" customHeight="1" x14ac:dyDescent="0.25">
      <c r="A308" s="37" t="s">
        <v>46</v>
      </c>
      <c r="B308" s="38"/>
      <c r="C308" s="39"/>
      <c r="D308" s="40" t="s">
        <v>35</v>
      </c>
      <c r="E308" s="41"/>
      <c r="F308" s="41"/>
      <c r="G308" s="41"/>
      <c r="H308" s="41"/>
      <c r="I308" s="41"/>
      <c r="J308" s="42"/>
      <c r="K308" s="40" t="s">
        <v>31</v>
      </c>
      <c r="M308" s="554"/>
      <c r="N308" s="554"/>
      <c r="O308" s="554"/>
      <c r="P308" s="554"/>
      <c r="Q308" s="554"/>
      <c r="R308" s="554"/>
    </row>
    <row r="309" spans="1:18" ht="46.5" customHeight="1" x14ac:dyDescent="0.25">
      <c r="A309" s="28" t="s">
        <v>45</v>
      </c>
      <c r="B309" s="33" t="s">
        <v>35</v>
      </c>
      <c r="C309" s="19"/>
      <c r="D309" s="34"/>
      <c r="E309" s="17"/>
      <c r="F309" s="17"/>
      <c r="G309" s="17"/>
      <c r="H309" s="17"/>
      <c r="I309" s="17"/>
      <c r="J309" s="21"/>
      <c r="K309" s="34" t="s">
        <v>28</v>
      </c>
    </row>
    <row r="310" spans="1:18" ht="34.5" customHeight="1" x14ac:dyDescent="0.25">
      <c r="A310" s="28" t="s">
        <v>44</v>
      </c>
      <c r="B310" s="33" t="s">
        <v>35</v>
      </c>
      <c r="C310" s="19"/>
      <c r="D310" s="34"/>
      <c r="E310" s="17"/>
      <c r="F310" s="17"/>
      <c r="G310" s="17"/>
      <c r="H310" s="17"/>
      <c r="I310" s="17"/>
      <c r="J310" s="21"/>
      <c r="K310" s="34" t="s">
        <v>28</v>
      </c>
    </row>
    <row r="311" spans="1:18" ht="31.5" customHeight="1" x14ac:dyDescent="0.25">
      <c r="A311" s="37" t="s">
        <v>30</v>
      </c>
      <c r="B311" s="38"/>
      <c r="C311" s="39"/>
      <c r="D311" s="40" t="s">
        <v>35</v>
      </c>
      <c r="E311" s="41"/>
      <c r="F311" s="41"/>
      <c r="G311" s="41"/>
      <c r="H311" s="41"/>
      <c r="I311" s="41"/>
      <c r="J311" s="42"/>
      <c r="K311" s="40" t="s">
        <v>31</v>
      </c>
    </row>
    <row r="312" spans="1:18" ht="42.75" customHeight="1" x14ac:dyDescent="0.25">
      <c r="A312" s="28" t="s">
        <v>36</v>
      </c>
      <c r="B312" s="33" t="s">
        <v>35</v>
      </c>
      <c r="C312" s="19"/>
      <c r="D312" s="34"/>
      <c r="E312" s="540"/>
      <c r="F312" s="541"/>
      <c r="G312" s="541"/>
      <c r="H312" s="541"/>
      <c r="I312" s="541"/>
      <c r="J312" s="542"/>
      <c r="K312" s="34" t="s">
        <v>28</v>
      </c>
      <c r="M312" s="13" t="s">
        <v>197</v>
      </c>
    </row>
    <row r="313" spans="1:18" ht="34.5" customHeight="1" x14ac:dyDescent="0.25">
      <c r="A313" s="37" t="s">
        <v>37</v>
      </c>
      <c r="B313" s="38"/>
      <c r="C313" s="39"/>
      <c r="D313" s="40" t="s">
        <v>35</v>
      </c>
      <c r="E313" s="41"/>
      <c r="F313" s="41"/>
      <c r="G313" s="41"/>
      <c r="H313" s="41"/>
      <c r="I313" s="41"/>
      <c r="J313" s="42"/>
      <c r="K313" s="40" t="s">
        <v>31</v>
      </c>
    </row>
    <row r="314" spans="1:18" ht="30.75" customHeight="1" x14ac:dyDescent="0.25">
      <c r="A314" s="28" t="s">
        <v>141</v>
      </c>
      <c r="B314" s="33" t="s">
        <v>35</v>
      </c>
      <c r="C314" s="19"/>
      <c r="D314" s="34"/>
      <c r="E314" s="17"/>
      <c r="F314" s="17"/>
      <c r="G314" s="17"/>
      <c r="H314" s="17"/>
      <c r="I314" s="17"/>
      <c r="J314" s="21"/>
      <c r="K314" s="34" t="s">
        <v>28</v>
      </c>
    </row>
    <row r="315" spans="1:18" ht="30.75" customHeight="1" x14ac:dyDescent="0.25">
      <c r="A315" s="28" t="s">
        <v>165</v>
      </c>
      <c r="B315" s="33" t="s">
        <v>35</v>
      </c>
      <c r="C315" s="19"/>
      <c r="D315" s="34"/>
      <c r="E315" s="17"/>
      <c r="F315" s="17"/>
      <c r="G315" s="17"/>
      <c r="H315" s="17"/>
      <c r="I315" s="17"/>
      <c r="J315" s="21"/>
      <c r="K315" s="34" t="s">
        <v>28</v>
      </c>
    </row>
    <row r="316" spans="1:18" ht="31.5" customHeight="1" x14ac:dyDescent="0.25">
      <c r="A316" s="28" t="s">
        <v>38</v>
      </c>
      <c r="B316" s="33" t="s">
        <v>35</v>
      </c>
      <c r="C316" s="19"/>
      <c r="D316" s="34"/>
      <c r="E316" s="17"/>
      <c r="F316" s="17"/>
      <c r="G316" s="17"/>
      <c r="H316" s="17"/>
      <c r="I316" s="17"/>
      <c r="J316" s="21"/>
      <c r="K316" s="34" t="s">
        <v>28</v>
      </c>
    </row>
    <row r="317" spans="1:18" ht="20.100000000000001" customHeight="1" x14ac:dyDescent="0.25">
      <c r="A317" s="27" t="s">
        <v>39</v>
      </c>
      <c r="B317" s="33" t="s">
        <v>35</v>
      </c>
      <c r="C317" s="19"/>
      <c r="D317" s="34"/>
      <c r="E317" s="17"/>
      <c r="F317" s="17"/>
      <c r="G317" s="17"/>
      <c r="H317" s="17"/>
      <c r="I317" s="17"/>
      <c r="J317" s="21"/>
      <c r="K317" s="34" t="s">
        <v>28</v>
      </c>
    </row>
    <row r="318" spans="1:18" ht="20.100000000000001" customHeight="1" x14ac:dyDescent="0.25">
      <c r="A318" s="27" t="s">
        <v>40</v>
      </c>
      <c r="B318" s="33" t="s">
        <v>35</v>
      </c>
      <c r="C318" s="19"/>
      <c r="D318" s="34"/>
      <c r="E318" s="17"/>
      <c r="F318" s="17"/>
      <c r="G318" s="17"/>
      <c r="H318" s="17"/>
      <c r="I318" s="17"/>
      <c r="J318" s="21"/>
      <c r="K318" s="34" t="s">
        <v>28</v>
      </c>
    </row>
    <row r="319" spans="1:18" ht="30.75" customHeight="1" thickBot="1" x14ac:dyDescent="0.3">
      <c r="A319" s="289" t="s">
        <v>41</v>
      </c>
      <c r="B319" s="35" t="s">
        <v>35</v>
      </c>
      <c r="C319" s="24"/>
      <c r="D319" s="36"/>
      <c r="E319" s="22"/>
      <c r="F319" s="22"/>
      <c r="G319" s="22"/>
      <c r="H319" s="22"/>
      <c r="I319" s="22"/>
      <c r="J319" s="23"/>
      <c r="K319" s="36" t="s">
        <v>28</v>
      </c>
    </row>
    <row r="320" spans="1:18" ht="30.75" customHeight="1" x14ac:dyDescent="0.25">
      <c r="A320" s="464"/>
      <c r="B320" s="465"/>
      <c r="C320" s="465"/>
      <c r="D320" s="465"/>
      <c r="E320" s="1"/>
      <c r="F320" s="1"/>
      <c r="G320" s="1"/>
      <c r="H320" s="1"/>
      <c r="I320" s="1"/>
      <c r="J320" s="1"/>
      <c r="K320" s="465"/>
    </row>
    <row r="322" spans="1:18" x14ac:dyDescent="0.25">
      <c r="A322" s="15" t="s">
        <v>29</v>
      </c>
      <c r="B322" s="16">
        <f>+CONSOLIDADO!A55</f>
        <v>0</v>
      </c>
      <c r="C322" s="16"/>
      <c r="D322" s="16"/>
      <c r="E322" s="16"/>
      <c r="F322" s="16"/>
      <c r="G322" s="1"/>
      <c r="H322" s="539" t="s">
        <v>51</v>
      </c>
      <c r="I322" s="539"/>
      <c r="J322" s="43" t="str">
        <f>IF(J324&gt;0,"NO HABILITADO","HABILITADO")</f>
        <v>HABILITADO</v>
      </c>
    </row>
    <row r="323" spans="1:18" x14ac:dyDescent="0.25">
      <c r="A323" s="15" t="str">
        <f>+'DATOS BASE DEL GRUPO'!$A$3</f>
        <v>GRUPO 1</v>
      </c>
      <c r="B323" s="13" t="str">
        <f>+$B$81</f>
        <v>SIERRA NEVADA-PERIJÁ-ZONA BANANERA</v>
      </c>
      <c r="G323" s="1"/>
      <c r="I323" s="15" t="s">
        <v>49</v>
      </c>
      <c r="J323" s="13">
        <f>COUNTIF(K329:K346,"SI")</f>
        <v>14</v>
      </c>
    </row>
    <row r="324" spans="1:18" x14ac:dyDescent="0.25">
      <c r="A324" s="15" t="s">
        <v>32</v>
      </c>
      <c r="B324" s="17">
        <f>+CONSOLIDADO!C56</f>
        <v>0</v>
      </c>
      <c r="C324" s="17"/>
      <c r="D324" s="17"/>
      <c r="E324" s="18"/>
      <c r="F324" s="76" t="s">
        <v>67</v>
      </c>
      <c r="G324" s="73">
        <f>+CONSOLIDADO!D56</f>
        <v>0</v>
      </c>
      <c r="H324" s="1"/>
      <c r="I324" s="15" t="s">
        <v>50</v>
      </c>
      <c r="J324" s="13">
        <f>COUNTIF(K329:K346,"NO")</f>
        <v>0</v>
      </c>
    </row>
    <row r="325" spans="1:18" x14ac:dyDescent="0.25">
      <c r="A325" s="15" t="s">
        <v>33</v>
      </c>
      <c r="B325" s="17">
        <f>+CONSOLIDADO!C57</f>
        <v>0</v>
      </c>
      <c r="C325" s="17"/>
      <c r="D325" s="17"/>
      <c r="E325" s="1"/>
      <c r="F325" s="77" t="s">
        <v>67</v>
      </c>
      <c r="G325" s="73">
        <f>+CONSOLIDADO!D57</f>
        <v>0</v>
      </c>
      <c r="H325" s="75">
        <f>SUM(G324:G326)</f>
        <v>0</v>
      </c>
      <c r="I325" s="15" t="s">
        <v>31</v>
      </c>
      <c r="J325" s="13">
        <f>COUNTIF(K329:K346,"N/A")</f>
        <v>4</v>
      </c>
    </row>
    <row r="326" spans="1:18" x14ac:dyDescent="0.25">
      <c r="A326" s="15" t="s">
        <v>34</v>
      </c>
      <c r="B326" s="17">
        <f>+CONSOLIDADO!C58</f>
        <v>0</v>
      </c>
      <c r="C326" s="17"/>
      <c r="D326" s="17"/>
      <c r="E326" s="16"/>
      <c r="F326" s="78" t="s">
        <v>67</v>
      </c>
      <c r="G326" s="73">
        <f>+CONSOLIDADO!D58</f>
        <v>0</v>
      </c>
      <c r="H326" s="16"/>
      <c r="I326" s="16"/>
      <c r="J326" s="16"/>
    </row>
    <row r="327" spans="1:18" ht="7.5" customHeight="1" thickBot="1" x14ac:dyDescent="0.3"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8" s="14" customFormat="1" ht="15.75" thickBot="1" x14ac:dyDescent="0.3">
      <c r="A328" s="25" t="s">
        <v>26</v>
      </c>
      <c r="B328" s="29" t="s">
        <v>28</v>
      </c>
      <c r="C328" s="458" t="s">
        <v>27</v>
      </c>
      <c r="D328" s="30" t="s">
        <v>31</v>
      </c>
      <c r="E328" s="543" t="s">
        <v>42</v>
      </c>
      <c r="F328" s="544"/>
      <c r="G328" s="544"/>
      <c r="H328" s="544"/>
      <c r="I328" s="544"/>
      <c r="J328" s="545"/>
      <c r="K328" s="30" t="s">
        <v>47</v>
      </c>
    </row>
    <row r="329" spans="1:18" ht="76.5" customHeight="1" thickTop="1" x14ac:dyDescent="0.25">
      <c r="A329" s="26" t="s">
        <v>162</v>
      </c>
      <c r="B329" s="31" t="s">
        <v>35</v>
      </c>
      <c r="C329" s="20"/>
      <c r="D329" s="32"/>
      <c r="E329" s="548"/>
      <c r="F329" s="549"/>
      <c r="G329" s="549"/>
      <c r="H329" s="549"/>
      <c r="I329" s="549"/>
      <c r="J329" s="550"/>
      <c r="K329" s="32" t="s">
        <v>28</v>
      </c>
    </row>
    <row r="330" spans="1:18" ht="48.75" customHeight="1" x14ac:dyDescent="0.25">
      <c r="A330" s="27" t="s">
        <v>163</v>
      </c>
      <c r="B330" s="33" t="s">
        <v>35</v>
      </c>
      <c r="C330" s="19"/>
      <c r="D330" s="34"/>
      <c r="E330" s="540"/>
      <c r="F330" s="541"/>
      <c r="G330" s="541"/>
      <c r="H330" s="541"/>
      <c r="I330" s="541"/>
      <c r="J330" s="542"/>
      <c r="K330" s="34" t="s">
        <v>28</v>
      </c>
    </row>
    <row r="331" spans="1:18" ht="60" customHeight="1" x14ac:dyDescent="0.25">
      <c r="A331" s="28" t="s">
        <v>164</v>
      </c>
      <c r="B331" s="33"/>
      <c r="C331" s="19"/>
      <c r="D331" s="34" t="s">
        <v>31</v>
      </c>
      <c r="E331" s="540"/>
      <c r="F331" s="541"/>
      <c r="G331" s="541"/>
      <c r="H331" s="541"/>
      <c r="I331" s="541"/>
      <c r="J331" s="542"/>
      <c r="K331" s="34" t="s">
        <v>31</v>
      </c>
    </row>
    <row r="332" spans="1:18" ht="34.5" customHeight="1" x14ac:dyDescent="0.25">
      <c r="A332" s="65" t="s">
        <v>105</v>
      </c>
      <c r="B332" s="61" t="s">
        <v>35</v>
      </c>
      <c r="C332" s="62"/>
      <c r="D332" s="63"/>
      <c r="E332" s="50"/>
      <c r="F332" s="50"/>
      <c r="G332" s="50"/>
      <c r="H332" s="50"/>
      <c r="I332" s="50"/>
      <c r="J332" s="64"/>
      <c r="K332" s="63" t="s">
        <v>48</v>
      </c>
      <c r="L332" s="15" t="str">
        <f>+$A$3</f>
        <v>GRUPO 1</v>
      </c>
      <c r="M332" s="304" t="s">
        <v>176</v>
      </c>
      <c r="N332" s="304" t="s">
        <v>175</v>
      </c>
      <c r="O332" s="304" t="s">
        <v>174</v>
      </c>
      <c r="P332" s="304" t="s">
        <v>173</v>
      </c>
    </row>
    <row r="333" spans="1:18" ht="45" customHeight="1" x14ac:dyDescent="0.25">
      <c r="A333" s="27" t="s">
        <v>43</v>
      </c>
      <c r="B333" s="33" t="s">
        <v>35</v>
      </c>
      <c r="C333" s="19"/>
      <c r="D333" s="34"/>
      <c r="E333" s="540"/>
      <c r="F333" s="541"/>
      <c r="G333" s="541"/>
      <c r="H333" s="541"/>
      <c r="I333" s="541"/>
      <c r="J333" s="542"/>
      <c r="K333" s="34" t="s">
        <v>48</v>
      </c>
      <c r="L333" s="15"/>
      <c r="M333" s="321">
        <f>+'DATOS BASE DEL GRUPO'!$B$4*0.1</f>
        <v>564300000</v>
      </c>
      <c r="N333" s="322">
        <f>+$N$13</f>
        <v>43090</v>
      </c>
      <c r="O333" s="323">
        <f>+P333-N333</f>
        <v>120</v>
      </c>
      <c r="P333" s="322">
        <f>+$P$13</f>
        <v>43210</v>
      </c>
    </row>
    <row r="334" spans="1:18" ht="20.100000000000001" customHeight="1" x14ac:dyDescent="0.25">
      <c r="A334" s="27" t="s">
        <v>140</v>
      </c>
      <c r="B334" s="33" t="s">
        <v>35</v>
      </c>
      <c r="C334" s="19"/>
      <c r="D334" s="34"/>
      <c r="E334" s="17"/>
      <c r="F334" s="17"/>
      <c r="G334" s="17"/>
      <c r="H334" s="17"/>
      <c r="I334" s="17"/>
      <c r="J334" s="21"/>
      <c r="K334" s="34" t="s">
        <v>48</v>
      </c>
      <c r="M334" s="554" t="s">
        <v>177</v>
      </c>
      <c r="N334" s="554"/>
      <c r="O334" s="554"/>
      <c r="P334" s="554"/>
      <c r="Q334" s="554"/>
      <c r="R334" s="554"/>
    </row>
    <row r="335" spans="1:18" ht="42.75" customHeight="1" x14ac:dyDescent="0.25">
      <c r="A335" s="37" t="s">
        <v>46</v>
      </c>
      <c r="B335" s="38"/>
      <c r="C335" s="39"/>
      <c r="D335" s="40" t="s">
        <v>35</v>
      </c>
      <c r="E335" s="41"/>
      <c r="F335" s="41"/>
      <c r="G335" s="41"/>
      <c r="H335" s="41"/>
      <c r="I335" s="41"/>
      <c r="J335" s="42"/>
      <c r="K335" s="40" t="s">
        <v>31</v>
      </c>
      <c r="M335" s="554"/>
      <c r="N335" s="554"/>
      <c r="O335" s="554"/>
      <c r="P335" s="554"/>
      <c r="Q335" s="554"/>
      <c r="R335" s="554"/>
    </row>
    <row r="336" spans="1:18" ht="46.5" customHeight="1" x14ac:dyDescent="0.25">
      <c r="A336" s="28" t="s">
        <v>45</v>
      </c>
      <c r="B336" s="33" t="s">
        <v>35</v>
      </c>
      <c r="C336" s="19"/>
      <c r="D336" s="34"/>
      <c r="E336" s="17"/>
      <c r="F336" s="17"/>
      <c r="G336" s="17"/>
      <c r="H336" s="17"/>
      <c r="I336" s="17"/>
      <c r="J336" s="21"/>
      <c r="K336" s="34" t="s">
        <v>28</v>
      </c>
    </row>
    <row r="337" spans="1:13" ht="34.5" customHeight="1" x14ac:dyDescent="0.25">
      <c r="A337" s="28" t="s">
        <v>44</v>
      </c>
      <c r="B337" s="33" t="s">
        <v>35</v>
      </c>
      <c r="C337" s="19"/>
      <c r="D337" s="34"/>
      <c r="E337" s="17"/>
      <c r="F337" s="17"/>
      <c r="G337" s="17"/>
      <c r="H337" s="17"/>
      <c r="I337" s="17"/>
      <c r="J337" s="21"/>
      <c r="K337" s="34" t="s">
        <v>28</v>
      </c>
    </row>
    <row r="338" spans="1:13" ht="31.5" customHeight="1" x14ac:dyDescent="0.25">
      <c r="A338" s="37" t="s">
        <v>30</v>
      </c>
      <c r="B338" s="38"/>
      <c r="C338" s="39"/>
      <c r="D338" s="40" t="s">
        <v>35</v>
      </c>
      <c r="E338" s="41"/>
      <c r="F338" s="41"/>
      <c r="G338" s="41"/>
      <c r="H338" s="41"/>
      <c r="I338" s="41"/>
      <c r="J338" s="42"/>
      <c r="K338" s="40" t="s">
        <v>31</v>
      </c>
    </row>
    <row r="339" spans="1:13" ht="42.75" customHeight="1" x14ac:dyDescent="0.25">
      <c r="A339" s="28" t="s">
        <v>36</v>
      </c>
      <c r="B339" s="33" t="s">
        <v>35</v>
      </c>
      <c r="C339" s="19"/>
      <c r="D339" s="34"/>
      <c r="E339" s="540"/>
      <c r="F339" s="541"/>
      <c r="G339" s="541"/>
      <c r="H339" s="541"/>
      <c r="I339" s="541"/>
      <c r="J339" s="542"/>
      <c r="K339" s="34" t="s">
        <v>28</v>
      </c>
      <c r="M339" s="13" t="s">
        <v>197</v>
      </c>
    </row>
    <row r="340" spans="1:13" ht="34.5" customHeight="1" x14ac:dyDescent="0.25">
      <c r="A340" s="37" t="s">
        <v>37</v>
      </c>
      <c r="B340" s="38"/>
      <c r="C340" s="39"/>
      <c r="D340" s="40" t="s">
        <v>35</v>
      </c>
      <c r="E340" s="41"/>
      <c r="F340" s="41"/>
      <c r="G340" s="41"/>
      <c r="H340" s="41"/>
      <c r="I340" s="41"/>
      <c r="J340" s="42"/>
      <c r="K340" s="40" t="s">
        <v>31</v>
      </c>
    </row>
    <row r="341" spans="1:13" ht="30.75" customHeight="1" x14ac:dyDescent="0.25">
      <c r="A341" s="28" t="s">
        <v>141</v>
      </c>
      <c r="B341" s="33" t="s">
        <v>35</v>
      </c>
      <c r="C341" s="19"/>
      <c r="D341" s="34"/>
      <c r="E341" s="17"/>
      <c r="F341" s="17"/>
      <c r="G341" s="17"/>
      <c r="H341" s="17"/>
      <c r="I341" s="17"/>
      <c r="J341" s="21"/>
      <c r="K341" s="34" t="s">
        <v>28</v>
      </c>
    </row>
    <row r="342" spans="1:13" ht="30.75" customHeight="1" x14ac:dyDescent="0.25">
      <c r="A342" s="28" t="s">
        <v>165</v>
      </c>
      <c r="B342" s="33" t="s">
        <v>35</v>
      </c>
      <c r="C342" s="19"/>
      <c r="D342" s="34"/>
      <c r="E342" s="17"/>
      <c r="F342" s="17"/>
      <c r="G342" s="17"/>
      <c r="H342" s="17"/>
      <c r="I342" s="17"/>
      <c r="J342" s="21"/>
      <c r="K342" s="34" t="s">
        <v>28</v>
      </c>
    </row>
    <row r="343" spans="1:13" ht="31.5" customHeight="1" x14ac:dyDescent="0.25">
      <c r="A343" s="28" t="s">
        <v>38</v>
      </c>
      <c r="B343" s="33" t="s">
        <v>35</v>
      </c>
      <c r="C343" s="19"/>
      <c r="D343" s="34"/>
      <c r="E343" s="17"/>
      <c r="F343" s="17"/>
      <c r="G343" s="17"/>
      <c r="H343" s="17"/>
      <c r="I343" s="17"/>
      <c r="J343" s="21"/>
      <c r="K343" s="34" t="s">
        <v>28</v>
      </c>
    </row>
    <row r="344" spans="1:13" ht="20.100000000000001" customHeight="1" x14ac:dyDescent="0.25">
      <c r="A344" s="27" t="s">
        <v>39</v>
      </c>
      <c r="B344" s="33" t="s">
        <v>35</v>
      </c>
      <c r="C344" s="19"/>
      <c r="D344" s="34"/>
      <c r="E344" s="17"/>
      <c r="F344" s="17"/>
      <c r="G344" s="17"/>
      <c r="H344" s="17"/>
      <c r="I344" s="17"/>
      <c r="J344" s="21"/>
      <c r="K344" s="34" t="s">
        <v>28</v>
      </c>
    </row>
    <row r="345" spans="1:13" ht="20.100000000000001" customHeight="1" x14ac:dyDescent="0.25">
      <c r="A345" s="27" t="s">
        <v>40</v>
      </c>
      <c r="B345" s="33" t="s">
        <v>35</v>
      </c>
      <c r="C345" s="19"/>
      <c r="D345" s="34"/>
      <c r="E345" s="17"/>
      <c r="F345" s="17"/>
      <c r="G345" s="17"/>
      <c r="H345" s="17"/>
      <c r="I345" s="17"/>
      <c r="J345" s="21"/>
      <c r="K345" s="34" t="s">
        <v>28</v>
      </c>
    </row>
    <row r="346" spans="1:13" ht="30.75" customHeight="1" thickBot="1" x14ac:dyDescent="0.3">
      <c r="A346" s="289" t="s">
        <v>41</v>
      </c>
      <c r="B346" s="35" t="s">
        <v>35</v>
      </c>
      <c r="C346" s="24"/>
      <c r="D346" s="36"/>
      <c r="E346" s="22"/>
      <c r="F346" s="22"/>
      <c r="G346" s="22"/>
      <c r="H346" s="22"/>
      <c r="I346" s="22"/>
      <c r="J346" s="23"/>
      <c r="K346" s="36" t="s">
        <v>28</v>
      </c>
    </row>
    <row r="347" spans="1:13" ht="30.75" customHeight="1" x14ac:dyDescent="0.25">
      <c r="A347" s="464"/>
      <c r="B347" s="465"/>
      <c r="C347" s="465"/>
      <c r="D347" s="465"/>
      <c r="E347" s="1"/>
      <c r="F347" s="1"/>
      <c r="G347" s="1"/>
      <c r="H347" s="1"/>
      <c r="I347" s="1"/>
      <c r="J347" s="1"/>
      <c r="K347" s="465"/>
    </row>
    <row r="349" spans="1:13" x14ac:dyDescent="0.25">
      <c r="A349" s="15" t="s">
        <v>29</v>
      </c>
      <c r="B349" s="16">
        <f>+CONSOLIDADO!A59</f>
        <v>0</v>
      </c>
      <c r="C349" s="16"/>
      <c r="D349" s="16"/>
      <c r="E349" s="16"/>
      <c r="F349" s="16"/>
      <c r="G349" s="1"/>
      <c r="H349" s="539" t="s">
        <v>51</v>
      </c>
      <c r="I349" s="539"/>
      <c r="J349" s="43" t="str">
        <f>IF(J351&gt;0,"NO HABILITADO","HABILITADO")</f>
        <v>HABILITADO</v>
      </c>
    </row>
    <row r="350" spans="1:13" x14ac:dyDescent="0.25">
      <c r="A350" s="15" t="str">
        <f>+'DATOS BASE DEL GRUPO'!$A$3</f>
        <v>GRUPO 1</v>
      </c>
      <c r="B350" s="13" t="str">
        <f>+$B$81</f>
        <v>SIERRA NEVADA-PERIJÁ-ZONA BANANERA</v>
      </c>
      <c r="G350" s="1"/>
      <c r="I350" s="15" t="s">
        <v>49</v>
      </c>
      <c r="J350" s="13">
        <f>COUNTIF(K356:K373,"SI")</f>
        <v>14</v>
      </c>
    </row>
    <row r="351" spans="1:13" x14ac:dyDescent="0.25">
      <c r="A351" s="15" t="s">
        <v>32</v>
      </c>
      <c r="B351" s="17">
        <f>+CONSOLIDADO!C60</f>
        <v>0</v>
      </c>
      <c r="C351" s="17"/>
      <c r="D351" s="17"/>
      <c r="E351" s="18"/>
      <c r="F351" s="76" t="s">
        <v>67</v>
      </c>
      <c r="G351" s="73">
        <f>+CONSOLIDADO!D60</f>
        <v>0</v>
      </c>
      <c r="H351" s="1"/>
      <c r="I351" s="15" t="s">
        <v>50</v>
      </c>
      <c r="J351" s="13">
        <f>COUNTIF(K356:K373,"NO")</f>
        <v>0</v>
      </c>
    </row>
    <row r="352" spans="1:13" x14ac:dyDescent="0.25">
      <c r="A352" s="15" t="s">
        <v>33</v>
      </c>
      <c r="B352" s="17">
        <f>+CONSOLIDADO!C61</f>
        <v>0</v>
      </c>
      <c r="C352" s="17"/>
      <c r="D352" s="17"/>
      <c r="E352" s="1"/>
      <c r="F352" s="77" t="s">
        <v>67</v>
      </c>
      <c r="G352" s="73">
        <f>+CONSOLIDADO!D61</f>
        <v>0</v>
      </c>
      <c r="H352" s="75">
        <f>SUM(G351:G353)</f>
        <v>0</v>
      </c>
      <c r="I352" s="15" t="s">
        <v>31</v>
      </c>
      <c r="J352" s="13">
        <f>COUNTIF(K356:K373,"N/A")</f>
        <v>4</v>
      </c>
    </row>
    <row r="353" spans="1:18" x14ac:dyDescent="0.25">
      <c r="A353" s="15" t="s">
        <v>34</v>
      </c>
      <c r="B353" s="17">
        <f>+CONSOLIDADO!C62</f>
        <v>0</v>
      </c>
      <c r="C353" s="17"/>
      <c r="D353" s="17"/>
      <c r="E353" s="16"/>
      <c r="F353" s="78" t="s">
        <v>67</v>
      </c>
      <c r="G353" s="73">
        <f>+CONSOLIDADO!D62</f>
        <v>0</v>
      </c>
      <c r="H353" s="16"/>
      <c r="I353" s="16"/>
      <c r="J353" s="16"/>
    </row>
    <row r="354" spans="1:18" ht="7.5" customHeight="1" thickBot="1" x14ac:dyDescent="0.3"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8" s="14" customFormat="1" ht="15.75" thickBot="1" x14ac:dyDescent="0.3">
      <c r="A355" s="25" t="s">
        <v>26</v>
      </c>
      <c r="B355" s="29" t="s">
        <v>28</v>
      </c>
      <c r="C355" s="458" t="s">
        <v>27</v>
      </c>
      <c r="D355" s="30" t="s">
        <v>31</v>
      </c>
      <c r="E355" s="543" t="s">
        <v>42</v>
      </c>
      <c r="F355" s="544"/>
      <c r="G355" s="544"/>
      <c r="H355" s="544"/>
      <c r="I355" s="544"/>
      <c r="J355" s="545"/>
      <c r="K355" s="30" t="s">
        <v>47</v>
      </c>
    </row>
    <row r="356" spans="1:18" ht="76.5" customHeight="1" thickTop="1" x14ac:dyDescent="0.25">
      <c r="A356" s="26" t="s">
        <v>162</v>
      </c>
      <c r="B356" s="31" t="s">
        <v>35</v>
      </c>
      <c r="C356" s="20"/>
      <c r="D356" s="32"/>
      <c r="E356" s="548"/>
      <c r="F356" s="549"/>
      <c r="G356" s="549"/>
      <c r="H356" s="549"/>
      <c r="I356" s="549"/>
      <c r="J356" s="550"/>
      <c r="K356" s="32" t="s">
        <v>28</v>
      </c>
    </row>
    <row r="357" spans="1:18" ht="48.75" customHeight="1" x14ac:dyDescent="0.25">
      <c r="A357" s="27" t="s">
        <v>163</v>
      </c>
      <c r="B357" s="33" t="s">
        <v>35</v>
      </c>
      <c r="C357" s="19"/>
      <c r="D357" s="34"/>
      <c r="E357" s="540"/>
      <c r="F357" s="541"/>
      <c r="G357" s="541"/>
      <c r="H357" s="541"/>
      <c r="I357" s="541"/>
      <c r="J357" s="542"/>
      <c r="K357" s="34" t="s">
        <v>28</v>
      </c>
    </row>
    <row r="358" spans="1:18" ht="60" customHeight="1" x14ac:dyDescent="0.25">
      <c r="A358" s="28" t="s">
        <v>164</v>
      </c>
      <c r="B358" s="33"/>
      <c r="C358" s="19"/>
      <c r="D358" s="34" t="s">
        <v>31</v>
      </c>
      <c r="E358" s="540"/>
      <c r="F358" s="541"/>
      <c r="G358" s="541"/>
      <c r="H358" s="541"/>
      <c r="I358" s="541"/>
      <c r="J358" s="542"/>
      <c r="K358" s="34" t="s">
        <v>31</v>
      </c>
    </row>
    <row r="359" spans="1:18" ht="34.5" customHeight="1" x14ac:dyDescent="0.25">
      <c r="A359" s="65" t="s">
        <v>105</v>
      </c>
      <c r="B359" s="61" t="s">
        <v>35</v>
      </c>
      <c r="C359" s="62"/>
      <c r="D359" s="63"/>
      <c r="E359" s="50"/>
      <c r="F359" s="50"/>
      <c r="G359" s="50"/>
      <c r="H359" s="50"/>
      <c r="I359" s="50"/>
      <c r="J359" s="64"/>
      <c r="K359" s="63" t="s">
        <v>48</v>
      </c>
      <c r="L359" s="15" t="str">
        <f>+$A$3</f>
        <v>GRUPO 1</v>
      </c>
      <c r="M359" s="304" t="s">
        <v>176</v>
      </c>
      <c r="N359" s="304" t="s">
        <v>175</v>
      </c>
      <c r="O359" s="304" t="s">
        <v>174</v>
      </c>
      <c r="P359" s="304" t="s">
        <v>173</v>
      </c>
    </row>
    <row r="360" spans="1:18" ht="45" customHeight="1" x14ac:dyDescent="0.25">
      <c r="A360" s="27" t="s">
        <v>43</v>
      </c>
      <c r="B360" s="33" t="s">
        <v>35</v>
      </c>
      <c r="C360" s="19"/>
      <c r="D360" s="34"/>
      <c r="E360" s="540"/>
      <c r="F360" s="541"/>
      <c r="G360" s="541"/>
      <c r="H360" s="541"/>
      <c r="I360" s="541"/>
      <c r="J360" s="542"/>
      <c r="K360" s="34" t="s">
        <v>48</v>
      </c>
      <c r="L360" s="15"/>
      <c r="M360" s="321">
        <f>+'DATOS BASE DEL GRUPO'!$B$4*0.1</f>
        <v>564300000</v>
      </c>
      <c r="N360" s="322">
        <f>+$N$13</f>
        <v>43090</v>
      </c>
      <c r="O360" s="323">
        <f>+P360-N360</f>
        <v>120</v>
      </c>
      <c r="P360" s="322">
        <f>+$P$13</f>
        <v>43210</v>
      </c>
    </row>
    <row r="361" spans="1:18" ht="20.100000000000001" customHeight="1" x14ac:dyDescent="0.25">
      <c r="A361" s="27" t="s">
        <v>140</v>
      </c>
      <c r="B361" s="33" t="s">
        <v>35</v>
      </c>
      <c r="C361" s="19"/>
      <c r="D361" s="34"/>
      <c r="E361" s="17"/>
      <c r="F361" s="17"/>
      <c r="G361" s="17"/>
      <c r="H361" s="17"/>
      <c r="I361" s="17"/>
      <c r="J361" s="21"/>
      <c r="K361" s="34" t="s">
        <v>48</v>
      </c>
      <c r="M361" s="554" t="s">
        <v>177</v>
      </c>
      <c r="N361" s="554"/>
      <c r="O361" s="554"/>
      <c r="P361" s="554"/>
      <c r="Q361" s="554"/>
      <c r="R361" s="554"/>
    </row>
    <row r="362" spans="1:18" ht="42.75" customHeight="1" x14ac:dyDescent="0.25">
      <c r="A362" s="37" t="s">
        <v>46</v>
      </c>
      <c r="B362" s="38"/>
      <c r="C362" s="39"/>
      <c r="D362" s="40" t="s">
        <v>35</v>
      </c>
      <c r="E362" s="41"/>
      <c r="F362" s="41"/>
      <c r="G362" s="41"/>
      <c r="H362" s="41"/>
      <c r="I362" s="41"/>
      <c r="J362" s="42"/>
      <c r="K362" s="40" t="s">
        <v>31</v>
      </c>
      <c r="M362" s="554"/>
      <c r="N362" s="554"/>
      <c r="O362" s="554"/>
      <c r="P362" s="554"/>
      <c r="Q362" s="554"/>
      <c r="R362" s="554"/>
    </row>
    <row r="363" spans="1:18" ht="46.5" customHeight="1" x14ac:dyDescent="0.25">
      <c r="A363" s="28" t="s">
        <v>45</v>
      </c>
      <c r="B363" s="33" t="s">
        <v>35</v>
      </c>
      <c r="C363" s="19"/>
      <c r="D363" s="34"/>
      <c r="E363" s="17"/>
      <c r="F363" s="17"/>
      <c r="G363" s="17"/>
      <c r="H363" s="17"/>
      <c r="I363" s="17"/>
      <c r="J363" s="21"/>
      <c r="K363" s="34" t="s">
        <v>28</v>
      </c>
    </row>
    <row r="364" spans="1:18" ht="34.5" customHeight="1" x14ac:dyDescent="0.25">
      <c r="A364" s="28" t="s">
        <v>44</v>
      </c>
      <c r="B364" s="33" t="s">
        <v>35</v>
      </c>
      <c r="C364" s="19"/>
      <c r="D364" s="34"/>
      <c r="E364" s="17"/>
      <c r="F364" s="17"/>
      <c r="G364" s="17"/>
      <c r="H364" s="17"/>
      <c r="I364" s="17"/>
      <c r="J364" s="21"/>
      <c r="K364" s="34" t="s">
        <v>28</v>
      </c>
    </row>
    <row r="365" spans="1:18" ht="31.5" customHeight="1" x14ac:dyDescent="0.25">
      <c r="A365" s="37" t="s">
        <v>30</v>
      </c>
      <c r="B365" s="38"/>
      <c r="C365" s="39"/>
      <c r="D365" s="40" t="s">
        <v>35</v>
      </c>
      <c r="E365" s="41"/>
      <c r="F365" s="41"/>
      <c r="G365" s="41"/>
      <c r="H365" s="41"/>
      <c r="I365" s="41"/>
      <c r="J365" s="42"/>
      <c r="K365" s="40" t="s">
        <v>31</v>
      </c>
    </row>
    <row r="366" spans="1:18" ht="42.75" customHeight="1" x14ac:dyDescent="0.25">
      <c r="A366" s="28" t="s">
        <v>36</v>
      </c>
      <c r="B366" s="33" t="s">
        <v>35</v>
      </c>
      <c r="C366" s="19"/>
      <c r="D366" s="34"/>
      <c r="E366" s="540"/>
      <c r="F366" s="541"/>
      <c r="G366" s="541"/>
      <c r="H366" s="541"/>
      <c r="I366" s="541"/>
      <c r="J366" s="542"/>
      <c r="K366" s="34" t="s">
        <v>28</v>
      </c>
      <c r="M366" s="13" t="s">
        <v>197</v>
      </c>
    </row>
    <row r="367" spans="1:18" ht="34.5" customHeight="1" x14ac:dyDescent="0.25">
      <c r="A367" s="37" t="s">
        <v>37</v>
      </c>
      <c r="B367" s="38"/>
      <c r="C367" s="39"/>
      <c r="D367" s="40" t="s">
        <v>35</v>
      </c>
      <c r="E367" s="41"/>
      <c r="F367" s="41"/>
      <c r="G367" s="41"/>
      <c r="H367" s="41"/>
      <c r="I367" s="41"/>
      <c r="J367" s="42"/>
      <c r="K367" s="40" t="s">
        <v>31</v>
      </c>
    </row>
    <row r="368" spans="1:18" ht="30.75" customHeight="1" x14ac:dyDescent="0.25">
      <c r="A368" s="28" t="s">
        <v>141</v>
      </c>
      <c r="B368" s="33" t="s">
        <v>35</v>
      </c>
      <c r="C368" s="19"/>
      <c r="D368" s="34"/>
      <c r="E368" s="17"/>
      <c r="F368" s="17"/>
      <c r="G368" s="17"/>
      <c r="H368" s="17"/>
      <c r="I368" s="17"/>
      <c r="J368" s="21"/>
      <c r="K368" s="34" t="s">
        <v>28</v>
      </c>
    </row>
    <row r="369" spans="1:11" ht="30.75" customHeight="1" x14ac:dyDescent="0.25">
      <c r="A369" s="28" t="s">
        <v>165</v>
      </c>
      <c r="B369" s="33" t="s">
        <v>35</v>
      </c>
      <c r="C369" s="19"/>
      <c r="D369" s="34"/>
      <c r="E369" s="17"/>
      <c r="F369" s="17"/>
      <c r="G369" s="17"/>
      <c r="H369" s="17"/>
      <c r="I369" s="17"/>
      <c r="J369" s="21"/>
      <c r="K369" s="34" t="s">
        <v>28</v>
      </c>
    </row>
    <row r="370" spans="1:11" ht="31.5" customHeight="1" x14ac:dyDescent="0.25">
      <c r="A370" s="28" t="s">
        <v>38</v>
      </c>
      <c r="B370" s="33" t="s">
        <v>35</v>
      </c>
      <c r="C370" s="19"/>
      <c r="D370" s="34"/>
      <c r="E370" s="17"/>
      <c r="F370" s="17"/>
      <c r="G370" s="17"/>
      <c r="H370" s="17"/>
      <c r="I370" s="17"/>
      <c r="J370" s="21"/>
      <c r="K370" s="34" t="s">
        <v>28</v>
      </c>
    </row>
    <row r="371" spans="1:11" ht="20.100000000000001" customHeight="1" x14ac:dyDescent="0.25">
      <c r="A371" s="27" t="s">
        <v>39</v>
      </c>
      <c r="B371" s="33" t="s">
        <v>35</v>
      </c>
      <c r="C371" s="19"/>
      <c r="D371" s="34"/>
      <c r="E371" s="17"/>
      <c r="F371" s="17"/>
      <c r="G371" s="17"/>
      <c r="H371" s="17"/>
      <c r="I371" s="17"/>
      <c r="J371" s="21"/>
      <c r="K371" s="34" t="s">
        <v>28</v>
      </c>
    </row>
    <row r="372" spans="1:11" ht="20.100000000000001" customHeight="1" x14ac:dyDescent="0.25">
      <c r="A372" s="27" t="s">
        <v>40</v>
      </c>
      <c r="B372" s="33" t="s">
        <v>35</v>
      </c>
      <c r="C372" s="19"/>
      <c r="D372" s="34"/>
      <c r="E372" s="17"/>
      <c r="F372" s="17"/>
      <c r="G372" s="17"/>
      <c r="H372" s="17"/>
      <c r="I372" s="17"/>
      <c r="J372" s="21"/>
      <c r="K372" s="34" t="s">
        <v>28</v>
      </c>
    </row>
    <row r="373" spans="1:11" ht="30.75" customHeight="1" thickBot="1" x14ac:dyDescent="0.3">
      <c r="A373" s="289" t="s">
        <v>41</v>
      </c>
      <c r="B373" s="35" t="s">
        <v>35</v>
      </c>
      <c r="C373" s="24"/>
      <c r="D373" s="36"/>
      <c r="E373" s="22"/>
      <c r="F373" s="22"/>
      <c r="G373" s="22"/>
      <c r="H373" s="22"/>
      <c r="I373" s="22"/>
      <c r="J373" s="23"/>
      <c r="K373" s="36" t="s">
        <v>28</v>
      </c>
    </row>
    <row r="374" spans="1:11" ht="30.75" customHeight="1" x14ac:dyDescent="0.25">
      <c r="A374" s="464"/>
      <c r="B374" s="465"/>
      <c r="C374" s="465"/>
      <c r="D374" s="465"/>
      <c r="E374" s="1"/>
      <c r="F374" s="1"/>
      <c r="G374" s="1"/>
      <c r="H374" s="1"/>
      <c r="I374" s="1"/>
      <c r="J374" s="1"/>
      <c r="K374" s="465"/>
    </row>
    <row r="376" spans="1:11" x14ac:dyDescent="0.25">
      <c r="A376" s="15" t="s">
        <v>29</v>
      </c>
      <c r="B376" s="16">
        <f>+CONSOLIDADO!A63</f>
        <v>0</v>
      </c>
      <c r="C376" s="16"/>
      <c r="D376" s="16"/>
      <c r="E376" s="16"/>
      <c r="F376" s="16"/>
      <c r="G376" s="1"/>
      <c r="H376" s="539" t="s">
        <v>51</v>
      </c>
      <c r="I376" s="539"/>
      <c r="J376" s="43" t="str">
        <f>IF(J378&gt;0,"NO HABILITADO","HABILITADO")</f>
        <v>HABILITADO</v>
      </c>
    </row>
    <row r="377" spans="1:11" x14ac:dyDescent="0.25">
      <c r="A377" s="15" t="str">
        <f>+'DATOS BASE DEL GRUPO'!$A$3</f>
        <v>GRUPO 1</v>
      </c>
      <c r="B377" s="13" t="str">
        <f>+$B$81</f>
        <v>SIERRA NEVADA-PERIJÁ-ZONA BANANERA</v>
      </c>
      <c r="G377" s="1"/>
      <c r="I377" s="15" t="s">
        <v>49</v>
      </c>
      <c r="J377" s="13">
        <f>COUNTIF(K383:K400,"SI")</f>
        <v>14</v>
      </c>
    </row>
    <row r="378" spans="1:11" x14ac:dyDescent="0.25">
      <c r="A378" s="15" t="s">
        <v>32</v>
      </c>
      <c r="B378" s="17">
        <f>+CONSOLIDADO!C64</f>
        <v>0</v>
      </c>
      <c r="C378" s="17"/>
      <c r="D378" s="17"/>
      <c r="E378" s="18"/>
      <c r="F378" s="76" t="s">
        <v>67</v>
      </c>
      <c r="G378" s="73">
        <f>+CONSOLIDADO!D64</f>
        <v>0</v>
      </c>
      <c r="H378" s="1"/>
      <c r="I378" s="15" t="s">
        <v>50</v>
      </c>
      <c r="J378" s="13">
        <f>COUNTIF(K383:K400,"NO")</f>
        <v>0</v>
      </c>
    </row>
    <row r="379" spans="1:11" x14ac:dyDescent="0.25">
      <c r="A379" s="15" t="s">
        <v>33</v>
      </c>
      <c r="B379" s="17">
        <f>+CONSOLIDADO!C65</f>
        <v>0</v>
      </c>
      <c r="C379" s="17"/>
      <c r="D379" s="17"/>
      <c r="E379" s="1"/>
      <c r="F379" s="77" t="s">
        <v>67</v>
      </c>
      <c r="G379" s="73">
        <f>+CONSOLIDADO!D65</f>
        <v>0</v>
      </c>
      <c r="H379" s="75">
        <f>SUM(G378:G380)</f>
        <v>0</v>
      </c>
      <c r="I379" s="15" t="s">
        <v>31</v>
      </c>
      <c r="J379" s="13">
        <f>COUNTIF(K383:K400,"N/A")</f>
        <v>4</v>
      </c>
    </row>
    <row r="380" spans="1:11" x14ac:dyDescent="0.25">
      <c r="A380" s="15" t="s">
        <v>34</v>
      </c>
      <c r="B380" s="17">
        <f>+CONSOLIDADO!C66</f>
        <v>0</v>
      </c>
      <c r="C380" s="17"/>
      <c r="D380" s="17"/>
      <c r="E380" s="16"/>
      <c r="F380" s="78" t="s">
        <v>67</v>
      </c>
      <c r="G380" s="73">
        <f>+CONSOLIDADO!D66</f>
        <v>0</v>
      </c>
      <c r="H380" s="16"/>
      <c r="I380" s="16"/>
      <c r="J380" s="16"/>
    </row>
    <row r="381" spans="1:11" ht="7.5" customHeight="1" thickBot="1" x14ac:dyDescent="0.3"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s="14" customFormat="1" ht="15.75" thickBot="1" x14ac:dyDescent="0.3">
      <c r="A382" s="25" t="s">
        <v>26</v>
      </c>
      <c r="B382" s="29" t="s">
        <v>28</v>
      </c>
      <c r="C382" s="458" t="s">
        <v>27</v>
      </c>
      <c r="D382" s="30" t="s">
        <v>31</v>
      </c>
      <c r="E382" s="543" t="s">
        <v>42</v>
      </c>
      <c r="F382" s="544"/>
      <c r="G382" s="544"/>
      <c r="H382" s="544"/>
      <c r="I382" s="544"/>
      <c r="J382" s="545"/>
      <c r="K382" s="30" t="s">
        <v>47</v>
      </c>
    </row>
    <row r="383" spans="1:11" ht="76.5" customHeight="1" thickTop="1" x14ac:dyDescent="0.25">
      <c r="A383" s="26" t="s">
        <v>162</v>
      </c>
      <c r="B383" s="31" t="s">
        <v>35</v>
      </c>
      <c r="C383" s="20"/>
      <c r="D383" s="32"/>
      <c r="E383" s="548"/>
      <c r="F383" s="549"/>
      <c r="G383" s="549"/>
      <c r="H383" s="549"/>
      <c r="I383" s="549"/>
      <c r="J383" s="550"/>
      <c r="K383" s="32" t="s">
        <v>28</v>
      </c>
    </row>
    <row r="384" spans="1:11" ht="48.75" customHeight="1" x14ac:dyDescent="0.25">
      <c r="A384" s="27" t="s">
        <v>163</v>
      </c>
      <c r="B384" s="33" t="s">
        <v>35</v>
      </c>
      <c r="C384" s="19"/>
      <c r="D384" s="34"/>
      <c r="E384" s="540"/>
      <c r="F384" s="541"/>
      <c r="G384" s="541"/>
      <c r="H384" s="541"/>
      <c r="I384" s="541"/>
      <c r="J384" s="542"/>
      <c r="K384" s="34" t="s">
        <v>28</v>
      </c>
    </row>
    <row r="385" spans="1:18" ht="60" customHeight="1" x14ac:dyDescent="0.25">
      <c r="A385" s="28" t="s">
        <v>164</v>
      </c>
      <c r="B385" s="33"/>
      <c r="C385" s="19"/>
      <c r="D385" s="34" t="s">
        <v>31</v>
      </c>
      <c r="E385" s="540"/>
      <c r="F385" s="541"/>
      <c r="G385" s="541"/>
      <c r="H385" s="541"/>
      <c r="I385" s="541"/>
      <c r="J385" s="542"/>
      <c r="K385" s="34" t="s">
        <v>31</v>
      </c>
    </row>
    <row r="386" spans="1:18" ht="34.5" customHeight="1" x14ac:dyDescent="0.25">
      <c r="A386" s="65" t="s">
        <v>105</v>
      </c>
      <c r="B386" s="61" t="s">
        <v>35</v>
      </c>
      <c r="C386" s="62"/>
      <c r="D386" s="63"/>
      <c r="E386" s="50"/>
      <c r="F386" s="50"/>
      <c r="G386" s="50"/>
      <c r="H386" s="50"/>
      <c r="I386" s="50"/>
      <c r="J386" s="64"/>
      <c r="K386" s="63" t="s">
        <v>48</v>
      </c>
      <c r="L386" s="15" t="str">
        <f>+$A$3</f>
        <v>GRUPO 1</v>
      </c>
      <c r="M386" s="304" t="s">
        <v>176</v>
      </c>
      <c r="N386" s="304" t="s">
        <v>175</v>
      </c>
      <c r="O386" s="304" t="s">
        <v>174</v>
      </c>
      <c r="P386" s="304" t="s">
        <v>173</v>
      </c>
    </row>
    <row r="387" spans="1:18" ht="45" customHeight="1" x14ac:dyDescent="0.25">
      <c r="A387" s="27" t="s">
        <v>43</v>
      </c>
      <c r="B387" s="33" t="s">
        <v>35</v>
      </c>
      <c r="C387" s="19"/>
      <c r="D387" s="34"/>
      <c r="E387" s="540"/>
      <c r="F387" s="541"/>
      <c r="G387" s="541"/>
      <c r="H387" s="541"/>
      <c r="I387" s="541"/>
      <c r="J387" s="542"/>
      <c r="K387" s="34" t="s">
        <v>48</v>
      </c>
      <c r="L387" s="15"/>
      <c r="M387" s="321">
        <f>+'DATOS BASE DEL GRUPO'!$B$4*0.1</f>
        <v>564300000</v>
      </c>
      <c r="N387" s="322">
        <f>+$N$13</f>
        <v>43090</v>
      </c>
      <c r="O387" s="323">
        <f>+P387-N387</f>
        <v>120</v>
      </c>
      <c r="P387" s="322">
        <f>+$P$13</f>
        <v>43210</v>
      </c>
    </row>
    <row r="388" spans="1:18" ht="20.100000000000001" customHeight="1" x14ac:dyDescent="0.25">
      <c r="A388" s="27" t="s">
        <v>140</v>
      </c>
      <c r="B388" s="33" t="s">
        <v>35</v>
      </c>
      <c r="C388" s="19"/>
      <c r="D388" s="34"/>
      <c r="E388" s="17"/>
      <c r="F388" s="17"/>
      <c r="G388" s="17"/>
      <c r="H388" s="17"/>
      <c r="I388" s="17"/>
      <c r="J388" s="21"/>
      <c r="K388" s="34" t="s">
        <v>48</v>
      </c>
      <c r="M388" s="554" t="s">
        <v>177</v>
      </c>
      <c r="N388" s="554"/>
      <c r="O388" s="554"/>
      <c r="P388" s="554"/>
      <c r="Q388" s="554"/>
      <c r="R388" s="554"/>
    </row>
    <row r="389" spans="1:18" ht="42.75" customHeight="1" x14ac:dyDescent="0.25">
      <c r="A389" s="37" t="s">
        <v>46</v>
      </c>
      <c r="B389" s="38"/>
      <c r="C389" s="39"/>
      <c r="D389" s="40" t="s">
        <v>35</v>
      </c>
      <c r="E389" s="41"/>
      <c r="F389" s="41"/>
      <c r="G389" s="41"/>
      <c r="H389" s="41"/>
      <c r="I389" s="41"/>
      <c r="J389" s="42"/>
      <c r="K389" s="40" t="s">
        <v>31</v>
      </c>
      <c r="M389" s="554"/>
      <c r="N389" s="554"/>
      <c r="O389" s="554"/>
      <c r="P389" s="554"/>
      <c r="Q389" s="554"/>
      <c r="R389" s="554"/>
    </row>
    <row r="390" spans="1:18" ht="46.5" customHeight="1" x14ac:dyDescent="0.25">
      <c r="A390" s="28" t="s">
        <v>45</v>
      </c>
      <c r="B390" s="33" t="s">
        <v>35</v>
      </c>
      <c r="C390" s="19"/>
      <c r="D390" s="34"/>
      <c r="E390" s="17"/>
      <c r="F390" s="17"/>
      <c r="G390" s="17"/>
      <c r="H390" s="17"/>
      <c r="I390" s="17"/>
      <c r="J390" s="21"/>
      <c r="K390" s="34" t="s">
        <v>28</v>
      </c>
    </row>
    <row r="391" spans="1:18" ht="34.5" customHeight="1" x14ac:dyDescent="0.25">
      <c r="A391" s="28" t="s">
        <v>44</v>
      </c>
      <c r="B391" s="33" t="s">
        <v>35</v>
      </c>
      <c r="C391" s="19"/>
      <c r="D391" s="34"/>
      <c r="E391" s="17"/>
      <c r="F391" s="17"/>
      <c r="G391" s="17"/>
      <c r="H391" s="17"/>
      <c r="I391" s="17"/>
      <c r="J391" s="21"/>
      <c r="K391" s="34" t="s">
        <v>28</v>
      </c>
    </row>
    <row r="392" spans="1:18" ht="31.5" customHeight="1" x14ac:dyDescent="0.25">
      <c r="A392" s="37" t="s">
        <v>30</v>
      </c>
      <c r="B392" s="38"/>
      <c r="C392" s="39"/>
      <c r="D392" s="40" t="s">
        <v>35</v>
      </c>
      <c r="E392" s="41"/>
      <c r="F392" s="41"/>
      <c r="G392" s="41"/>
      <c r="H392" s="41"/>
      <c r="I392" s="41"/>
      <c r="J392" s="42"/>
      <c r="K392" s="40" t="s">
        <v>31</v>
      </c>
    </row>
    <row r="393" spans="1:18" ht="42.75" customHeight="1" x14ac:dyDescent="0.25">
      <c r="A393" s="28" t="s">
        <v>36</v>
      </c>
      <c r="B393" s="33" t="s">
        <v>35</v>
      </c>
      <c r="C393" s="19"/>
      <c r="D393" s="34"/>
      <c r="E393" s="540"/>
      <c r="F393" s="541"/>
      <c r="G393" s="541"/>
      <c r="H393" s="541"/>
      <c r="I393" s="541"/>
      <c r="J393" s="542"/>
      <c r="K393" s="34" t="s">
        <v>28</v>
      </c>
      <c r="M393" s="13" t="s">
        <v>197</v>
      </c>
    </row>
    <row r="394" spans="1:18" ht="34.5" customHeight="1" x14ac:dyDescent="0.25">
      <c r="A394" s="37" t="s">
        <v>37</v>
      </c>
      <c r="B394" s="38"/>
      <c r="C394" s="39"/>
      <c r="D394" s="40" t="s">
        <v>35</v>
      </c>
      <c r="E394" s="41"/>
      <c r="F394" s="41"/>
      <c r="G394" s="41"/>
      <c r="H394" s="41"/>
      <c r="I394" s="41"/>
      <c r="J394" s="42"/>
      <c r="K394" s="40" t="s">
        <v>31</v>
      </c>
    </row>
    <row r="395" spans="1:18" ht="30.75" customHeight="1" x14ac:dyDescent="0.25">
      <c r="A395" s="28" t="s">
        <v>141</v>
      </c>
      <c r="B395" s="33" t="s">
        <v>35</v>
      </c>
      <c r="C395" s="19"/>
      <c r="D395" s="34"/>
      <c r="E395" s="17"/>
      <c r="F395" s="17"/>
      <c r="G395" s="17"/>
      <c r="H395" s="17"/>
      <c r="I395" s="17"/>
      <c r="J395" s="21"/>
      <c r="K395" s="34" t="s">
        <v>28</v>
      </c>
    </row>
    <row r="396" spans="1:18" ht="30.75" customHeight="1" x14ac:dyDescent="0.25">
      <c r="A396" s="28" t="s">
        <v>165</v>
      </c>
      <c r="B396" s="33" t="s">
        <v>35</v>
      </c>
      <c r="C396" s="19"/>
      <c r="D396" s="34"/>
      <c r="E396" s="17"/>
      <c r="F396" s="17"/>
      <c r="G396" s="17"/>
      <c r="H396" s="17"/>
      <c r="I396" s="17"/>
      <c r="J396" s="21"/>
      <c r="K396" s="34" t="s">
        <v>28</v>
      </c>
    </row>
    <row r="397" spans="1:18" ht="31.5" customHeight="1" x14ac:dyDescent="0.25">
      <c r="A397" s="28" t="s">
        <v>38</v>
      </c>
      <c r="B397" s="33" t="s">
        <v>35</v>
      </c>
      <c r="C397" s="19"/>
      <c r="D397" s="34"/>
      <c r="E397" s="17"/>
      <c r="F397" s="17"/>
      <c r="G397" s="17"/>
      <c r="H397" s="17"/>
      <c r="I397" s="17"/>
      <c r="J397" s="21"/>
      <c r="K397" s="34" t="s">
        <v>28</v>
      </c>
    </row>
    <row r="398" spans="1:18" ht="20.100000000000001" customHeight="1" x14ac:dyDescent="0.25">
      <c r="A398" s="27" t="s">
        <v>39</v>
      </c>
      <c r="B398" s="33" t="s">
        <v>35</v>
      </c>
      <c r="C398" s="19"/>
      <c r="D398" s="34"/>
      <c r="E398" s="17"/>
      <c r="F398" s="17"/>
      <c r="G398" s="17"/>
      <c r="H398" s="17"/>
      <c r="I398" s="17"/>
      <c r="J398" s="21"/>
      <c r="K398" s="34" t="s">
        <v>28</v>
      </c>
    </row>
    <row r="399" spans="1:18" ht="20.100000000000001" customHeight="1" x14ac:dyDescent="0.25">
      <c r="A399" s="27" t="s">
        <v>40</v>
      </c>
      <c r="B399" s="33" t="s">
        <v>35</v>
      </c>
      <c r="C399" s="19"/>
      <c r="D399" s="34"/>
      <c r="E399" s="17"/>
      <c r="F399" s="17"/>
      <c r="G399" s="17"/>
      <c r="H399" s="17"/>
      <c r="I399" s="17"/>
      <c r="J399" s="21"/>
      <c r="K399" s="34" t="s">
        <v>28</v>
      </c>
    </row>
    <row r="400" spans="1:18" ht="30.75" customHeight="1" thickBot="1" x14ac:dyDescent="0.3">
      <c r="A400" s="289" t="s">
        <v>41</v>
      </c>
      <c r="B400" s="35" t="s">
        <v>35</v>
      </c>
      <c r="C400" s="24"/>
      <c r="D400" s="36"/>
      <c r="E400" s="22"/>
      <c r="F400" s="22"/>
      <c r="G400" s="22"/>
      <c r="H400" s="22"/>
      <c r="I400" s="22"/>
      <c r="J400" s="23"/>
      <c r="K400" s="36" t="s">
        <v>28</v>
      </c>
    </row>
    <row r="401" spans="1:18" ht="30.75" customHeight="1" x14ac:dyDescent="0.25">
      <c r="A401" s="464"/>
      <c r="B401" s="465"/>
      <c r="C401" s="465"/>
      <c r="D401" s="465"/>
      <c r="E401" s="1"/>
      <c r="F401" s="1"/>
      <c r="G401" s="1"/>
      <c r="H401" s="1"/>
      <c r="I401" s="1"/>
      <c r="J401" s="1"/>
      <c r="K401" s="465"/>
    </row>
    <row r="403" spans="1:18" x14ac:dyDescent="0.25">
      <c r="A403" s="15" t="s">
        <v>29</v>
      </c>
      <c r="B403" s="16">
        <f>+CONSOLIDADO!A67</f>
        <v>0</v>
      </c>
      <c r="C403" s="16"/>
      <c r="D403" s="16"/>
      <c r="E403" s="16"/>
      <c r="F403" s="16"/>
      <c r="G403" s="1"/>
      <c r="H403" s="539" t="s">
        <v>51</v>
      </c>
      <c r="I403" s="539"/>
      <c r="J403" s="43" t="str">
        <f>IF(J405&gt;0,"NO HABILITADO","HABILITADO")</f>
        <v>HABILITADO</v>
      </c>
    </row>
    <row r="404" spans="1:18" x14ac:dyDescent="0.25">
      <c r="A404" s="15" t="str">
        <f>+'DATOS BASE DEL GRUPO'!$A$3</f>
        <v>GRUPO 1</v>
      </c>
      <c r="B404" s="13" t="str">
        <f>+$B$81</f>
        <v>SIERRA NEVADA-PERIJÁ-ZONA BANANERA</v>
      </c>
      <c r="G404" s="1"/>
      <c r="I404" s="15" t="s">
        <v>49</v>
      </c>
      <c r="J404" s="13">
        <f>COUNTIF(K410:K427,"SI")</f>
        <v>14</v>
      </c>
    </row>
    <row r="405" spans="1:18" x14ac:dyDescent="0.25">
      <c r="A405" s="15" t="s">
        <v>32</v>
      </c>
      <c r="B405" s="17">
        <f>+CONSOLIDADO!C68</f>
        <v>0</v>
      </c>
      <c r="C405" s="17"/>
      <c r="D405" s="17"/>
      <c r="E405" s="18"/>
      <c r="F405" s="76" t="s">
        <v>67</v>
      </c>
      <c r="G405" s="73">
        <f>+CONSOLIDADO!D68</f>
        <v>0</v>
      </c>
      <c r="H405" s="1"/>
      <c r="I405" s="15" t="s">
        <v>50</v>
      </c>
      <c r="J405" s="13">
        <f>COUNTIF(K410:K427,"NO")</f>
        <v>0</v>
      </c>
    </row>
    <row r="406" spans="1:18" x14ac:dyDescent="0.25">
      <c r="A406" s="15" t="s">
        <v>33</v>
      </c>
      <c r="B406" s="17">
        <f>+CONSOLIDADO!C69</f>
        <v>0</v>
      </c>
      <c r="C406" s="17"/>
      <c r="D406" s="17"/>
      <c r="E406" s="1"/>
      <c r="F406" s="77" t="s">
        <v>67</v>
      </c>
      <c r="G406" s="73">
        <f>+CONSOLIDADO!D69</f>
        <v>0</v>
      </c>
      <c r="H406" s="75">
        <f>SUM(G405:G407)</f>
        <v>0</v>
      </c>
      <c r="I406" s="15" t="s">
        <v>31</v>
      </c>
      <c r="J406" s="13">
        <f>COUNTIF(K410:K427,"N/A")</f>
        <v>4</v>
      </c>
    </row>
    <row r="407" spans="1:18" x14ac:dyDescent="0.25">
      <c r="A407" s="15" t="s">
        <v>34</v>
      </c>
      <c r="B407" s="17">
        <f>+CONSOLIDADO!C70</f>
        <v>0</v>
      </c>
      <c r="C407" s="17"/>
      <c r="D407" s="17"/>
      <c r="E407" s="16"/>
      <c r="F407" s="78" t="s">
        <v>67</v>
      </c>
      <c r="G407" s="73">
        <f>+CONSOLIDADO!D70</f>
        <v>0</v>
      </c>
      <c r="H407" s="16"/>
      <c r="I407" s="16"/>
      <c r="J407" s="16"/>
    </row>
    <row r="408" spans="1:18" ht="7.5" customHeight="1" thickBot="1" x14ac:dyDescent="0.3"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8" s="14" customFormat="1" ht="15.75" thickBot="1" x14ac:dyDescent="0.3">
      <c r="A409" s="25" t="s">
        <v>26</v>
      </c>
      <c r="B409" s="29" t="s">
        <v>28</v>
      </c>
      <c r="C409" s="458" t="s">
        <v>27</v>
      </c>
      <c r="D409" s="30" t="s">
        <v>31</v>
      </c>
      <c r="E409" s="543" t="s">
        <v>42</v>
      </c>
      <c r="F409" s="544"/>
      <c r="G409" s="544"/>
      <c r="H409" s="544"/>
      <c r="I409" s="544"/>
      <c r="J409" s="545"/>
      <c r="K409" s="30" t="s">
        <v>47</v>
      </c>
    </row>
    <row r="410" spans="1:18" ht="76.5" customHeight="1" thickTop="1" x14ac:dyDescent="0.25">
      <c r="A410" s="26" t="s">
        <v>162</v>
      </c>
      <c r="B410" s="31" t="s">
        <v>35</v>
      </c>
      <c r="C410" s="20"/>
      <c r="D410" s="32"/>
      <c r="E410" s="548"/>
      <c r="F410" s="549"/>
      <c r="G410" s="549"/>
      <c r="H410" s="549"/>
      <c r="I410" s="549"/>
      <c r="J410" s="550"/>
      <c r="K410" s="32" t="s">
        <v>28</v>
      </c>
    </row>
    <row r="411" spans="1:18" ht="48.75" customHeight="1" x14ac:dyDescent="0.25">
      <c r="A411" s="27" t="s">
        <v>163</v>
      </c>
      <c r="B411" s="33" t="s">
        <v>35</v>
      </c>
      <c r="C411" s="19"/>
      <c r="D411" s="34"/>
      <c r="E411" s="540"/>
      <c r="F411" s="541"/>
      <c r="G411" s="541"/>
      <c r="H411" s="541"/>
      <c r="I411" s="541"/>
      <c r="J411" s="542"/>
      <c r="K411" s="34" t="s">
        <v>28</v>
      </c>
    </row>
    <row r="412" spans="1:18" ht="60" customHeight="1" x14ac:dyDescent="0.25">
      <c r="A412" s="28" t="s">
        <v>164</v>
      </c>
      <c r="B412" s="33"/>
      <c r="C412" s="19"/>
      <c r="D412" s="34" t="s">
        <v>31</v>
      </c>
      <c r="E412" s="540"/>
      <c r="F412" s="541"/>
      <c r="G412" s="541"/>
      <c r="H412" s="541"/>
      <c r="I412" s="541"/>
      <c r="J412" s="542"/>
      <c r="K412" s="34" t="s">
        <v>31</v>
      </c>
    </row>
    <row r="413" spans="1:18" ht="34.5" customHeight="1" x14ac:dyDescent="0.25">
      <c r="A413" s="65" t="s">
        <v>105</v>
      </c>
      <c r="B413" s="61" t="s">
        <v>35</v>
      </c>
      <c r="C413" s="62"/>
      <c r="D413" s="63"/>
      <c r="E413" s="50"/>
      <c r="F413" s="50"/>
      <c r="G413" s="50"/>
      <c r="H413" s="50"/>
      <c r="I413" s="50"/>
      <c r="J413" s="64"/>
      <c r="K413" s="63" t="s">
        <v>48</v>
      </c>
      <c r="L413" s="15" t="str">
        <f>+$A$3</f>
        <v>GRUPO 1</v>
      </c>
      <c r="M413" s="304" t="s">
        <v>176</v>
      </c>
      <c r="N413" s="304" t="s">
        <v>175</v>
      </c>
      <c r="O413" s="304" t="s">
        <v>174</v>
      </c>
      <c r="P413" s="304" t="s">
        <v>173</v>
      </c>
    </row>
    <row r="414" spans="1:18" ht="45" customHeight="1" x14ac:dyDescent="0.25">
      <c r="A414" s="27" t="s">
        <v>43</v>
      </c>
      <c r="B414" s="33" t="s">
        <v>35</v>
      </c>
      <c r="C414" s="19"/>
      <c r="D414" s="34"/>
      <c r="E414" s="540"/>
      <c r="F414" s="541"/>
      <c r="G414" s="541"/>
      <c r="H414" s="541"/>
      <c r="I414" s="541"/>
      <c r="J414" s="542"/>
      <c r="K414" s="34" t="s">
        <v>48</v>
      </c>
      <c r="L414" s="15"/>
      <c r="M414" s="321">
        <f>+'DATOS BASE DEL GRUPO'!$B$4*0.1</f>
        <v>564300000</v>
      </c>
      <c r="N414" s="322">
        <f>+$N$13</f>
        <v>43090</v>
      </c>
      <c r="O414" s="323">
        <f>+P414-N414</f>
        <v>120</v>
      </c>
      <c r="P414" s="322">
        <f>+$P$13</f>
        <v>43210</v>
      </c>
    </row>
    <row r="415" spans="1:18" ht="20.100000000000001" customHeight="1" x14ac:dyDescent="0.25">
      <c r="A415" s="27" t="s">
        <v>140</v>
      </c>
      <c r="B415" s="33" t="s">
        <v>35</v>
      </c>
      <c r="C415" s="19"/>
      <c r="D415" s="34"/>
      <c r="E415" s="17"/>
      <c r="F415" s="17"/>
      <c r="G415" s="17"/>
      <c r="H415" s="17"/>
      <c r="I415" s="17"/>
      <c r="J415" s="21"/>
      <c r="K415" s="34" t="s">
        <v>48</v>
      </c>
      <c r="M415" s="554" t="s">
        <v>177</v>
      </c>
      <c r="N415" s="554"/>
      <c r="O415" s="554"/>
      <c r="P415" s="554"/>
      <c r="Q415" s="554"/>
      <c r="R415" s="554"/>
    </row>
    <row r="416" spans="1:18" ht="42.75" customHeight="1" x14ac:dyDescent="0.25">
      <c r="A416" s="37" t="s">
        <v>46</v>
      </c>
      <c r="B416" s="38"/>
      <c r="C416" s="39"/>
      <c r="D416" s="40" t="s">
        <v>35</v>
      </c>
      <c r="E416" s="41"/>
      <c r="F416" s="41"/>
      <c r="G416" s="41"/>
      <c r="H416" s="41"/>
      <c r="I416" s="41"/>
      <c r="J416" s="42"/>
      <c r="K416" s="40" t="s">
        <v>31</v>
      </c>
      <c r="M416" s="554"/>
      <c r="N416" s="554"/>
      <c r="O416" s="554"/>
      <c r="P416" s="554"/>
      <c r="Q416" s="554"/>
      <c r="R416" s="554"/>
    </row>
    <row r="417" spans="1:13" ht="46.5" customHeight="1" x14ac:dyDescent="0.25">
      <c r="A417" s="28" t="s">
        <v>45</v>
      </c>
      <c r="B417" s="33" t="s">
        <v>35</v>
      </c>
      <c r="C417" s="19"/>
      <c r="D417" s="34"/>
      <c r="E417" s="17"/>
      <c r="F417" s="17"/>
      <c r="G417" s="17"/>
      <c r="H417" s="17"/>
      <c r="I417" s="17"/>
      <c r="J417" s="21"/>
      <c r="K417" s="34" t="s">
        <v>28</v>
      </c>
    </row>
    <row r="418" spans="1:13" ht="34.5" customHeight="1" x14ac:dyDescent="0.25">
      <c r="A418" s="28" t="s">
        <v>44</v>
      </c>
      <c r="B418" s="33" t="s">
        <v>35</v>
      </c>
      <c r="C418" s="19"/>
      <c r="D418" s="34"/>
      <c r="E418" s="17"/>
      <c r="F418" s="17"/>
      <c r="G418" s="17"/>
      <c r="H418" s="17"/>
      <c r="I418" s="17"/>
      <c r="J418" s="21"/>
      <c r="K418" s="34" t="s">
        <v>28</v>
      </c>
    </row>
    <row r="419" spans="1:13" ht="31.5" customHeight="1" x14ac:dyDescent="0.25">
      <c r="A419" s="37" t="s">
        <v>30</v>
      </c>
      <c r="B419" s="38"/>
      <c r="C419" s="39"/>
      <c r="D419" s="40" t="s">
        <v>35</v>
      </c>
      <c r="E419" s="41"/>
      <c r="F419" s="41"/>
      <c r="G419" s="41"/>
      <c r="H419" s="41"/>
      <c r="I419" s="41"/>
      <c r="J419" s="42"/>
      <c r="K419" s="40" t="s">
        <v>31</v>
      </c>
    </row>
    <row r="420" spans="1:13" ht="42.75" customHeight="1" x14ac:dyDescent="0.25">
      <c r="A420" s="28" t="s">
        <v>36</v>
      </c>
      <c r="B420" s="33" t="s">
        <v>35</v>
      </c>
      <c r="C420" s="19"/>
      <c r="D420" s="34"/>
      <c r="E420" s="540"/>
      <c r="F420" s="541"/>
      <c r="G420" s="541"/>
      <c r="H420" s="541"/>
      <c r="I420" s="541"/>
      <c r="J420" s="542"/>
      <c r="K420" s="34" t="s">
        <v>28</v>
      </c>
      <c r="M420" s="13" t="s">
        <v>197</v>
      </c>
    </row>
    <row r="421" spans="1:13" ht="34.5" customHeight="1" x14ac:dyDescent="0.25">
      <c r="A421" s="37" t="s">
        <v>37</v>
      </c>
      <c r="B421" s="38"/>
      <c r="C421" s="39"/>
      <c r="D421" s="40" t="s">
        <v>35</v>
      </c>
      <c r="E421" s="41"/>
      <c r="F421" s="41"/>
      <c r="G421" s="41"/>
      <c r="H421" s="41"/>
      <c r="I421" s="41"/>
      <c r="J421" s="42"/>
      <c r="K421" s="40" t="s">
        <v>31</v>
      </c>
    </row>
    <row r="422" spans="1:13" ht="30.75" customHeight="1" x14ac:dyDescent="0.25">
      <c r="A422" s="28" t="s">
        <v>141</v>
      </c>
      <c r="B422" s="33" t="s">
        <v>35</v>
      </c>
      <c r="C422" s="19"/>
      <c r="D422" s="34"/>
      <c r="E422" s="17"/>
      <c r="F422" s="17"/>
      <c r="G422" s="17"/>
      <c r="H422" s="17"/>
      <c r="I422" s="17"/>
      <c r="J422" s="21"/>
      <c r="K422" s="34" t="s">
        <v>28</v>
      </c>
    </row>
    <row r="423" spans="1:13" ht="30.75" customHeight="1" x14ac:dyDescent="0.25">
      <c r="A423" s="28" t="s">
        <v>165</v>
      </c>
      <c r="B423" s="33" t="s">
        <v>35</v>
      </c>
      <c r="C423" s="19"/>
      <c r="D423" s="34"/>
      <c r="E423" s="17"/>
      <c r="F423" s="17"/>
      <c r="G423" s="17"/>
      <c r="H423" s="17"/>
      <c r="I423" s="17"/>
      <c r="J423" s="21"/>
      <c r="K423" s="34" t="s">
        <v>28</v>
      </c>
    </row>
    <row r="424" spans="1:13" ht="31.5" customHeight="1" x14ac:dyDescent="0.25">
      <c r="A424" s="28" t="s">
        <v>38</v>
      </c>
      <c r="B424" s="33" t="s">
        <v>35</v>
      </c>
      <c r="C424" s="19"/>
      <c r="D424" s="34"/>
      <c r="E424" s="17"/>
      <c r="F424" s="17"/>
      <c r="G424" s="17"/>
      <c r="H424" s="17"/>
      <c r="I424" s="17"/>
      <c r="J424" s="21"/>
      <c r="K424" s="34" t="s">
        <v>28</v>
      </c>
    </row>
    <row r="425" spans="1:13" ht="20.100000000000001" customHeight="1" x14ac:dyDescent="0.25">
      <c r="A425" s="27" t="s">
        <v>39</v>
      </c>
      <c r="B425" s="33" t="s">
        <v>35</v>
      </c>
      <c r="C425" s="19"/>
      <c r="D425" s="34"/>
      <c r="E425" s="17"/>
      <c r="F425" s="17"/>
      <c r="G425" s="17"/>
      <c r="H425" s="17"/>
      <c r="I425" s="17"/>
      <c r="J425" s="21"/>
      <c r="K425" s="34" t="s">
        <v>28</v>
      </c>
    </row>
    <row r="426" spans="1:13" ht="20.100000000000001" customHeight="1" x14ac:dyDescent="0.25">
      <c r="A426" s="27" t="s">
        <v>40</v>
      </c>
      <c r="B426" s="33" t="s">
        <v>35</v>
      </c>
      <c r="C426" s="19"/>
      <c r="D426" s="34"/>
      <c r="E426" s="17"/>
      <c r="F426" s="17"/>
      <c r="G426" s="17"/>
      <c r="H426" s="17"/>
      <c r="I426" s="17"/>
      <c r="J426" s="21"/>
      <c r="K426" s="34" t="s">
        <v>28</v>
      </c>
    </row>
    <row r="427" spans="1:13" ht="30.75" customHeight="1" thickBot="1" x14ac:dyDescent="0.3">
      <c r="A427" s="289" t="s">
        <v>41</v>
      </c>
      <c r="B427" s="35" t="s">
        <v>35</v>
      </c>
      <c r="C427" s="24"/>
      <c r="D427" s="36"/>
      <c r="E427" s="22"/>
      <c r="F427" s="22"/>
      <c r="G427" s="22"/>
      <c r="H427" s="22"/>
      <c r="I427" s="22"/>
      <c r="J427" s="23"/>
      <c r="K427" s="36" t="s">
        <v>28</v>
      </c>
    </row>
    <row r="428" spans="1:13" ht="30.75" customHeight="1" x14ac:dyDescent="0.25">
      <c r="A428" s="464"/>
      <c r="B428" s="465"/>
      <c r="C428" s="465"/>
      <c r="D428" s="465"/>
      <c r="E428" s="1"/>
      <c r="F428" s="1"/>
      <c r="G428" s="1"/>
      <c r="H428" s="1"/>
      <c r="I428" s="1"/>
      <c r="J428" s="1"/>
      <c r="K428" s="465"/>
    </row>
    <row r="429" spans="1:13" ht="15.75" thickBot="1" x14ac:dyDescent="0.3"/>
    <row r="430" spans="1:13" ht="15.75" thickBot="1" x14ac:dyDescent="0.3">
      <c r="A430" s="376" t="s">
        <v>186</v>
      </c>
      <c r="B430" s="546" t="str">
        <f>+A3</f>
        <v>GRUPO 1</v>
      </c>
      <c r="C430" s="547"/>
    </row>
    <row r="431" spans="1:13" ht="15.75" thickTop="1" x14ac:dyDescent="0.25">
      <c r="A431" s="373" t="str">
        <f>+B2</f>
        <v>CONSORCIO DESARROLLO DEL CESAR</v>
      </c>
      <c r="B431" s="378" t="str">
        <f>+J2</f>
        <v>HABILITADO</v>
      </c>
      <c r="C431" s="379"/>
    </row>
    <row r="432" spans="1:13" x14ac:dyDescent="0.25">
      <c r="A432" s="369" t="str">
        <f>+B28</f>
        <v>CONSORCIO OBRAS EN PAZ</v>
      </c>
      <c r="B432" s="380" t="str">
        <f>+J28</f>
        <v>HABILITADO</v>
      </c>
      <c r="C432" s="381"/>
    </row>
    <row r="433" spans="1:3" x14ac:dyDescent="0.25">
      <c r="A433" s="369" t="str">
        <f>+B54</f>
        <v>CONSORCIO PIC SIERRA NEVADA</v>
      </c>
      <c r="B433" s="380" t="str">
        <f>+J54</f>
        <v>HABILITADO</v>
      </c>
      <c r="C433" s="381"/>
    </row>
    <row r="434" spans="1:3" x14ac:dyDescent="0.25">
      <c r="A434" s="369" t="str">
        <f>+B80</f>
        <v>CONSORCIO LV PERIJÁ</v>
      </c>
      <c r="B434" s="380" t="str">
        <f>+J80</f>
        <v>HABILITADO</v>
      </c>
      <c r="C434" s="381"/>
    </row>
    <row r="435" spans="1:3" x14ac:dyDescent="0.25">
      <c r="A435" s="373" t="str">
        <f>+B106</f>
        <v>UNION TEMPORAL PERIJA 2017</v>
      </c>
      <c r="B435" s="378" t="str">
        <f>+J106</f>
        <v>HABILITADO</v>
      </c>
      <c r="C435" s="379"/>
    </row>
    <row r="436" spans="1:3" x14ac:dyDescent="0.25">
      <c r="A436" s="373" t="str">
        <f>+B133</f>
        <v>UNIÓN TEMPORAL OBRAS RENACER</v>
      </c>
      <c r="B436" s="378" t="str">
        <f>+J133</f>
        <v>HABILITADO</v>
      </c>
      <c r="C436" s="379"/>
    </row>
    <row r="437" spans="1:3" x14ac:dyDescent="0.25">
      <c r="A437" s="373" t="str">
        <f>+B160</f>
        <v>CONSORCIO INFRAESTRUCTURA SIERRA NEVADA</v>
      </c>
      <c r="B437" s="378" t="str">
        <f>+J160</f>
        <v>HABILITADO</v>
      </c>
      <c r="C437" s="379"/>
    </row>
    <row r="438" spans="1:3" x14ac:dyDescent="0.25">
      <c r="A438" s="373" t="str">
        <f>+B187</f>
        <v>UNION TEMPORAL PARA EL FORTALECIMIENTO COMUNITARIO EN LOS TERRITORIOS 2017</v>
      </c>
      <c r="B438" s="378" t="str">
        <f>+J187</f>
        <v>HABILITADO</v>
      </c>
      <c r="C438" s="379"/>
    </row>
    <row r="439" spans="1:3" x14ac:dyDescent="0.25">
      <c r="A439" s="373" t="str">
        <f>+B214</f>
        <v>UNION TEMPORAL RENACER 2017</v>
      </c>
      <c r="B439" s="378" t="str">
        <f>+J214</f>
        <v>HABILITADO</v>
      </c>
      <c r="C439" s="379"/>
    </row>
    <row r="440" spans="1:3" x14ac:dyDescent="0.25">
      <c r="A440" s="373" t="str">
        <f>+B241</f>
        <v>WILLIAM ARTURO DAZA FLOREZ</v>
      </c>
      <c r="B440" s="378" t="str">
        <f>+J241</f>
        <v>HABILITADO</v>
      </c>
      <c r="C440" s="379"/>
    </row>
    <row r="441" spans="1:3" x14ac:dyDescent="0.25">
      <c r="A441" s="373" t="str">
        <f>+B268</f>
        <v>FEDERACIÓN NACIONAL DE CAFETEROS</v>
      </c>
      <c r="B441" s="378" t="str">
        <f>+J268</f>
        <v>HABILITADO</v>
      </c>
      <c r="C441" s="379"/>
    </row>
    <row r="442" spans="1:3" x14ac:dyDescent="0.25">
      <c r="A442" s="373" t="str">
        <f>+B295</f>
        <v>UNION TEMPORAL PROSPERIDAD</v>
      </c>
      <c r="B442" s="378" t="str">
        <f>+J295</f>
        <v>HABILITADO</v>
      </c>
      <c r="C442" s="379"/>
    </row>
    <row r="443" spans="1:3" x14ac:dyDescent="0.25">
      <c r="A443" s="373">
        <f>+B322</f>
        <v>0</v>
      </c>
      <c r="B443" s="378" t="str">
        <f>+J322</f>
        <v>HABILITADO</v>
      </c>
      <c r="C443" s="379"/>
    </row>
    <row r="444" spans="1:3" x14ac:dyDescent="0.25">
      <c r="A444" s="373">
        <f>+B349</f>
        <v>0</v>
      </c>
      <c r="B444" s="378" t="str">
        <f>+J349</f>
        <v>HABILITADO</v>
      </c>
      <c r="C444" s="379"/>
    </row>
    <row r="445" spans="1:3" x14ac:dyDescent="0.25">
      <c r="A445" s="373">
        <f>+B376</f>
        <v>0</v>
      </c>
      <c r="B445" s="378" t="str">
        <f>+J376</f>
        <v>HABILITADO</v>
      </c>
      <c r="C445" s="379"/>
    </row>
    <row r="446" spans="1:3" ht="15.75" thickBot="1" x14ac:dyDescent="0.3">
      <c r="A446" s="372">
        <f>+B403</f>
        <v>0</v>
      </c>
      <c r="B446" s="382" t="str">
        <f>+J403</f>
        <v>HABILITADO</v>
      </c>
      <c r="C446" s="383"/>
    </row>
  </sheetData>
  <mergeCells count="139">
    <mergeCell ref="E411:J411"/>
    <mergeCell ref="E412:J412"/>
    <mergeCell ref="E414:J414"/>
    <mergeCell ref="M415:R416"/>
    <mergeCell ref="E420:J420"/>
    <mergeCell ref="E387:J387"/>
    <mergeCell ref="M388:R389"/>
    <mergeCell ref="E393:J393"/>
    <mergeCell ref="H403:I403"/>
    <mergeCell ref="E409:J409"/>
    <mergeCell ref="E410:J410"/>
    <mergeCell ref="E366:J366"/>
    <mergeCell ref="H376:I376"/>
    <mergeCell ref="E382:J382"/>
    <mergeCell ref="E383:J383"/>
    <mergeCell ref="E384:J384"/>
    <mergeCell ref="E385:J385"/>
    <mergeCell ref="E355:J355"/>
    <mergeCell ref="E356:J356"/>
    <mergeCell ref="E357:J357"/>
    <mergeCell ref="E358:J358"/>
    <mergeCell ref="E360:J360"/>
    <mergeCell ref="M361:R362"/>
    <mergeCell ref="E330:J330"/>
    <mergeCell ref="E331:J331"/>
    <mergeCell ref="E333:J333"/>
    <mergeCell ref="M334:R335"/>
    <mergeCell ref="E339:J339"/>
    <mergeCell ref="H349:I349"/>
    <mergeCell ref="E306:J306"/>
    <mergeCell ref="M307:R308"/>
    <mergeCell ref="E312:J312"/>
    <mergeCell ref="H322:I322"/>
    <mergeCell ref="E328:J328"/>
    <mergeCell ref="E329:J329"/>
    <mergeCell ref="E285:J285"/>
    <mergeCell ref="H295:I295"/>
    <mergeCell ref="E301:J301"/>
    <mergeCell ref="E302:J302"/>
    <mergeCell ref="E303:J303"/>
    <mergeCell ref="E304:J304"/>
    <mergeCell ref="E274:J274"/>
    <mergeCell ref="E275:J275"/>
    <mergeCell ref="E276:J276"/>
    <mergeCell ref="E277:J277"/>
    <mergeCell ref="E279:J279"/>
    <mergeCell ref="M280:R281"/>
    <mergeCell ref="E249:J249"/>
    <mergeCell ref="E250:J250"/>
    <mergeCell ref="E252:J252"/>
    <mergeCell ref="M253:R254"/>
    <mergeCell ref="E258:J258"/>
    <mergeCell ref="H268:I268"/>
    <mergeCell ref="E225:J225"/>
    <mergeCell ref="M226:R227"/>
    <mergeCell ref="E231:J231"/>
    <mergeCell ref="H241:I241"/>
    <mergeCell ref="E247:J247"/>
    <mergeCell ref="E248:J248"/>
    <mergeCell ref="E23:J23"/>
    <mergeCell ref="E26:J26"/>
    <mergeCell ref="E204:J204"/>
    <mergeCell ref="H214:I214"/>
    <mergeCell ref="E220:J220"/>
    <mergeCell ref="E221:J221"/>
    <mergeCell ref="E222:J222"/>
    <mergeCell ref="E223:J223"/>
    <mergeCell ref="E193:J193"/>
    <mergeCell ref="E194:J194"/>
    <mergeCell ref="E195:J195"/>
    <mergeCell ref="E196:J196"/>
    <mergeCell ref="E198:J198"/>
    <mergeCell ref="E112:J112"/>
    <mergeCell ref="M199:R200"/>
    <mergeCell ref="E167:J167"/>
    <mergeCell ref="E168:J168"/>
    <mergeCell ref="E169:J169"/>
    <mergeCell ref="E171:J171"/>
    <mergeCell ref="M172:R173"/>
    <mergeCell ref="H187:I187"/>
    <mergeCell ref="H133:I133"/>
    <mergeCell ref="E139:J139"/>
    <mergeCell ref="E140:J140"/>
    <mergeCell ref="E141:J141"/>
    <mergeCell ref="E142:J142"/>
    <mergeCell ref="E144:J144"/>
    <mergeCell ref="E150:J150"/>
    <mergeCell ref="H160:I160"/>
    <mergeCell ref="E166:J166"/>
    <mergeCell ref="E177:J177"/>
    <mergeCell ref="M145:R146"/>
    <mergeCell ref="M118:R119"/>
    <mergeCell ref="E9:J9"/>
    <mergeCell ref="E12:J12"/>
    <mergeCell ref="E14:J14"/>
    <mergeCell ref="H54:I54"/>
    <mergeCell ref="E65:J65"/>
    <mergeCell ref="E97:J97"/>
    <mergeCell ref="E89:J89"/>
    <mergeCell ref="E91:J91"/>
    <mergeCell ref="E62:J62"/>
    <mergeCell ref="E63:J63"/>
    <mergeCell ref="M92:R93"/>
    <mergeCell ref="M66:R67"/>
    <mergeCell ref="E60:J60"/>
    <mergeCell ref="E61:J61"/>
    <mergeCell ref="E34:J34"/>
    <mergeCell ref="E35:J35"/>
    <mergeCell ref="H28:I28"/>
    <mergeCell ref="E25:J25"/>
    <mergeCell ref="E24:J24"/>
    <mergeCell ref="M14:R15"/>
    <mergeCell ref="M40:R41"/>
    <mergeCell ref="E16:J16"/>
    <mergeCell ref="E37:J37"/>
    <mergeCell ref="H2:I2"/>
    <mergeCell ref="E19:J19"/>
    <mergeCell ref="E13:J13"/>
    <mergeCell ref="E8:J8"/>
    <mergeCell ref="E11:J11"/>
    <mergeCell ref="B430:C430"/>
    <mergeCell ref="H106:I106"/>
    <mergeCell ref="H80:I80"/>
    <mergeCell ref="E86:J86"/>
    <mergeCell ref="E87:J87"/>
    <mergeCell ref="E117:J117"/>
    <mergeCell ref="E17:J17"/>
    <mergeCell ref="E21:J21"/>
    <mergeCell ref="E22:J22"/>
    <mergeCell ref="E39:J39"/>
    <mergeCell ref="E45:J45"/>
    <mergeCell ref="E114:J114"/>
    <mergeCell ref="E113:J113"/>
    <mergeCell ref="E88:J88"/>
    <mergeCell ref="E36:J36"/>
    <mergeCell ref="E71:J71"/>
    <mergeCell ref="E10:J10"/>
    <mergeCell ref="E115:J115"/>
    <mergeCell ref="E123:J123"/>
  </mergeCells>
  <pageMargins left="0.70866141732283472" right="0.70866141732283472" top="0.74803149606299213" bottom="0.74803149606299213" header="0.31496062992125984" footer="0.31496062992125984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showGridLines="0" view="pageBreakPreview" zoomScale="80" zoomScaleNormal="80" zoomScaleSheetLayoutView="80" workbookViewId="0">
      <pane xSplit="1" topLeftCell="B1" activePane="topRight" state="frozen"/>
      <selection pane="topRight" activeCell="J26" sqref="J2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21.7109375" style="45" bestFit="1" customWidth="1"/>
    <col min="9" max="9" width="11.42578125" style="45"/>
    <col min="10" max="10" width="15.7109375" style="45" bestFit="1" customWidth="1"/>
    <col min="11" max="11" width="18.140625" style="45" customWidth="1"/>
    <col min="12" max="12" width="14.85546875" style="45" hidden="1" customWidth="1"/>
    <col min="13" max="13" width="16.7109375" style="45" hidden="1" customWidth="1"/>
    <col min="14" max="23" width="0" style="45" hidden="1" customWidth="1"/>
    <col min="24" max="16384" width="11.42578125" style="45"/>
  </cols>
  <sheetData>
    <row r="1" spans="1:11" s="44" customFormat="1" x14ac:dyDescent="0.25">
      <c r="A1" s="44" t="s">
        <v>143</v>
      </c>
      <c r="K1" s="45"/>
    </row>
    <row r="2" spans="1:11" x14ac:dyDescent="0.25">
      <c r="A2" s="46" t="s">
        <v>29</v>
      </c>
      <c r="B2" s="47" t="str">
        <f>+'HABILITANTES JURIDICOS'!B2</f>
        <v>CONSORCIO DESARROLLO DEL CESAR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1" x14ac:dyDescent="0.25">
      <c r="A3" s="15" t="str">
        <f>+'DATOS BASE DEL GRUPO'!A3</f>
        <v>GRUPO 1</v>
      </c>
      <c r="B3" s="13" t="str">
        <f>+'DATOS BASE DEL GRUPO'!B3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1" x14ac:dyDescent="0.25">
      <c r="A4" s="46" t="s">
        <v>32</v>
      </c>
      <c r="B4" s="50" t="str">
        <f>+CONSOLIDADO!C8</f>
        <v>TECONOLOGIAS Y CONSULTORIAS AMBIENTALES Y DE GESTIÓN S.A.S.</v>
      </c>
      <c r="C4" s="50"/>
      <c r="D4" s="50"/>
      <c r="E4" s="18"/>
      <c r="F4" s="76" t="s">
        <v>67</v>
      </c>
      <c r="G4" s="73">
        <f>+CONSOLIDADO!D8</f>
        <v>0.7</v>
      </c>
      <c r="H4" s="1"/>
      <c r="I4" s="46" t="s">
        <v>50</v>
      </c>
      <c r="J4" s="45">
        <f>COUNTIF(K9:K20,"NO")</f>
        <v>0</v>
      </c>
    </row>
    <row r="5" spans="1:11" x14ac:dyDescent="0.25">
      <c r="A5" s="46" t="s">
        <v>33</v>
      </c>
      <c r="B5" s="50" t="str">
        <f>+CONSOLIDADO!C9</f>
        <v>TECNICAS TERRITORIALES Y URBANAS SL-SUCURSAL COLOMBIA</v>
      </c>
      <c r="C5" s="50"/>
      <c r="D5" s="50"/>
      <c r="E5" s="1"/>
      <c r="F5" s="77" t="s">
        <v>67</v>
      </c>
      <c r="G5" s="73">
        <f>+CONSOLIDADO!D9</f>
        <v>0.3</v>
      </c>
      <c r="H5" s="75">
        <f>SUM(G4:G6)</f>
        <v>1</v>
      </c>
      <c r="I5" s="46" t="s">
        <v>31</v>
      </c>
      <c r="J5" s="45">
        <f>COUNTIF(K9:K20,"N/A")</f>
        <v>3</v>
      </c>
    </row>
    <row r="6" spans="1:11" x14ac:dyDescent="0.25">
      <c r="A6" s="46" t="s">
        <v>34</v>
      </c>
      <c r="B6" s="50">
        <f>+CONSOLIDADO!C10</f>
        <v>0</v>
      </c>
      <c r="C6" s="50"/>
      <c r="D6" s="50"/>
      <c r="E6" s="16"/>
      <c r="F6" s="78" t="s">
        <v>67</v>
      </c>
      <c r="G6" s="74">
        <f>+CONSOLIDADO!D10</f>
        <v>0</v>
      </c>
      <c r="H6" s="16"/>
      <c r="I6" s="47"/>
      <c r="J6" s="47"/>
    </row>
    <row r="7" spans="1:11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s="52" customFormat="1" ht="15.75" thickBot="1" x14ac:dyDescent="0.3">
      <c r="A8" s="325" t="s">
        <v>26</v>
      </c>
      <c r="B8" s="54" t="s">
        <v>28</v>
      </c>
      <c r="C8" s="300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</row>
    <row r="9" spans="1:11" ht="15.75" thickTop="1" x14ac:dyDescent="0.25">
      <c r="A9" s="324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1" ht="55.5" customHeight="1" x14ac:dyDescent="0.25">
      <c r="A10" s="65" t="s">
        <v>52</v>
      </c>
      <c r="B10" s="508" t="s">
        <v>35</v>
      </c>
      <c r="C10" s="62"/>
      <c r="D10" s="63"/>
      <c r="E10" s="561" t="s">
        <v>208</v>
      </c>
      <c r="F10" s="562"/>
      <c r="G10" s="562"/>
      <c r="H10" s="562"/>
      <c r="I10" s="562"/>
      <c r="J10" s="563"/>
      <c r="K10" s="63" t="s">
        <v>48</v>
      </c>
    </row>
    <row r="11" spans="1:11" ht="32.25" customHeight="1" x14ac:dyDescent="0.25">
      <c r="A11" s="60" t="s">
        <v>53</v>
      </c>
      <c r="B11" s="508" t="s">
        <v>35</v>
      </c>
      <c r="C11" s="62"/>
      <c r="D11" s="63"/>
      <c r="E11" s="561" t="s">
        <v>209</v>
      </c>
      <c r="F11" s="562"/>
      <c r="G11" s="562"/>
      <c r="H11" s="562"/>
      <c r="I11" s="562"/>
      <c r="J11" s="563"/>
      <c r="K11" s="63" t="s">
        <v>48</v>
      </c>
    </row>
    <row r="12" spans="1:11" ht="91.5" customHeight="1" x14ac:dyDescent="0.25">
      <c r="A12" s="60" t="s">
        <v>106</v>
      </c>
      <c r="B12" s="508" t="s">
        <v>35</v>
      </c>
      <c r="C12" s="62"/>
      <c r="D12" s="63"/>
      <c r="E12" s="561" t="s">
        <v>213</v>
      </c>
      <c r="F12" s="571"/>
      <c r="G12" s="571"/>
      <c r="H12" s="571"/>
      <c r="I12" s="571"/>
      <c r="J12" s="572"/>
      <c r="K12" s="63" t="s">
        <v>48</v>
      </c>
    </row>
    <row r="13" spans="1:11" ht="75" customHeight="1" x14ac:dyDescent="0.25">
      <c r="A13" s="60" t="s">
        <v>107</v>
      </c>
      <c r="B13" s="508"/>
      <c r="C13" s="62" t="s">
        <v>35</v>
      </c>
      <c r="D13" s="63"/>
      <c r="E13" s="561" t="s">
        <v>210</v>
      </c>
      <c r="F13" s="562"/>
      <c r="G13" s="562"/>
      <c r="H13" s="562"/>
      <c r="I13" s="562"/>
      <c r="J13" s="563"/>
      <c r="K13" s="63" t="s">
        <v>48</v>
      </c>
    </row>
    <row r="14" spans="1:11" ht="45.75" customHeight="1" x14ac:dyDescent="0.25">
      <c r="A14" s="60" t="s">
        <v>145</v>
      </c>
      <c r="B14" s="508" t="s">
        <v>35</v>
      </c>
      <c r="C14" s="62"/>
      <c r="D14" s="63"/>
      <c r="E14" s="561" t="s">
        <v>211</v>
      </c>
      <c r="F14" s="571"/>
      <c r="G14" s="571"/>
      <c r="H14" s="571"/>
      <c r="I14" s="571"/>
      <c r="J14" s="572"/>
      <c r="K14" s="63" t="s">
        <v>48</v>
      </c>
    </row>
    <row r="15" spans="1:11" ht="43.5" customHeight="1" x14ac:dyDescent="0.25">
      <c r="A15" s="65" t="s">
        <v>146</v>
      </c>
      <c r="B15" s="508"/>
      <c r="C15" s="508" t="s">
        <v>35</v>
      </c>
      <c r="D15" s="63"/>
      <c r="E15" s="561" t="s">
        <v>212</v>
      </c>
      <c r="F15" s="562"/>
      <c r="G15" s="562"/>
      <c r="H15" s="562"/>
      <c r="I15" s="562"/>
      <c r="J15" s="563"/>
      <c r="K15" s="63" t="s">
        <v>48</v>
      </c>
    </row>
    <row r="16" spans="1:11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2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2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2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2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TECONOLOGIAS Y CONSULTORIAS AMBIENTALES Y DE GESTIÓN S.A.S.</v>
      </c>
      <c r="I20" s="145"/>
      <c r="J20" s="146"/>
      <c r="K20" s="144" t="str">
        <f>IF(K30&gt;=2,"SI",IF(L30&gt;=2,"SI",IF(M30&gt;=2,"SI","NO")))</f>
        <v>SI</v>
      </c>
    </row>
    <row r="21" spans="1:24" ht="15.75" thickBot="1" x14ac:dyDescent="0.3"/>
    <row r="22" spans="1:24" ht="15" customHeight="1" x14ac:dyDescent="0.25">
      <c r="A22" s="104" t="str">
        <f>+A2</f>
        <v>PROPONENTE:</v>
      </c>
      <c r="B22" s="105" t="str">
        <f>+B2</f>
        <v>CONSORCIO DESARROLLO DEL CESAR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TECONOLOGIAS Y CONSULTORIAS AMBIENTALES Y DE GESTIÓN S.A.S.</v>
      </c>
      <c r="L22" s="517" t="str">
        <f>+B5</f>
        <v>TECNICAS TERRITORIALES Y URBANAS SL-SUCURSAL COLOMBIA</v>
      </c>
      <c r="M22" s="517">
        <f>+B6</f>
        <v>0</v>
      </c>
      <c r="N22" s="513"/>
      <c r="X22" s="522"/>
    </row>
    <row r="23" spans="1:24" ht="17.25" x14ac:dyDescent="0.25">
      <c r="A23" s="80" t="s">
        <v>57</v>
      </c>
      <c r="B23" s="577">
        <f>+B31*D30+B39*D38+B47*D46</f>
        <v>4943656875.5</v>
      </c>
      <c r="C23" s="577"/>
      <c r="D23" s="100"/>
      <c r="E23" s="81" t="s">
        <v>64</v>
      </c>
      <c r="F23" s="81"/>
      <c r="G23" s="81"/>
      <c r="H23" s="506">
        <f>+H31*D30+H39*D38</f>
        <v>7.2178794879047823</v>
      </c>
      <c r="I23" s="83" t="str">
        <f>IF(H23&gt;=1.2,"HABILITA","NO HABILITA")</f>
        <v>HABILITA</v>
      </c>
      <c r="J23" s="518">
        <f>1.2/2</f>
        <v>0.6</v>
      </c>
      <c r="K23" s="518">
        <f>+H31*J22</f>
        <v>4.5750362568589624</v>
      </c>
      <c r="L23" s="518">
        <f>+H39*J22</f>
        <v>1.3547145471703916</v>
      </c>
      <c r="M23" s="518" t="e">
        <f>+H47*J22</f>
        <v>#DIV/0!</v>
      </c>
      <c r="N23" s="513"/>
    </row>
    <row r="24" spans="1:24" ht="17.25" x14ac:dyDescent="0.25">
      <c r="A24" s="80" t="s">
        <v>58</v>
      </c>
      <c r="B24" s="577">
        <f>+B32*D30+B40*D38+B48*D46</f>
        <v>654173859.5</v>
      </c>
      <c r="C24" s="577"/>
      <c r="D24" s="101"/>
      <c r="E24" s="81" t="s">
        <v>63</v>
      </c>
      <c r="F24" s="81"/>
      <c r="G24" s="81"/>
      <c r="H24" s="84">
        <f>+H32*D30+H40*D38</f>
        <v>0.47388358771990757</v>
      </c>
      <c r="I24" s="83" t="str">
        <f>IF(H24&lt;=70%,"HABILITA","NO HABILITA")</f>
        <v>HABILITA</v>
      </c>
      <c r="J24" s="519"/>
      <c r="K24" s="519"/>
      <c r="L24" s="519"/>
      <c r="M24" s="519"/>
      <c r="N24" s="513"/>
    </row>
    <row r="25" spans="1:24" ht="17.25" x14ac:dyDescent="0.25">
      <c r="A25" s="80" t="s">
        <v>59</v>
      </c>
      <c r="B25" s="577">
        <f>+B33*D30+B41*D38+B49*D46</f>
        <v>2436914766.5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4289483015.9999995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2866358070</v>
      </c>
      <c r="L25" s="520">
        <f>+H41*J22</f>
        <v>460969530</v>
      </c>
      <c r="M25" s="520">
        <f>+H49*J22</f>
        <v>0</v>
      </c>
      <c r="N25" s="513"/>
    </row>
    <row r="26" spans="1:24" ht="17.25" x14ac:dyDescent="0.25">
      <c r="A26" s="80" t="s">
        <v>60</v>
      </c>
      <c r="B26" s="577">
        <f>+B34*D30+B42*D38+B50*D46</f>
        <v>5023307672.6000004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13"/>
    </row>
    <row r="27" spans="1:2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e">
        <f>IF(M23&gt;=$J$23,"OK","N/A")</f>
        <v>#DIV/0!</v>
      </c>
      <c r="N27" s="513"/>
    </row>
    <row r="28" spans="1:2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13"/>
    </row>
    <row r="29" spans="1:24" x14ac:dyDescent="0.25">
      <c r="J29" s="513"/>
      <c r="K29" s="514" t="str">
        <f>IF(K25&gt;=$J$25,"OK","N/A")</f>
        <v>OK</v>
      </c>
      <c r="L29" s="514" t="str">
        <f>IF(L25&gt;=$J$25,"OK","N/A")</f>
        <v>N/A</v>
      </c>
      <c r="M29" s="514" t="str">
        <f>IF(M25&gt;=$J$25,"OK","N/A")</f>
        <v>N/A</v>
      </c>
      <c r="N29" s="513"/>
    </row>
    <row r="30" spans="1:24" x14ac:dyDescent="0.25">
      <c r="A30" s="46" t="str">
        <f>+A4</f>
        <v>INTEGRANTE 1</v>
      </c>
      <c r="B30" s="44" t="str">
        <f>+B4</f>
        <v>TECONOLOGIAS Y CONSULTORIAS AMBIENTALES Y DE GESTIÓN S.A.S.</v>
      </c>
      <c r="C30" s="45" t="s">
        <v>67</v>
      </c>
      <c r="D30" s="69">
        <f>+G4</f>
        <v>0.7</v>
      </c>
      <c r="J30" s="513"/>
      <c r="K30" s="514">
        <f>COUNTIF(K27:K29,"OK")</f>
        <v>2</v>
      </c>
      <c r="L30" s="514">
        <f>COUNTIF(L27:L29,"OK")</f>
        <v>1</v>
      </c>
      <c r="M30" s="514">
        <f>COUNTIF(M27:M29,"OK")</f>
        <v>0</v>
      </c>
      <c r="N30" s="513"/>
    </row>
    <row r="31" spans="1:24" x14ac:dyDescent="0.25">
      <c r="A31" s="46" t="s">
        <v>57</v>
      </c>
      <c r="B31" s="573">
        <f>+CONSOLIDADO!P8</f>
        <v>6436110635</v>
      </c>
      <c r="C31" s="573"/>
      <c r="E31" s="45" t="s">
        <v>64</v>
      </c>
      <c r="H31" s="70">
        <f>+B31/B32</f>
        <v>9.1500725137179248</v>
      </c>
      <c r="I31" s="45" t="str">
        <f>IF(H31&gt;=1.2,"HABILITA","NO HABILITA")</f>
        <v>HABILITA</v>
      </c>
      <c r="J31" s="513"/>
      <c r="K31" s="514" t="str">
        <f>IF(K30=2,K22)</f>
        <v>TECONOLOGIAS Y CONSULTORIAS AMBIENTALES Y DE GESTIÓN S.A.S.</v>
      </c>
      <c r="L31" s="514" t="b">
        <f>IF(L30=2,L22)</f>
        <v>0</v>
      </c>
      <c r="M31" s="514" t="b">
        <f>IF(M30=2,M22)</f>
        <v>0</v>
      </c>
      <c r="N31" s="513"/>
    </row>
    <row r="32" spans="1:24" x14ac:dyDescent="0.25">
      <c r="A32" s="46" t="s">
        <v>58</v>
      </c>
      <c r="B32" s="573">
        <f>+CONSOLIDADO!Q8</f>
        <v>703394495</v>
      </c>
      <c r="C32" s="573"/>
      <c r="E32" s="45" t="s">
        <v>63</v>
      </c>
      <c r="H32" s="68">
        <f>+B33/B34</f>
        <v>0.49024136909536542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+CONSOLIDADO!R8</f>
        <v>3187713071</v>
      </c>
      <c r="C33" s="573"/>
      <c r="E33" s="45" t="s">
        <v>62</v>
      </c>
      <c r="G33" s="71">
        <f>+B35*0.3</f>
        <v>1692900000</v>
      </c>
      <c r="H33" s="71">
        <f>(+B31-B32)</f>
        <v>5732716140</v>
      </c>
      <c r="I33" s="45" t="str">
        <f>IF(H33&gt;=G33,"HABILITA","NO HABILITA")</f>
        <v>HABILITA</v>
      </c>
    </row>
    <row r="34" spans="1:9" x14ac:dyDescent="0.25">
      <c r="A34" s="46" t="s">
        <v>60</v>
      </c>
      <c r="B34" s="573">
        <f>+CONSOLIDADO!S8</f>
        <v>6502333895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3</v>
      </c>
    </row>
    <row r="36" spans="1:9" x14ac:dyDescent="0.25">
      <c r="F36" s="66"/>
      <c r="G36" s="67"/>
      <c r="H36" s="46" t="s">
        <v>66</v>
      </c>
      <c r="I36" s="45">
        <f>COUNTIF(I31:I33,"NO HABILITA")</f>
        <v>0</v>
      </c>
    </row>
    <row r="38" spans="1:9" x14ac:dyDescent="0.25">
      <c r="A38" s="46" t="str">
        <f>+A5</f>
        <v>INTEGRANTE 2</v>
      </c>
      <c r="B38" s="44" t="str">
        <f>+B5</f>
        <v>TECNICAS TERRITORIALES Y URBANAS SL-SUCURSAL COLOMBIA</v>
      </c>
      <c r="C38" s="45" t="s">
        <v>67</v>
      </c>
      <c r="D38" s="69">
        <f>+G5</f>
        <v>0.3</v>
      </c>
    </row>
    <row r="39" spans="1:9" x14ac:dyDescent="0.25">
      <c r="A39" s="46" t="s">
        <v>57</v>
      </c>
      <c r="B39" s="573">
        <f>+CONSOLIDADO!P9</f>
        <v>1461264770</v>
      </c>
      <c r="C39" s="573"/>
      <c r="E39" s="45" t="s">
        <v>64</v>
      </c>
      <c r="H39" s="70">
        <f>+B39/B40</f>
        <v>2.7094290943407833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+CONSOLIDADO!Q9</f>
        <v>539325710</v>
      </c>
      <c r="C40" s="573"/>
      <c r="E40" s="45" t="s">
        <v>63</v>
      </c>
      <c r="H40" s="68">
        <f>+B41/B42</f>
        <v>0.43571543117717265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+CONSOLIDADO!R9</f>
        <v>685052056</v>
      </c>
      <c r="C41" s="573"/>
      <c r="E41" s="45" t="s">
        <v>62</v>
      </c>
      <c r="G41" s="71">
        <f>+B43*0.3</f>
        <v>1692900000</v>
      </c>
      <c r="H41" s="71">
        <f>(+B39-B40)</f>
        <v>921939060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+CONSOLIDADO!S9</f>
        <v>1572246487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hidden="1" x14ac:dyDescent="0.25">
      <c r="A46" s="46" t="str">
        <f>+A6</f>
        <v>INTEGRANTE 3</v>
      </c>
      <c r="B46" s="44">
        <f>+B6</f>
        <v>0</v>
      </c>
      <c r="C46" s="45" t="s">
        <v>67</v>
      </c>
      <c r="D46" s="69">
        <f>+G6</f>
        <v>0</v>
      </c>
    </row>
    <row r="47" spans="1:9" hidden="1" x14ac:dyDescent="0.25">
      <c r="A47" s="46" t="s">
        <v>57</v>
      </c>
      <c r="B47" s="573">
        <f>+CONSOLIDADO!P10</f>
        <v>0</v>
      </c>
      <c r="C47" s="573"/>
      <c r="E47" s="45" t="s">
        <v>64</v>
      </c>
      <c r="H47" s="507" t="e">
        <f>+B47/B48</f>
        <v>#DIV/0!</v>
      </c>
      <c r="I47" s="45" t="e">
        <f>IF(H47&gt;=1.2,"HABILITA","NO HABILITA")</f>
        <v>#DIV/0!</v>
      </c>
    </row>
    <row r="48" spans="1:9" hidden="1" x14ac:dyDescent="0.25">
      <c r="A48" s="46" t="s">
        <v>58</v>
      </c>
      <c r="B48" s="573">
        <f>+CONSOLIDADO!Q10</f>
        <v>0</v>
      </c>
      <c r="C48" s="573"/>
      <c r="E48" s="45" t="s">
        <v>63</v>
      </c>
      <c r="H48" s="68" t="e">
        <f>+B49/B50</f>
        <v>#DIV/0!</v>
      </c>
      <c r="I48" s="45" t="e">
        <f>IF(H48&lt;=70%,"HABILITA","NO HABILITA")</f>
        <v>#DIV/0!</v>
      </c>
    </row>
    <row r="49" spans="1:9" hidden="1" x14ac:dyDescent="0.25">
      <c r="A49" s="46" t="s">
        <v>59</v>
      </c>
      <c r="B49" s="573">
        <f>+CONSOLIDADO!R10</f>
        <v>0</v>
      </c>
      <c r="C49" s="573"/>
      <c r="E49" s="45" t="s">
        <v>62</v>
      </c>
      <c r="G49" s="71">
        <f>+B51*0.3</f>
        <v>1692900000</v>
      </c>
      <c r="H49" s="71">
        <f>(+B47-B48)</f>
        <v>0</v>
      </c>
      <c r="I49" s="45" t="str">
        <f>IF(H49&gt;=G49,"HABILITA","NO HABILITA")</f>
        <v>NO HABILITA</v>
      </c>
    </row>
    <row r="50" spans="1:9" hidden="1" x14ac:dyDescent="0.25">
      <c r="A50" s="46" t="s">
        <v>60</v>
      </c>
      <c r="B50" s="573">
        <f>+CONSOLIDADO!S10</f>
        <v>0</v>
      </c>
      <c r="C50" s="573"/>
      <c r="G50" s="69"/>
    </row>
    <row r="51" spans="1:9" hidden="1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0</v>
      </c>
    </row>
    <row r="52" spans="1:9" hidden="1" x14ac:dyDescent="0.25">
      <c r="F52" s="66"/>
      <c r="G52" s="67"/>
      <c r="H52" s="46" t="s">
        <v>66</v>
      </c>
      <c r="I52" s="45">
        <f>COUNTIF(I47:I49,"NO HABILITA")</f>
        <v>1</v>
      </c>
    </row>
    <row r="53" spans="1:9" hidden="1" x14ac:dyDescent="0.25"/>
    <row r="54" spans="1:9" hidden="1" x14ac:dyDescent="0.25"/>
  </sheetData>
  <sheetProtection password="CCE3" sheet="1" objects="1" scenarios="1"/>
  <mergeCells count="33">
    <mergeCell ref="E14:J14"/>
    <mergeCell ref="E15:J15"/>
    <mergeCell ref="B35:C35"/>
    <mergeCell ref="B39:C39"/>
    <mergeCell ref="B51:C51"/>
    <mergeCell ref="E22:H22"/>
    <mergeCell ref="B42:C42"/>
    <mergeCell ref="B43:C43"/>
    <mergeCell ref="B47:C47"/>
    <mergeCell ref="B48:C48"/>
    <mergeCell ref="B49:C49"/>
    <mergeCell ref="B50:C50"/>
    <mergeCell ref="B33:C33"/>
    <mergeCell ref="B34:C34"/>
    <mergeCell ref="B41:C41"/>
    <mergeCell ref="B24:C24"/>
    <mergeCell ref="B40:C40"/>
    <mergeCell ref="E16:J16"/>
    <mergeCell ref="E17:J17"/>
    <mergeCell ref="E18:J18"/>
    <mergeCell ref="B23:C23"/>
    <mergeCell ref="B32:C32"/>
    <mergeCell ref="B25:C25"/>
    <mergeCell ref="B26:C26"/>
    <mergeCell ref="B27:C27"/>
    <mergeCell ref="B31:C31"/>
    <mergeCell ref="E13:J13"/>
    <mergeCell ref="H2:I2"/>
    <mergeCell ref="E8:J8"/>
    <mergeCell ref="E9:J9"/>
    <mergeCell ref="E10:J10"/>
    <mergeCell ref="E11:J11"/>
    <mergeCell ref="E12:J12"/>
  </mergeCells>
  <pageMargins left="0.7" right="0.7" top="0.75" bottom="0.75" header="0.3" footer="0.3"/>
  <pageSetup scale="36" orientation="portrait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view="pageBreakPreview" zoomScale="80" zoomScaleNormal="85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B10" sqref="B10"/>
    </sheetView>
  </sheetViews>
  <sheetFormatPr baseColWidth="10" defaultRowHeight="15" x14ac:dyDescent="0.25"/>
  <cols>
    <col min="1" max="1" width="70.7109375" style="45" customWidth="1"/>
    <col min="2" max="2" width="48.85546875" style="45" bestFit="1" customWidth="1"/>
    <col min="3" max="3" width="13.5703125" style="45" bestFit="1" customWidth="1"/>
    <col min="4" max="4" width="10.7109375" style="45" customWidth="1"/>
    <col min="5" max="6" width="11.42578125" style="45"/>
    <col min="7" max="7" width="17" style="45" bestFit="1" customWidth="1"/>
    <col min="8" max="8" width="21.42578125" style="45" customWidth="1"/>
    <col min="9" max="9" width="11.42578125" style="45"/>
    <col min="10" max="10" width="15.7109375" style="45" bestFit="1" customWidth="1"/>
    <col min="11" max="11" width="14.85546875" style="45" bestFit="1" customWidth="1"/>
    <col min="12" max="12" width="16.7109375" style="45" bestFit="1" customWidth="1"/>
    <col min="13" max="13" width="15.140625" style="45" bestFit="1" customWidth="1"/>
    <col min="14" max="14" width="15.85546875" customWidth="1"/>
    <col min="15" max="15" width="18.28515625" style="45" bestFit="1" customWidth="1"/>
    <col min="16" max="16384" width="11.42578125" style="45"/>
  </cols>
  <sheetData>
    <row r="1" spans="1:15" s="44" customFormat="1" x14ac:dyDescent="0.25">
      <c r="A1" s="44" t="s">
        <v>143</v>
      </c>
      <c r="K1" s="45"/>
      <c r="N1"/>
    </row>
    <row r="2" spans="1:15" x14ac:dyDescent="0.25">
      <c r="A2" s="46" t="s">
        <v>29</v>
      </c>
      <c r="B2" s="47" t="str">
        <f>+CONSOLIDADO!A11</f>
        <v>CONSORCIO OBRAS EN PAZ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5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5" x14ac:dyDescent="0.25">
      <c r="A4" s="46" t="s">
        <v>32</v>
      </c>
      <c r="B4" s="50" t="str">
        <f>+CONSOLIDADO!C12</f>
        <v>CARLOS ALBERTO GONZALEZ CAMARGO</v>
      </c>
      <c r="C4" s="50"/>
      <c r="D4" s="50"/>
      <c r="E4" s="18"/>
      <c r="F4" s="76" t="s">
        <v>67</v>
      </c>
      <c r="G4" s="73">
        <f>+CONSOLIDADO!D12</f>
        <v>0.43</v>
      </c>
      <c r="H4" s="1"/>
      <c r="I4" s="46" t="s">
        <v>50</v>
      </c>
      <c r="J4" s="45">
        <f>COUNTIF(K9:K20,"NO")</f>
        <v>0</v>
      </c>
    </row>
    <row r="5" spans="1:15" x14ac:dyDescent="0.25">
      <c r="A5" s="46" t="s">
        <v>33</v>
      </c>
      <c r="B5" s="50" t="str">
        <f>+CONSOLIDADO!C13</f>
        <v>YOHAN FAHIR BERMUDEZ PARRA</v>
      </c>
      <c r="C5" s="50"/>
      <c r="D5" s="50"/>
      <c r="E5" s="1"/>
      <c r="F5" s="77" t="s">
        <v>67</v>
      </c>
      <c r="G5" s="73">
        <f>+CONSOLIDADO!D13</f>
        <v>0.2</v>
      </c>
      <c r="H5" s="75">
        <f>SUM(G4:G6)</f>
        <v>1</v>
      </c>
      <c r="I5" s="46" t="s">
        <v>31</v>
      </c>
      <c r="J5" s="45">
        <f>COUNTIF(K9:K20,"N/A")</f>
        <v>3</v>
      </c>
    </row>
    <row r="6" spans="1:15" x14ac:dyDescent="0.25">
      <c r="A6" s="46" t="s">
        <v>34</v>
      </c>
      <c r="B6" s="50" t="str">
        <f>+CONSOLIDADO!C14</f>
        <v>JUAN CARLOS ARAGON PINZON</v>
      </c>
      <c r="C6" s="50"/>
      <c r="D6" s="50"/>
      <c r="E6" s="16"/>
      <c r="F6" s="78" t="s">
        <v>67</v>
      </c>
      <c r="G6" s="74">
        <f>+CONSOLIDADO!D14</f>
        <v>0.37</v>
      </c>
      <c r="H6" s="16"/>
      <c r="I6" s="47"/>
      <c r="J6" s="47"/>
    </row>
    <row r="7" spans="1:15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5" s="52" customFormat="1" ht="15.75" thickBot="1" x14ac:dyDescent="0.3">
      <c r="A8" s="53" t="s">
        <v>26</v>
      </c>
      <c r="B8" s="54" t="s">
        <v>28</v>
      </c>
      <c r="C8" s="300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5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/>
    </row>
    <row r="10" spans="1:15" ht="78.75" customHeight="1" x14ac:dyDescent="0.25">
      <c r="A10" s="65" t="s">
        <v>52</v>
      </c>
      <c r="B10" s="61" t="s">
        <v>35</v>
      </c>
      <c r="C10" s="62"/>
      <c r="D10" s="63"/>
      <c r="E10" s="581" t="s">
        <v>301</v>
      </c>
      <c r="F10" s="582"/>
      <c r="G10" s="582"/>
      <c r="H10" s="582"/>
      <c r="I10" s="582"/>
      <c r="J10" s="583"/>
      <c r="K10" s="63" t="s">
        <v>28</v>
      </c>
      <c r="O10" s="463"/>
    </row>
    <row r="11" spans="1:15" ht="29.25" customHeight="1" x14ac:dyDescent="0.25">
      <c r="A11" s="60" t="s">
        <v>53</v>
      </c>
      <c r="B11" s="61"/>
      <c r="C11" s="62"/>
      <c r="D11" s="63" t="s">
        <v>35</v>
      </c>
      <c r="E11" s="581" t="s">
        <v>31</v>
      </c>
      <c r="F11" s="582"/>
      <c r="G11" s="582"/>
      <c r="H11" s="582"/>
      <c r="I11" s="582"/>
      <c r="J11" s="583"/>
      <c r="K11" s="63" t="s">
        <v>28</v>
      </c>
    </row>
    <row r="12" spans="1:15" ht="96.75" customHeight="1" x14ac:dyDescent="0.25">
      <c r="A12" s="60" t="s">
        <v>106</v>
      </c>
      <c r="B12" s="61" t="s">
        <v>35</v>
      </c>
      <c r="C12" s="62"/>
      <c r="D12" s="63"/>
      <c r="E12" s="561" t="s">
        <v>302</v>
      </c>
      <c r="F12" s="571"/>
      <c r="G12" s="571"/>
      <c r="H12" s="571"/>
      <c r="I12" s="571"/>
      <c r="J12" s="572"/>
      <c r="K12" s="63" t="s">
        <v>28</v>
      </c>
    </row>
    <row r="13" spans="1:15" x14ac:dyDescent="0.25">
      <c r="A13" s="60" t="s">
        <v>107</v>
      </c>
      <c r="B13" s="61"/>
      <c r="C13" s="62"/>
      <c r="D13" s="63" t="s">
        <v>35</v>
      </c>
      <c r="E13" s="581" t="s">
        <v>31</v>
      </c>
      <c r="F13" s="582"/>
      <c r="G13" s="582"/>
      <c r="H13" s="582"/>
      <c r="I13" s="582"/>
      <c r="J13" s="583"/>
      <c r="K13" s="63" t="s">
        <v>48</v>
      </c>
    </row>
    <row r="14" spans="1:15" ht="58.5" customHeight="1" x14ac:dyDescent="0.25">
      <c r="A14" s="60" t="s">
        <v>145</v>
      </c>
      <c r="B14" s="61" t="s">
        <v>35</v>
      </c>
      <c r="C14" s="62"/>
      <c r="D14" s="63"/>
      <c r="E14" s="581" t="s">
        <v>303</v>
      </c>
      <c r="F14" s="584"/>
      <c r="G14" s="584"/>
      <c r="H14" s="584"/>
      <c r="I14" s="584"/>
      <c r="J14" s="585"/>
      <c r="K14" s="63" t="s">
        <v>48</v>
      </c>
    </row>
    <row r="15" spans="1:15" x14ac:dyDescent="0.25">
      <c r="A15" s="65" t="s">
        <v>146</v>
      </c>
      <c r="B15" s="61"/>
      <c r="C15" s="62"/>
      <c r="D15" s="63" t="s">
        <v>35</v>
      </c>
      <c r="E15" s="586" t="s">
        <v>31</v>
      </c>
      <c r="F15" s="571"/>
      <c r="G15" s="571"/>
      <c r="H15" s="571"/>
      <c r="I15" s="571"/>
      <c r="J15" s="572"/>
      <c r="K15" s="63" t="s">
        <v>28</v>
      </c>
    </row>
    <row r="16" spans="1:15" ht="30" x14ac:dyDescent="0.25">
      <c r="A16" s="37" t="s">
        <v>54</v>
      </c>
      <c r="B16" s="38"/>
      <c r="C16" s="39"/>
      <c r="D16" s="40" t="s">
        <v>35</v>
      </c>
      <c r="E16" s="574" t="s">
        <v>31</v>
      </c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JUAN CARLOS ARAGON PINZON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OBRAS EN PAZ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CARLOS ALBERTO GONZALEZ CAMARGO</v>
      </c>
      <c r="L22" s="517" t="str">
        <f>+B5</f>
        <v>YOHAN FAHIR BERMUDEZ PARRA</v>
      </c>
      <c r="M22" s="517" t="str">
        <f>+B6</f>
        <v>JUAN CARLOS ARAGON PINZON</v>
      </c>
      <c r="N22" s="521"/>
    </row>
    <row r="23" spans="1:14" ht="17.25" x14ac:dyDescent="0.25">
      <c r="A23" s="80" t="s">
        <v>57</v>
      </c>
      <c r="B23" s="577">
        <f>+B31*D30+B39*D38+B47*D46</f>
        <v>1811651585.3799999</v>
      </c>
      <c r="C23" s="577"/>
      <c r="D23" s="100"/>
      <c r="E23" s="81" t="s">
        <v>64</v>
      </c>
      <c r="F23" s="81"/>
      <c r="G23" s="81"/>
      <c r="H23" s="82">
        <f>+H31*D30+H39*D38+H47*D46</f>
        <v>75.760091213982221</v>
      </c>
      <c r="I23" s="83" t="str">
        <f>IF(H23&gt;=1.2,"HABILITA","NO HABILITA")</f>
        <v>HABILITA</v>
      </c>
      <c r="J23" s="518">
        <f>1.2/2</f>
        <v>0.6</v>
      </c>
      <c r="K23" s="518">
        <f>+H31*J22</f>
        <v>69</v>
      </c>
      <c r="L23" s="518">
        <f>+H39*J22</f>
        <v>25.831511500000001</v>
      </c>
      <c r="M23" s="518">
        <f>+H47*J22</f>
        <v>8.2263332621381355</v>
      </c>
      <c r="N23" s="521"/>
    </row>
    <row r="24" spans="1:14" ht="17.25" x14ac:dyDescent="0.25">
      <c r="A24" s="80" t="s">
        <v>58</v>
      </c>
      <c r="B24" s="577">
        <f>+B32*D30+B40*D38+B48*D46</f>
        <v>83415204.599999994</v>
      </c>
      <c r="C24" s="577"/>
      <c r="D24" s="101"/>
      <c r="E24" s="81" t="s">
        <v>63</v>
      </c>
      <c r="F24" s="81"/>
      <c r="G24" s="81"/>
      <c r="H24" s="84">
        <f>+H32*D30+H40*D38+H48*D46</f>
        <v>0.11485463474832977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279330288.89999998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1728236380.78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548000000</v>
      </c>
      <c r="L25" s="520">
        <f>+H41*J22</f>
        <v>75994534.5</v>
      </c>
      <c r="M25" s="520">
        <f>+H49*J22</f>
        <v>1657511577</v>
      </c>
      <c r="N25" s="521"/>
    </row>
    <row r="26" spans="1:14" ht="17.25" x14ac:dyDescent="0.25">
      <c r="A26" s="80" t="s">
        <v>60</v>
      </c>
      <c r="B26" s="577">
        <f>+B34*D30+B42*D38+B50*D46</f>
        <v>2680644933.5900002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OK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N/A</v>
      </c>
      <c r="L29" s="514" t="str">
        <f>IF(L25&gt;=$J$25,"OK","N/A")</f>
        <v>N/A</v>
      </c>
      <c r="M29" s="514" t="str">
        <f>IF(M25&gt;=$J$25,"OK","N/A")</f>
        <v>OK</v>
      </c>
      <c r="N29" s="521"/>
    </row>
    <row r="30" spans="1:14" x14ac:dyDescent="0.25">
      <c r="A30" s="46" t="str">
        <f>+A4</f>
        <v>INTEGRANTE 1</v>
      </c>
      <c r="B30" s="44" t="str">
        <f>+B4</f>
        <v>CARLOS ALBERTO GONZALEZ CAMARGO</v>
      </c>
      <c r="C30" s="45" t="s">
        <v>67</v>
      </c>
      <c r="D30" s="69">
        <f>+G4</f>
        <v>0.43</v>
      </c>
      <c r="J30" s="513"/>
      <c r="K30" s="514">
        <f>COUNTIF(K27:K29,"OK")</f>
        <v>1</v>
      </c>
      <c r="L30" s="514">
        <f>COUNTIF(L27:L29,"OK")</f>
        <v>1</v>
      </c>
      <c r="M30" s="514">
        <f>COUNTIF(M27:M29,"OK")</f>
        <v>2</v>
      </c>
      <c r="N30" s="521"/>
    </row>
    <row r="31" spans="1:14" x14ac:dyDescent="0.25">
      <c r="A31" s="46" t="s">
        <v>57</v>
      </c>
      <c r="B31" s="573">
        <f>+CONSOLIDADO!P12</f>
        <v>1104000000</v>
      </c>
      <c r="C31" s="573"/>
      <c r="E31" s="45" t="s">
        <v>64</v>
      </c>
      <c r="H31" s="70">
        <f>+B31/B32</f>
        <v>138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b">
        <f>IF(L30=2,L22)</f>
        <v>0</v>
      </c>
      <c r="M31" s="514" t="str">
        <f>IF(M30=2,M22)</f>
        <v>JUAN CARLOS ARAGON PINZON</v>
      </c>
      <c r="N31" s="521"/>
    </row>
    <row r="32" spans="1:14" x14ac:dyDescent="0.25">
      <c r="A32" s="46" t="s">
        <v>58</v>
      </c>
      <c r="B32" s="573">
        <f>+CONSOLIDADO!Q12</f>
        <v>8000000</v>
      </c>
      <c r="C32" s="573"/>
      <c r="E32" s="45" t="s">
        <v>63</v>
      </c>
      <c r="H32" s="68">
        <f>+B33/B34</f>
        <v>0.15986796886446886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+CONSOLIDADO!R12</f>
        <v>261863733</v>
      </c>
      <c r="C33" s="573"/>
      <c r="E33" s="45" t="s">
        <v>62</v>
      </c>
      <c r="G33" s="71">
        <f>+B35*0.3</f>
        <v>1692900000</v>
      </c>
      <c r="H33" s="71">
        <f>(+B31-B32)</f>
        <v>1096000000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+CONSOLIDADO!S12</f>
        <v>1638000000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YOHAN FAHIR BERMUDEZ PARRA</v>
      </c>
      <c r="C38" s="45" t="s">
        <v>67</v>
      </c>
      <c r="D38" s="69">
        <f>+G5</f>
        <v>0.2</v>
      </c>
    </row>
    <row r="39" spans="1:9" x14ac:dyDescent="0.25">
      <c r="A39" s="46" t="s">
        <v>57</v>
      </c>
      <c r="B39" s="573">
        <f>+CONSOLIDADO!P13</f>
        <v>154989069</v>
      </c>
      <c r="C39" s="573"/>
      <c r="E39" s="45" t="s">
        <v>64</v>
      </c>
      <c r="H39" s="70">
        <f>+B39/B40</f>
        <v>51.663023000000003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+CONSOLIDADO!Q13</f>
        <v>3000000</v>
      </c>
      <c r="C40" s="573"/>
      <c r="E40" s="45" t="s">
        <v>63</v>
      </c>
      <c r="H40" s="68">
        <f>+B41/B42</f>
        <v>7.3896258671605652E-2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+CONSOLIDADO!R13</f>
        <v>21500000</v>
      </c>
      <c r="C41" s="573"/>
      <c r="E41" s="45" t="s">
        <v>62</v>
      </c>
      <c r="G41" s="71">
        <f>+B43*0.3</f>
        <v>1692900000</v>
      </c>
      <c r="H41" s="71">
        <f>(+B39-B40)</f>
        <v>151989069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+CONSOLIDADO!S13</f>
        <v>290948424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JUAN CARLOS ARAGON PINZON</v>
      </c>
      <c r="C46" s="45" t="s">
        <v>67</v>
      </c>
      <c r="D46" s="69">
        <f>+G6</f>
        <v>0.37</v>
      </c>
    </row>
    <row r="47" spans="1:9" x14ac:dyDescent="0.25">
      <c r="A47" s="46" t="s">
        <v>57</v>
      </c>
      <c r="B47" s="573">
        <f>+CONSOLIDADO!P14</f>
        <v>3529550734</v>
      </c>
      <c r="C47" s="573"/>
      <c r="E47" s="45" t="s">
        <v>64</v>
      </c>
      <c r="H47" s="70">
        <f>+B47/B48</f>
        <v>16.452666524276271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73">
        <f>+CONSOLIDADO!Q14</f>
        <v>214527580</v>
      </c>
      <c r="C48" s="573"/>
      <c r="E48" s="45" t="s">
        <v>63</v>
      </c>
      <c r="H48" s="68">
        <f>+B49/B50</f>
        <v>8.4681503789964974E-2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+CONSOLIDADO!R14</f>
        <v>438996983</v>
      </c>
      <c r="C49" s="573"/>
      <c r="E49" s="45" t="s">
        <v>62</v>
      </c>
      <c r="G49" s="71">
        <f>+B51*0.3</f>
        <v>1692900000</v>
      </c>
      <c r="H49" s="71">
        <f>(+B47-B48)</f>
        <v>3315023154</v>
      </c>
      <c r="I49" s="45" t="str">
        <f>IF(H49&gt;=G49,"HABILITA","NO HABILITA")</f>
        <v>HABILITA</v>
      </c>
    </row>
    <row r="50" spans="1:9" x14ac:dyDescent="0.25">
      <c r="A50" s="46" t="s">
        <v>60</v>
      </c>
      <c r="B50" s="573">
        <f>+CONSOLIDADO!S14</f>
        <v>5184095267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3</v>
      </c>
    </row>
    <row r="52" spans="1:9" x14ac:dyDescent="0.25">
      <c r="F52" s="66"/>
      <c r="G52" s="67"/>
      <c r="H52" s="46" t="s">
        <v>66</v>
      </c>
      <c r="I52" s="45">
        <f>COUNTIF(I47:I49,"NO HABILITA")</f>
        <v>0</v>
      </c>
    </row>
  </sheetData>
  <sheetProtection algorithmName="SHA-512" hashValue="XKhml3SWDYX/ji3/fYJDLKl7Bxjk8fVVf6pZ5h7mqUx4d21nP+RVunugFDJ/ZtEnDapT3brc2rZEUZ2kn2uiyA==" saltValue="k+rzpnMoiesoN7zpRRqePg==" spinCount="100000" sheet="1" objects="1" scenarios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30" orientation="portrait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15" activePane="bottomRight" state="frozen"/>
      <selection pane="topRight" activeCell="C1" sqref="C1"/>
      <selection pane="bottomLeft" activeCell="A9" sqref="A9"/>
      <selection pane="bottomRight" activeCell="B52" sqref="B52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7" style="45" customWidth="1"/>
    <col min="9" max="9" width="11.42578125" style="45"/>
    <col min="10" max="10" width="14" style="45" bestFit="1" customWidth="1"/>
    <col min="11" max="11" width="14.85546875" style="45" bestFit="1" customWidth="1"/>
    <col min="12" max="12" width="27.85546875" style="45" bestFit="1" customWidth="1"/>
    <col min="13" max="13" width="14.1406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+CONSOLIDADO!A15</f>
        <v>CONSORCIO PIC SIERRA NEVADA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7</v>
      </c>
    </row>
    <row r="4" spans="1:14" x14ac:dyDescent="0.25">
      <c r="A4" s="46" t="s">
        <v>32</v>
      </c>
      <c r="B4" s="50" t="str">
        <f>+CONSOLIDADO!C16</f>
        <v>ALBERTO SANTOS ACOSTA</v>
      </c>
      <c r="C4" s="50"/>
      <c r="D4" s="50"/>
      <c r="E4" s="18"/>
      <c r="F4" s="76" t="s">
        <v>67</v>
      </c>
      <c r="G4" s="73">
        <f>+CONSOLIDADO!D16</f>
        <v>0.34</v>
      </c>
      <c r="H4" s="1"/>
      <c r="I4" s="46" t="s">
        <v>50</v>
      </c>
      <c r="J4" s="45">
        <f>COUNTIF(K9:K20,"NO")</f>
        <v>1</v>
      </c>
    </row>
    <row r="5" spans="1:14" x14ac:dyDescent="0.25">
      <c r="A5" s="46" t="s">
        <v>33</v>
      </c>
      <c r="B5" s="50" t="str">
        <f>+CONSOLIDADO!C17</f>
        <v>BERNARDO ENRIQUE BRAVO</v>
      </c>
      <c r="C5" s="50"/>
      <c r="D5" s="50"/>
      <c r="E5" s="1"/>
      <c r="F5" s="77" t="s">
        <v>67</v>
      </c>
      <c r="G5" s="73">
        <f>+CONSOLIDADO!D17</f>
        <v>0.33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+CONSOLIDADO!C18</f>
        <v>SOCIOAMBIENTAL CONSULTORES</v>
      </c>
      <c r="C6" s="50"/>
      <c r="D6" s="50"/>
      <c r="E6" s="16"/>
      <c r="F6" s="78" t="s">
        <v>67</v>
      </c>
      <c r="G6" s="74">
        <f>+CONSOLIDADO!D18</f>
        <v>0.33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300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29.25" customHeight="1" thickTop="1" x14ac:dyDescent="0.25">
      <c r="A9" s="272" t="s">
        <v>144</v>
      </c>
      <c r="B9" s="57"/>
      <c r="C9" s="58"/>
      <c r="D9" s="59"/>
      <c r="E9" s="568" t="s">
        <v>218</v>
      </c>
      <c r="F9" s="569"/>
      <c r="G9" s="569"/>
      <c r="H9" s="569"/>
      <c r="I9" s="569"/>
      <c r="J9" s="570"/>
      <c r="K9" s="59"/>
    </row>
    <row r="10" spans="1:14" ht="51" customHeight="1" x14ac:dyDescent="0.25">
      <c r="A10" s="65" t="s">
        <v>52</v>
      </c>
      <c r="B10" s="61" t="s">
        <v>35</v>
      </c>
      <c r="C10" s="62"/>
      <c r="D10" s="63"/>
      <c r="E10" s="561" t="s">
        <v>219</v>
      </c>
      <c r="F10" s="562"/>
      <c r="G10" s="562"/>
      <c r="H10" s="562"/>
      <c r="I10" s="562"/>
      <c r="J10" s="563"/>
      <c r="K10" s="63" t="s">
        <v>28</v>
      </c>
    </row>
    <row r="11" spans="1:14" ht="63.75" customHeight="1" x14ac:dyDescent="0.25">
      <c r="A11" s="60" t="s">
        <v>53</v>
      </c>
      <c r="B11" s="61" t="s">
        <v>35</v>
      </c>
      <c r="C11" s="62"/>
      <c r="D11" s="63"/>
      <c r="E11" s="561" t="s">
        <v>220</v>
      </c>
      <c r="F11" s="562"/>
      <c r="G11" s="562"/>
      <c r="H11" s="562"/>
      <c r="I11" s="562"/>
      <c r="J11" s="563"/>
      <c r="K11" s="63" t="s">
        <v>28</v>
      </c>
    </row>
    <row r="12" spans="1:14" ht="97.5" customHeight="1" x14ac:dyDescent="0.25">
      <c r="A12" s="60" t="s">
        <v>106</v>
      </c>
      <c r="B12" s="61" t="s">
        <v>35</v>
      </c>
      <c r="C12" s="62"/>
      <c r="D12" s="63"/>
      <c r="E12" s="561" t="s">
        <v>221</v>
      </c>
      <c r="F12" s="562"/>
      <c r="G12" s="562"/>
      <c r="H12" s="562"/>
      <c r="I12" s="562"/>
      <c r="J12" s="563"/>
      <c r="K12" s="63" t="s">
        <v>48</v>
      </c>
    </row>
    <row r="13" spans="1:14" ht="54.75" customHeight="1" x14ac:dyDescent="0.25">
      <c r="A13" s="60" t="s">
        <v>107</v>
      </c>
      <c r="B13" s="61" t="s">
        <v>35</v>
      </c>
      <c r="C13" s="62"/>
      <c r="D13" s="63"/>
      <c r="E13" s="561" t="s">
        <v>220</v>
      </c>
      <c r="F13" s="562"/>
      <c r="G13" s="562"/>
      <c r="H13" s="562"/>
      <c r="I13" s="562"/>
      <c r="J13" s="563"/>
      <c r="K13" s="63" t="s">
        <v>48</v>
      </c>
    </row>
    <row r="14" spans="1:14" ht="47.25" customHeight="1" x14ac:dyDescent="0.25">
      <c r="A14" s="60" t="s">
        <v>145</v>
      </c>
      <c r="B14" s="61" t="s">
        <v>35</v>
      </c>
      <c r="C14" s="62"/>
      <c r="D14" s="63"/>
      <c r="E14" s="561" t="s">
        <v>223</v>
      </c>
      <c r="F14" s="571"/>
      <c r="G14" s="571"/>
      <c r="H14" s="571"/>
      <c r="I14" s="571"/>
      <c r="J14" s="572"/>
      <c r="K14" s="63" t="s">
        <v>48</v>
      </c>
    </row>
    <row r="15" spans="1:14" ht="45.75" customHeight="1" x14ac:dyDescent="0.25">
      <c r="A15" s="65" t="s">
        <v>146</v>
      </c>
      <c r="B15" s="61" t="s">
        <v>35</v>
      </c>
      <c r="C15" s="62"/>
      <c r="D15" s="63"/>
      <c r="E15" s="561" t="s">
        <v>222</v>
      </c>
      <c r="F15" s="571"/>
      <c r="G15" s="571"/>
      <c r="H15" s="571"/>
      <c r="I15" s="571"/>
      <c r="J15" s="572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BERNARDO ENRIQUE BRAVO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PIC SIERRA NEVADA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ALBERTO SANTOS ACOSTA</v>
      </c>
      <c r="L22" s="517" t="str">
        <f>+B5</f>
        <v>BERNARDO ENRIQUE BRAVO</v>
      </c>
      <c r="M22" s="517" t="str">
        <f>+B6</f>
        <v>SOCIOAMBIENTAL CONSULTORES</v>
      </c>
      <c r="N22" s="521"/>
    </row>
    <row r="23" spans="1:14" ht="17.25" x14ac:dyDescent="0.25">
      <c r="A23" s="80" t="s">
        <v>57</v>
      </c>
      <c r="B23" s="577">
        <f>+B31*D30+B39*D38+B47*D46</f>
        <v>1366329435.6100001</v>
      </c>
      <c r="C23" s="577"/>
      <c r="D23" s="100"/>
      <c r="E23" s="81" t="s">
        <v>64</v>
      </c>
      <c r="F23" s="81"/>
      <c r="G23" s="81"/>
      <c r="H23" s="82">
        <f>+H31*D30+H39*D38+H47*D46</f>
        <v>11.785510492658602</v>
      </c>
      <c r="I23" s="83" t="str">
        <f>IF(H23&gt;=1.2,"HABILITA","NO HABILITA")</f>
        <v>HABILITA</v>
      </c>
      <c r="J23" s="518">
        <f>1.2/2</f>
        <v>0.6</v>
      </c>
      <c r="K23" s="518">
        <f>+H31*J22</f>
        <v>9.2895813227711308</v>
      </c>
      <c r="L23" s="518">
        <f>+H39*J22</f>
        <v>7.8157286371923362</v>
      </c>
      <c r="M23" s="518">
        <f>+H47*J22</f>
        <v>0.4700216554958937</v>
      </c>
      <c r="N23" s="521"/>
    </row>
    <row r="24" spans="1:14" ht="17.25" x14ac:dyDescent="0.25">
      <c r="A24" s="80" t="s">
        <v>58</v>
      </c>
      <c r="B24" s="577">
        <f>+B32*D30+B40*D38+B48*D46</f>
        <v>92835440.570000008</v>
      </c>
      <c r="C24" s="577"/>
      <c r="D24" s="101"/>
      <c r="E24" s="81" t="s">
        <v>63</v>
      </c>
      <c r="F24" s="81"/>
      <c r="G24" s="81"/>
      <c r="H24" s="84">
        <f>+H32*D30+H40*D38+H48*D46</f>
        <v>0.16959868978557452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157435440.57000002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1273493995.04</v>
      </c>
      <c r="I25" s="83" t="str">
        <f>IF(H25&gt;=G25,"HABILITA","NO HABILITA")</f>
        <v>NO HABILITA</v>
      </c>
      <c r="J25" s="520">
        <f>+G25/2</f>
        <v>846450000</v>
      </c>
      <c r="K25" s="520">
        <f>+H33*J22</f>
        <v>609652234</v>
      </c>
      <c r="L25" s="520">
        <f>+H41*J22</f>
        <v>1302364155</v>
      </c>
      <c r="M25" s="520">
        <f>+H49*J22</f>
        <v>-954343</v>
      </c>
      <c r="N25" s="521"/>
    </row>
    <row r="26" spans="1:14" ht="17.25" x14ac:dyDescent="0.25">
      <c r="A26" s="80" t="s">
        <v>60</v>
      </c>
      <c r="B26" s="577">
        <f>+B34*D30+B42*D38+B50*D46</f>
        <v>2020502925.27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2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N/A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N/A</v>
      </c>
      <c r="L29" s="514" t="str">
        <f>IF(L25&gt;=$J$25,"OK","N/A")</f>
        <v>OK</v>
      </c>
      <c r="M29" s="514" t="str">
        <f>IF(M25&gt;=$J$25,"OK","N/A")</f>
        <v>N/A</v>
      </c>
      <c r="N29" s="521"/>
    </row>
    <row r="30" spans="1:14" x14ac:dyDescent="0.25">
      <c r="A30" s="46" t="str">
        <f>+A4</f>
        <v>INTEGRANTE 1</v>
      </c>
      <c r="B30" s="44" t="str">
        <f>+B4</f>
        <v>ALBERTO SANTOS ACOSTA</v>
      </c>
      <c r="C30" s="45" t="s">
        <v>67</v>
      </c>
      <c r="D30" s="69">
        <f>+G4</f>
        <v>0.34</v>
      </c>
      <c r="J30" s="513"/>
      <c r="K30" s="514">
        <f>COUNTIF(K27:K29,"OK")</f>
        <v>1</v>
      </c>
      <c r="L30" s="514">
        <f>COUNTIF(L27:L29,"OK")</f>
        <v>2</v>
      </c>
      <c r="M30" s="514">
        <f>COUNTIF(M27:M29,"OK")</f>
        <v>0</v>
      </c>
      <c r="N30" s="521"/>
    </row>
    <row r="31" spans="1:14" x14ac:dyDescent="0.25">
      <c r="A31" s="46" t="s">
        <v>57</v>
      </c>
      <c r="B31" s="573">
        <f>+CONSOLIDADO!P16</f>
        <v>1288665250</v>
      </c>
      <c r="C31" s="573"/>
      <c r="E31" s="45" t="s">
        <v>64</v>
      </c>
      <c r="H31" s="70">
        <f>+B31/B32</f>
        <v>18.579162645542262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str">
        <f>IF(L30=2,L22)</f>
        <v>BERNARDO ENRIQUE BRAVO</v>
      </c>
      <c r="M31" s="514" t="b">
        <f>IF(M30=2,M22)</f>
        <v>0</v>
      </c>
      <c r="N31" s="521"/>
    </row>
    <row r="32" spans="1:14" x14ac:dyDescent="0.25">
      <c r="A32" s="46" t="s">
        <v>58</v>
      </c>
      <c r="B32" s="573">
        <f>+CONSOLIDADO!Q16</f>
        <v>69360782</v>
      </c>
      <c r="C32" s="573"/>
      <c r="E32" s="45" t="s">
        <v>63</v>
      </c>
      <c r="H32" s="68">
        <f>+B33/B34</f>
        <v>0.14431258693136506</v>
      </c>
      <c r="I32" s="45" t="str">
        <f>IF(H32&lt;=70%,"HABILITA","NO HABILITA")</f>
        <v>HABILITA</v>
      </c>
      <c r="J32" s="513"/>
      <c r="K32" s="513"/>
      <c r="L32" s="513"/>
      <c r="M32" s="513"/>
      <c r="N32" s="521"/>
    </row>
    <row r="33" spans="1:9" x14ac:dyDescent="0.25">
      <c r="A33" s="46" t="s">
        <v>59</v>
      </c>
      <c r="B33" s="573">
        <f>+CONSOLIDADO!R16</f>
        <v>259360782</v>
      </c>
      <c r="C33" s="573"/>
      <c r="E33" s="45" t="s">
        <v>62</v>
      </c>
      <c r="G33" s="71">
        <f>+B35*0.3</f>
        <v>1692900000</v>
      </c>
      <c r="H33" s="71">
        <f>(+B31-B32)</f>
        <v>1219304468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+CONSOLIDADO!S16</f>
        <v>1797215250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BERNARDO ENRIQUE BRAVO</v>
      </c>
      <c r="C38" s="45" t="s">
        <v>67</v>
      </c>
      <c r="D38" s="69">
        <f>+G5</f>
        <v>0.33</v>
      </c>
    </row>
    <row r="39" spans="1:9" x14ac:dyDescent="0.25">
      <c r="A39" s="46" t="s">
        <v>57</v>
      </c>
      <c r="B39" s="573">
        <f>+CONSOLIDADO!P17</f>
        <v>2782750790</v>
      </c>
      <c r="C39" s="573"/>
      <c r="E39" s="45" t="s">
        <v>64</v>
      </c>
      <c r="H39" s="70">
        <f>+B39/B40</f>
        <v>15.631457274384672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+CONSOLIDADO!Q17</f>
        <v>178022480</v>
      </c>
      <c r="C40" s="573"/>
      <c r="E40" s="45" t="s">
        <v>63</v>
      </c>
      <c r="H40" s="68">
        <f>+B41/B42</f>
        <v>4.2666953863690148E-2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+CONSOLIDADO!R17</f>
        <v>178022480</v>
      </c>
      <c r="C41" s="573"/>
      <c r="E41" s="45" t="s">
        <v>62</v>
      </c>
      <c r="G41" s="71">
        <f>+B43*0.3</f>
        <v>1692900000</v>
      </c>
      <c r="H41" s="71">
        <f>(+B39-B40)</f>
        <v>2604728310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73">
        <f>+CONSOLIDADO!S17</f>
        <v>4172373790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SOCIOAMBIENTAL CONSULTORES</v>
      </c>
      <c r="C46" s="45" t="s">
        <v>67</v>
      </c>
      <c r="D46" s="69">
        <f>+G6</f>
        <v>0.33</v>
      </c>
    </row>
    <row r="47" spans="1:9" x14ac:dyDescent="0.25">
      <c r="A47" s="46" t="s">
        <v>57</v>
      </c>
      <c r="B47" s="573">
        <f>+CONSOLIDADO!P18</f>
        <v>29925727</v>
      </c>
      <c r="C47" s="573"/>
      <c r="E47" s="45" t="s">
        <v>64</v>
      </c>
      <c r="H47" s="70">
        <f>+B47/B48</f>
        <v>0.9400433109917874</v>
      </c>
      <c r="I47" s="45" t="str">
        <f>IF(H47&gt;=1.2,"HABILITA","NO HABILITA")</f>
        <v>NO HABILITA</v>
      </c>
    </row>
    <row r="48" spans="1:9" x14ac:dyDescent="0.25">
      <c r="A48" s="46" t="s">
        <v>58</v>
      </c>
      <c r="B48" s="573">
        <f>+CONSOLIDADO!Q18</f>
        <v>31834413</v>
      </c>
      <c r="C48" s="573"/>
      <c r="E48" s="45" t="s">
        <v>63</v>
      </c>
      <c r="H48" s="68">
        <f>+B49/B50</f>
        <v>0.32258277410270503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+CONSOLIDADO!R18</f>
        <v>31834413</v>
      </c>
      <c r="C49" s="573"/>
      <c r="E49" s="45" t="s">
        <v>62</v>
      </c>
      <c r="G49" s="71">
        <f>+B51*0.3</f>
        <v>1692900000</v>
      </c>
      <c r="H49" s="71">
        <f>(+B47-B48)</f>
        <v>-1908686</v>
      </c>
      <c r="I49" s="45" t="str">
        <f>IF(H49&gt;=G49,"HABILITA","NO HABILITA")</f>
        <v>NO HABILITA</v>
      </c>
    </row>
    <row r="50" spans="1:9" x14ac:dyDescent="0.25">
      <c r="A50" s="46" t="s">
        <v>60</v>
      </c>
      <c r="B50" s="573">
        <f>+CONSOLIDADO!S18</f>
        <v>98686029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1</v>
      </c>
    </row>
    <row r="52" spans="1:9" x14ac:dyDescent="0.25">
      <c r="F52" s="66"/>
      <c r="G52" s="67"/>
      <c r="H52" s="46" t="s">
        <v>66</v>
      </c>
      <c r="I52" s="45">
        <f>COUNTIF(I47:I49,"NO HABILITA")</f>
        <v>2</v>
      </c>
    </row>
  </sheetData>
  <sheetProtection password="CCE3" sheet="1" objects="1" scenarios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36" orientation="portrait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14" activePane="bottomRight" state="frozen"/>
      <selection pane="topRight" activeCell="C1" sqref="C1"/>
      <selection pane="bottomLeft" activeCell="A9" sqref="A9"/>
      <selection pane="bottomRight" activeCell="C16" sqref="C16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4.85546875" style="45" bestFit="1" customWidth="1"/>
    <col min="12" max="12" width="15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+CONSOLIDADO!A19</f>
        <v>CONSORCIO LV PERIJÁ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9</v>
      </c>
    </row>
    <row r="4" spans="1:14" x14ac:dyDescent="0.25">
      <c r="A4" s="46" t="s">
        <v>32</v>
      </c>
      <c r="B4" s="50" t="str">
        <f>+CONSOLIDADO!C20</f>
        <v>JAVIER ARTURO LEÓN HERAZO</v>
      </c>
      <c r="C4" s="50"/>
      <c r="D4" s="50"/>
      <c r="E4" s="18"/>
      <c r="F4" s="76" t="s">
        <v>67</v>
      </c>
      <c r="G4" s="73">
        <f>+CONSOLIDADO!D20</f>
        <v>0.35</v>
      </c>
      <c r="H4" s="1"/>
      <c r="I4" s="46" t="s">
        <v>50</v>
      </c>
      <c r="J4" s="45">
        <f>COUNTIF(K9:K20,"NO")</f>
        <v>0</v>
      </c>
    </row>
    <row r="5" spans="1:14" x14ac:dyDescent="0.25">
      <c r="A5" s="46" t="s">
        <v>33</v>
      </c>
      <c r="B5" s="50" t="str">
        <f>+CONSOLIDADO!C21</f>
        <v>GERMÁN VILLANUEVA CALDERÓN</v>
      </c>
      <c r="C5" s="50"/>
      <c r="D5" s="50"/>
      <c r="E5" s="1"/>
      <c r="F5" s="77" t="s">
        <v>67</v>
      </c>
      <c r="G5" s="73">
        <f>+CONSOLIDADO!D21</f>
        <v>0.35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+CONSOLIDADO!C22</f>
        <v>FRANCISCO RAMÓN RÍOS DANIES</v>
      </c>
      <c r="C6" s="50"/>
      <c r="D6" s="50"/>
      <c r="E6" s="16"/>
      <c r="F6" s="78" t="s">
        <v>67</v>
      </c>
      <c r="G6" s="74">
        <f>+CONSOLIDADO!D22</f>
        <v>0.3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300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68"/>
      <c r="F9" s="569"/>
      <c r="G9" s="569"/>
      <c r="H9" s="569"/>
      <c r="I9" s="569"/>
      <c r="J9" s="570"/>
      <c r="K9" s="59" t="s">
        <v>28</v>
      </c>
    </row>
    <row r="10" spans="1:14" ht="99" customHeight="1" x14ac:dyDescent="0.25">
      <c r="A10" s="65" t="s">
        <v>52</v>
      </c>
      <c r="B10" s="61" t="s">
        <v>35</v>
      </c>
      <c r="C10" s="62"/>
      <c r="D10" s="63"/>
      <c r="E10" s="587" t="s">
        <v>305</v>
      </c>
      <c r="F10" s="588"/>
      <c r="G10" s="588"/>
      <c r="H10" s="588"/>
      <c r="I10" s="588"/>
      <c r="J10" s="589"/>
      <c r="K10" s="63" t="s">
        <v>28</v>
      </c>
    </row>
    <row r="11" spans="1:14" ht="64.5" customHeight="1" x14ac:dyDescent="0.25">
      <c r="A11" s="60" t="s">
        <v>53</v>
      </c>
      <c r="B11" s="61" t="s">
        <v>35</v>
      </c>
      <c r="C11" s="62"/>
      <c r="D11" s="63"/>
      <c r="E11" s="587" t="s">
        <v>228</v>
      </c>
      <c r="F11" s="588"/>
      <c r="G11" s="588"/>
      <c r="H11" s="588"/>
      <c r="I11" s="588"/>
      <c r="J11" s="589"/>
      <c r="K11" s="63" t="s">
        <v>28</v>
      </c>
    </row>
    <row r="12" spans="1:14" ht="104.25" customHeight="1" x14ac:dyDescent="0.25">
      <c r="A12" s="60" t="s">
        <v>106</v>
      </c>
      <c r="B12" s="61" t="s">
        <v>35</v>
      </c>
      <c r="C12" s="62"/>
      <c r="D12" s="63"/>
      <c r="E12" s="587" t="s">
        <v>229</v>
      </c>
      <c r="F12" s="588"/>
      <c r="G12" s="588"/>
      <c r="H12" s="588"/>
      <c r="I12" s="588"/>
      <c r="J12" s="589"/>
      <c r="K12" s="63" t="s">
        <v>48</v>
      </c>
    </row>
    <row r="13" spans="1:14" ht="99" customHeight="1" x14ac:dyDescent="0.25">
      <c r="A13" s="60" t="s">
        <v>107</v>
      </c>
      <c r="B13" s="61" t="s">
        <v>35</v>
      </c>
      <c r="C13" s="62"/>
      <c r="D13" s="63"/>
      <c r="E13" s="587" t="s">
        <v>230</v>
      </c>
      <c r="F13" s="588"/>
      <c r="G13" s="588"/>
      <c r="H13" s="588"/>
      <c r="I13" s="588"/>
      <c r="J13" s="589"/>
      <c r="K13" s="63" t="s">
        <v>48</v>
      </c>
    </row>
    <row r="14" spans="1:14" ht="64.5" customHeight="1" x14ac:dyDescent="0.25">
      <c r="A14" s="60" t="s">
        <v>145</v>
      </c>
      <c r="B14" s="61" t="s">
        <v>35</v>
      </c>
      <c r="C14" s="62"/>
      <c r="D14" s="63"/>
      <c r="E14" s="587" t="s">
        <v>231</v>
      </c>
      <c r="F14" s="590"/>
      <c r="G14" s="590"/>
      <c r="H14" s="590"/>
      <c r="I14" s="590"/>
      <c r="J14" s="591"/>
      <c r="K14" s="63" t="s">
        <v>48</v>
      </c>
    </row>
    <row r="15" spans="1:14" ht="78.75" customHeight="1" x14ac:dyDescent="0.25">
      <c r="A15" s="65" t="s">
        <v>146</v>
      </c>
      <c r="B15" s="61" t="s">
        <v>35</v>
      </c>
      <c r="C15" s="62"/>
      <c r="D15" s="63"/>
      <c r="E15" s="587" t="s">
        <v>232</v>
      </c>
      <c r="F15" s="590"/>
      <c r="G15" s="590"/>
      <c r="H15" s="590"/>
      <c r="I15" s="590"/>
      <c r="J15" s="591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4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4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4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HABILITA</v>
      </c>
      <c r="I19" s="140"/>
      <c r="J19" s="141"/>
      <c r="K19" s="139" t="str">
        <f>IF(I27=3,"SI","NO")</f>
        <v>SI</v>
      </c>
    </row>
    <row r="20" spans="1:14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FRANCISCO RAMÓN RÍOS DANIES</v>
      </c>
      <c r="I20" s="145"/>
      <c r="J20" s="146"/>
      <c r="K20" s="144" t="str">
        <f>IF(K30&gt;=2,"SI",IF(L30&gt;=2,"SI",IF(M30&gt;=2,"SI","NO")))</f>
        <v>SI</v>
      </c>
    </row>
    <row r="21" spans="1:14" ht="15.75" thickBot="1" x14ac:dyDescent="0.3"/>
    <row r="22" spans="1:14" x14ac:dyDescent="0.25">
      <c r="A22" s="104" t="str">
        <f>+A2</f>
        <v>PROPONENTE:</v>
      </c>
      <c r="B22" s="105" t="str">
        <f>+B2</f>
        <v>CONSORCIO LV PERIJÁ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JAVIER ARTURO LEÓN HERAZO</v>
      </c>
      <c r="L22" s="517" t="str">
        <f>+B5</f>
        <v>GERMÁN VILLANUEVA CALDERÓN</v>
      </c>
      <c r="M22" s="517" t="str">
        <f>+B6</f>
        <v>FRANCISCO RAMÓN RÍOS DANIES</v>
      </c>
      <c r="N22" s="521"/>
    </row>
    <row r="23" spans="1:14" ht="17.25" x14ac:dyDescent="0.25">
      <c r="A23" s="80" t="s">
        <v>57</v>
      </c>
      <c r="B23" s="577">
        <f>+B31*D30+B39*D38+B47*D46</f>
        <v>3570183319.6999998</v>
      </c>
      <c r="C23" s="577"/>
      <c r="D23" s="100"/>
      <c r="E23" s="81" t="s">
        <v>64</v>
      </c>
      <c r="F23" s="81"/>
      <c r="G23" s="81"/>
      <c r="H23" s="82">
        <f>+H31*D30+H39*D38+H47*D46</f>
        <v>25.886583828310222</v>
      </c>
      <c r="I23" s="83" t="str">
        <f>IF(H23&gt;=1.2,"HABILITA","NO HABILITA")</f>
        <v>HABILITA</v>
      </c>
      <c r="J23" s="518">
        <f>1.2/2</f>
        <v>0.6</v>
      </c>
      <c r="K23" s="518">
        <f>+H31*J22</f>
        <v>10.130982941176471</v>
      </c>
      <c r="L23" s="518">
        <f>+H39*J22</f>
        <v>14.551421522986109</v>
      </c>
      <c r="M23" s="518">
        <f>+H47*J22</f>
        <v>14.348167838994023</v>
      </c>
      <c r="N23" s="521"/>
    </row>
    <row r="24" spans="1:14" ht="17.25" x14ac:dyDescent="0.25">
      <c r="A24" s="80" t="s">
        <v>58</v>
      </c>
      <c r="B24" s="577">
        <f>+B32*D30+B40*D38+B48*D46</f>
        <v>124237480.40000001</v>
      </c>
      <c r="C24" s="577"/>
      <c r="D24" s="101"/>
      <c r="E24" s="81" t="s">
        <v>63</v>
      </c>
      <c r="F24" s="81"/>
      <c r="G24" s="81"/>
      <c r="H24" s="84">
        <f>+H32*D30+H40*D38+H48*D46</f>
        <v>0.29997682582528035</v>
      </c>
      <c r="I24" s="83" t="str">
        <f>IF(H24&lt;=70%,"HABILITA","NO HABILITA")</f>
        <v>HABILITA</v>
      </c>
      <c r="J24" s="519"/>
      <c r="K24" s="519"/>
      <c r="L24" s="519"/>
      <c r="M24" s="519"/>
      <c r="N24" s="521"/>
    </row>
    <row r="25" spans="1:14" ht="17.25" x14ac:dyDescent="0.25">
      <c r="A25" s="80" t="s">
        <v>59</v>
      </c>
      <c r="B25" s="577">
        <f>+B33*D30+B41*D38+B49*D46</f>
        <v>1326624777.55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3445945839.3000002</v>
      </c>
      <c r="I25" s="83" t="str">
        <f>IF(H25&gt;=G25,"HABILITA","NO HABILITA")</f>
        <v>HABILITA</v>
      </c>
      <c r="J25" s="520">
        <f>+G25/2</f>
        <v>846450000</v>
      </c>
      <c r="K25" s="520">
        <f>+H33*J22</f>
        <v>65490684</v>
      </c>
      <c r="L25" s="520">
        <f>+H41*J22</f>
        <v>2478563460</v>
      </c>
      <c r="M25" s="520">
        <f>+H49*J22</f>
        <v>2775179897.5</v>
      </c>
      <c r="N25" s="521"/>
    </row>
    <row r="26" spans="1:14" ht="17.25" x14ac:dyDescent="0.25">
      <c r="A26" s="80" t="s">
        <v>60</v>
      </c>
      <c r="B26" s="577">
        <f>+B34*D30+B42*D38+B50*D46</f>
        <v>4613316155.1499996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  <c r="N26" s="521"/>
    </row>
    <row r="27" spans="1:14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3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OK</v>
      </c>
      <c r="N27" s="521"/>
    </row>
    <row r="28" spans="1:14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0</v>
      </c>
      <c r="J28" s="513"/>
      <c r="K28" s="514"/>
      <c r="L28" s="514"/>
      <c r="M28" s="514"/>
      <c r="N28" s="521"/>
    </row>
    <row r="29" spans="1:14" x14ac:dyDescent="0.25">
      <c r="J29" s="513"/>
      <c r="K29" s="514" t="str">
        <f>IF(K25&gt;=$J$25,"OK","N/A")</f>
        <v>N/A</v>
      </c>
      <c r="L29" s="514" t="str">
        <f>IF(L25&gt;=$J$25,"OK","N/A")</f>
        <v>OK</v>
      </c>
      <c r="M29" s="514" t="str">
        <f>IF(M25&gt;=$J$25,"OK","N/A")</f>
        <v>OK</v>
      </c>
      <c r="N29" s="521"/>
    </row>
    <row r="30" spans="1:14" x14ac:dyDescent="0.25">
      <c r="A30" s="46" t="str">
        <f>+A4</f>
        <v>INTEGRANTE 1</v>
      </c>
      <c r="B30" s="44" t="str">
        <f>+B4</f>
        <v>JAVIER ARTURO LEÓN HERAZO</v>
      </c>
      <c r="C30" s="45" t="s">
        <v>67</v>
      </c>
      <c r="D30" s="69">
        <f>+G4</f>
        <v>0.35</v>
      </c>
      <c r="J30" s="513"/>
      <c r="K30" s="514">
        <f>COUNTIF(K27:K29,"OK")</f>
        <v>1</v>
      </c>
      <c r="L30" s="514">
        <f>COUNTIF(L27:L29,"OK")</f>
        <v>2</v>
      </c>
      <c r="M30" s="514">
        <f>COUNTIF(M27:M29,"OK")</f>
        <v>2</v>
      </c>
      <c r="N30" s="521"/>
    </row>
    <row r="31" spans="1:14" x14ac:dyDescent="0.25">
      <c r="A31" s="46" t="s">
        <v>57</v>
      </c>
      <c r="B31" s="573">
        <f>+CONSOLIDADO!P20</f>
        <v>137781368</v>
      </c>
      <c r="C31" s="573"/>
      <c r="E31" s="45" t="s">
        <v>64</v>
      </c>
      <c r="H31" s="70">
        <f>+B31/B32</f>
        <v>20.261965882352943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str">
        <f>IF(L30=2,L22)</f>
        <v>GERMÁN VILLANUEVA CALDERÓN</v>
      </c>
      <c r="M31" s="514" t="str">
        <f>IF(M30=2,M22)</f>
        <v>FRANCISCO RAMÓN RÍOS DANIES</v>
      </c>
      <c r="N31" s="521"/>
    </row>
    <row r="32" spans="1:14" x14ac:dyDescent="0.25">
      <c r="A32" s="46" t="s">
        <v>58</v>
      </c>
      <c r="B32" s="573">
        <f>+CONSOLIDADO!Q20</f>
        <v>6800000</v>
      </c>
      <c r="C32" s="573"/>
      <c r="E32" s="45" t="s">
        <v>63</v>
      </c>
      <c r="H32" s="68">
        <f>+B33/B34</f>
        <v>0.3587800699112616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+CONSOLIDADO!R20</f>
        <v>265777591</v>
      </c>
      <c r="C33" s="573"/>
      <c r="E33" s="45" t="s">
        <v>62</v>
      </c>
      <c r="G33" s="71">
        <f>+B35*0.3</f>
        <v>1692900000</v>
      </c>
      <c r="H33" s="71">
        <f>(+B31-B32)</f>
        <v>130981368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+CONSOLIDADO!S20</f>
        <v>740781368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GERMÁN VILLANUEVA CALDERÓN</v>
      </c>
      <c r="C38" s="45" t="s">
        <v>67</v>
      </c>
      <c r="D38" s="69">
        <f>+G5</f>
        <v>0.35</v>
      </c>
    </row>
    <row r="39" spans="1:9" x14ac:dyDescent="0.25">
      <c r="A39" s="46" t="s">
        <v>57</v>
      </c>
      <c r="B39" s="573">
        <f>+CONSOLIDADO!P21</f>
        <v>5133519284</v>
      </c>
      <c r="C39" s="573"/>
      <c r="E39" s="45" t="s">
        <v>64</v>
      </c>
      <c r="H39" s="70">
        <f>+B39/B40</f>
        <v>29.102843045972218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+CONSOLIDADO!Q21</f>
        <v>176392364</v>
      </c>
      <c r="C40" s="573"/>
      <c r="E40" s="45" t="s">
        <v>63</v>
      </c>
      <c r="H40" s="68">
        <f>+B41/B42</f>
        <v>0.19409751906067899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+CONSOLIDADO!R21</f>
        <v>1074777616</v>
      </c>
      <c r="C41" s="573"/>
      <c r="E41" s="45" t="s">
        <v>62</v>
      </c>
      <c r="G41" s="71">
        <f>+B43*0.3</f>
        <v>1692900000</v>
      </c>
      <c r="H41" s="71">
        <f>(+B39-B40)</f>
        <v>4957126920</v>
      </c>
      <c r="I41" s="45" t="str">
        <f>IF(H41&gt;=G41,"HABILITA","NO HABILITA")</f>
        <v>HABILITA</v>
      </c>
    </row>
    <row r="42" spans="1:9" x14ac:dyDescent="0.25">
      <c r="A42" s="46" t="s">
        <v>60</v>
      </c>
      <c r="B42" s="573">
        <f>+CONSOLIDADO!S21</f>
        <v>5537307335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3</v>
      </c>
    </row>
    <row r="44" spans="1:9" x14ac:dyDescent="0.25">
      <c r="F44" s="66"/>
      <c r="G44" s="67"/>
      <c r="H44" s="46" t="s">
        <v>66</v>
      </c>
      <c r="I44" s="45">
        <f>COUNTIF(I39:I41,"NO HABILITA")</f>
        <v>0</v>
      </c>
    </row>
    <row r="46" spans="1:9" x14ac:dyDescent="0.25">
      <c r="A46" s="46" t="str">
        <f>+A6</f>
        <v>INTEGRANTE 3</v>
      </c>
      <c r="B46" s="44" t="str">
        <f>+B6</f>
        <v>FRANCISCO RAMÓN RÍOS DANIES</v>
      </c>
      <c r="C46" s="45" t="s">
        <v>67</v>
      </c>
      <c r="D46" s="69">
        <f>+G6</f>
        <v>0.3</v>
      </c>
    </row>
    <row r="47" spans="1:9" x14ac:dyDescent="0.25">
      <c r="A47" s="46" t="s">
        <v>57</v>
      </c>
      <c r="B47" s="573">
        <f>+CONSOLIDADO!P22</f>
        <v>5750760305</v>
      </c>
      <c r="C47" s="573"/>
      <c r="E47" s="45" t="s">
        <v>64</v>
      </c>
      <c r="H47" s="70">
        <f>+B47/B48</f>
        <v>28.696335677988046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73">
        <f>+CONSOLIDADO!Q22</f>
        <v>200400510</v>
      </c>
      <c r="C48" s="573"/>
      <c r="E48" s="45" t="s">
        <v>63</v>
      </c>
      <c r="H48" s="68">
        <f>+B49/B50</f>
        <v>0.3548988989503371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+CONSOLIDADO!R22</f>
        <v>2858101517</v>
      </c>
      <c r="C49" s="573"/>
      <c r="E49" s="45" t="s">
        <v>62</v>
      </c>
      <c r="G49" s="71">
        <f>+B51*0.3</f>
        <v>1692900000</v>
      </c>
      <c r="H49" s="71">
        <f>(+B47-B48)</f>
        <v>5550359795</v>
      </c>
      <c r="I49" s="45" t="str">
        <f>IF(H49&gt;=G49,"HABILITA","NO HABILITA")</f>
        <v>HABILITA</v>
      </c>
    </row>
    <row r="50" spans="1:9" x14ac:dyDescent="0.25">
      <c r="A50" s="46" t="s">
        <v>60</v>
      </c>
      <c r="B50" s="573">
        <f>+CONSOLIDADO!S22</f>
        <v>8053283697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3</v>
      </c>
    </row>
    <row r="52" spans="1:9" x14ac:dyDescent="0.25">
      <c r="F52" s="66"/>
      <c r="G52" s="67"/>
      <c r="H52" s="46" t="s">
        <v>66</v>
      </c>
      <c r="I52" s="45">
        <f>COUNTIF(I47:I49,"NO HABILITA")</f>
        <v>0</v>
      </c>
    </row>
  </sheetData>
  <sheetProtection algorithmName="SHA-512" hashValue="zNKiFTXoSIRNpP6O+W+RKg3VBE3z3wyrK/pHU6PKXXTL/2vOJkfZGzy6sMNt3UQ2xW+M113sYdcC5lVYduMmhw==" saltValue="TFUSvr0aOYvj/vwhcJpW2g==" spinCount="100000" sheet="1" objects="1" scenarios="1"/>
  <mergeCells count="33">
    <mergeCell ref="H2:I2"/>
    <mergeCell ref="E8:J8"/>
    <mergeCell ref="E9:J9"/>
    <mergeCell ref="E10:J10"/>
    <mergeCell ref="E11:J11"/>
    <mergeCell ref="E12:J12"/>
    <mergeCell ref="B33:C33"/>
    <mergeCell ref="E13:J13"/>
    <mergeCell ref="E16:J16"/>
    <mergeCell ref="E17:J17"/>
    <mergeCell ref="E18:J18"/>
    <mergeCell ref="E22:H22"/>
    <mergeCell ref="E14:J14"/>
    <mergeCell ref="E15:J15"/>
    <mergeCell ref="B50:C50"/>
    <mergeCell ref="B51:C51"/>
    <mergeCell ref="B41:C41"/>
    <mergeCell ref="B42:C42"/>
    <mergeCell ref="B43:C43"/>
    <mergeCell ref="B47:C47"/>
    <mergeCell ref="B48:C48"/>
    <mergeCell ref="B49:C49"/>
    <mergeCell ref="B34:C34"/>
    <mergeCell ref="B35:C35"/>
    <mergeCell ref="B39:C39"/>
    <mergeCell ref="B23:C23"/>
    <mergeCell ref="B40:C40"/>
    <mergeCell ref="B24:C24"/>
    <mergeCell ref="B25:C25"/>
    <mergeCell ref="B26:C26"/>
    <mergeCell ref="B31:C31"/>
    <mergeCell ref="B32:C32"/>
    <mergeCell ref="B27:C27"/>
  </mergeCells>
  <pageMargins left="0.7" right="0.7" top="0.75" bottom="0.75" header="0.3" footer="0.3"/>
  <pageSetup scale="36" orientation="portrait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view="pageBreakPreview" zoomScale="80" zoomScaleNormal="80" zoomScaleSheetLayoutView="80" workbookViewId="0">
      <pane xSplit="1" ySplit="8" topLeftCell="B9" activePane="bottomRight" state="frozen"/>
      <selection pane="topRight" activeCell="C1" sqref="C1"/>
      <selection pane="bottomLeft" activeCell="A9" sqref="A9"/>
      <selection pane="bottomRight" activeCell="C5" sqref="C5"/>
    </sheetView>
  </sheetViews>
  <sheetFormatPr baseColWidth="10" defaultRowHeight="15" x14ac:dyDescent="0.25"/>
  <cols>
    <col min="1" max="1" width="70.7109375" style="45" customWidth="1"/>
    <col min="2" max="4" width="10.7109375" style="45" customWidth="1"/>
    <col min="5" max="6" width="11.42578125" style="45"/>
    <col min="7" max="7" width="17" style="45" bestFit="1" customWidth="1"/>
    <col min="8" max="8" width="16.5703125" style="45" bestFit="1" customWidth="1"/>
    <col min="9" max="9" width="11.42578125" style="45"/>
    <col min="10" max="10" width="15.140625" style="45" bestFit="1" customWidth="1"/>
    <col min="11" max="11" width="16.42578125" style="45" bestFit="1" customWidth="1"/>
    <col min="12" max="12" width="14.140625" style="45" bestFit="1" customWidth="1"/>
    <col min="13" max="13" width="16.42578125" style="45" bestFit="1" customWidth="1"/>
    <col min="14" max="14" width="15.85546875" customWidth="1"/>
    <col min="15" max="16384" width="11.42578125" style="45"/>
  </cols>
  <sheetData>
    <row r="1" spans="1:14" s="44" customFormat="1" x14ac:dyDescent="0.25">
      <c r="A1" s="44" t="s">
        <v>143</v>
      </c>
      <c r="K1" s="45"/>
      <c r="N1"/>
    </row>
    <row r="2" spans="1:14" x14ac:dyDescent="0.25">
      <c r="A2" s="46" t="s">
        <v>29</v>
      </c>
      <c r="B2" s="47" t="str">
        <f>+CONSOLIDADO!A23</f>
        <v>UNION TEMPORAL PERIJA 2017</v>
      </c>
      <c r="C2" s="47"/>
      <c r="D2" s="47"/>
      <c r="E2" s="47"/>
      <c r="F2" s="47"/>
      <c r="G2" s="48"/>
      <c r="H2" s="564" t="s">
        <v>51</v>
      </c>
      <c r="I2" s="564"/>
      <c r="J2" s="49" t="str">
        <f>IF(J4&gt;0,"NO HABILITADO","HABILITADO")</f>
        <v>NO HABILITADO</v>
      </c>
    </row>
    <row r="3" spans="1:14" x14ac:dyDescent="0.25">
      <c r="A3" s="15" t="str">
        <f>+'HABILI FINANCIEROS CON_DES CESA'!A3</f>
        <v>GRUPO 1</v>
      </c>
      <c r="B3" s="13" t="str">
        <f>+'HABILI FINANCIEROS CON_DES CESA'!B3</f>
        <v>SIERRA NEVADA-PERIJÁ-ZONA BANANERA</v>
      </c>
      <c r="C3" s="13"/>
      <c r="D3" s="13"/>
      <c r="E3" s="13"/>
      <c r="F3" s="13"/>
      <c r="G3" s="48"/>
      <c r="I3" s="46" t="s">
        <v>49</v>
      </c>
      <c r="J3" s="45">
        <f>COUNTIF(K9:K20,"SI")</f>
        <v>8</v>
      </c>
    </row>
    <row r="4" spans="1:14" x14ac:dyDescent="0.25">
      <c r="A4" s="46" t="s">
        <v>32</v>
      </c>
      <c r="B4" s="50" t="str">
        <f>+CONSOLIDADO!C24</f>
        <v>HENRY ARISMENDY GOMEZ</v>
      </c>
      <c r="C4" s="50"/>
      <c r="D4" s="50"/>
      <c r="E4" s="18"/>
      <c r="F4" s="76" t="s">
        <v>67</v>
      </c>
      <c r="G4" s="73">
        <f>+CONSOLIDADO!D24</f>
        <v>0.2</v>
      </c>
      <c r="H4" s="1"/>
      <c r="I4" s="46" t="s">
        <v>50</v>
      </c>
      <c r="J4" s="45">
        <f>COUNTIF(K9:K20,"NO")</f>
        <v>1</v>
      </c>
    </row>
    <row r="5" spans="1:14" x14ac:dyDescent="0.25">
      <c r="A5" s="46" t="s">
        <v>33</v>
      </c>
      <c r="B5" s="50" t="str">
        <f>+CONSOLIDADO!C25</f>
        <v>JAIME BRUGUES MORENO</v>
      </c>
      <c r="C5" s="50"/>
      <c r="D5" s="50"/>
      <c r="E5" s="1"/>
      <c r="F5" s="77" t="s">
        <v>67</v>
      </c>
      <c r="G5" s="73">
        <f>+CONSOLIDADO!D25</f>
        <v>0.4</v>
      </c>
      <c r="H5" s="75">
        <f>SUM(G4:G6)</f>
        <v>1</v>
      </c>
      <c r="I5" s="46" t="s">
        <v>31</v>
      </c>
      <c r="J5" s="45">
        <f>COUNTIF(K9:K20,"N/A")</f>
        <v>3</v>
      </c>
    </row>
    <row r="6" spans="1:14" x14ac:dyDescent="0.25">
      <c r="A6" s="46" t="s">
        <v>34</v>
      </c>
      <c r="B6" s="50" t="str">
        <f>+CONSOLIDADO!C26</f>
        <v>MACDANIEL LTDA</v>
      </c>
      <c r="C6" s="50"/>
      <c r="D6" s="50"/>
      <c r="E6" s="16"/>
      <c r="F6" s="78" t="s">
        <v>67</v>
      </c>
      <c r="G6" s="74">
        <f>+CONSOLIDADO!D26</f>
        <v>0.4</v>
      </c>
      <c r="H6" s="16"/>
      <c r="I6" s="47"/>
      <c r="J6" s="47"/>
    </row>
    <row r="7" spans="1:14" ht="15.75" thickBot="1" x14ac:dyDescent="0.3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s="52" customFormat="1" ht="15.75" thickBot="1" x14ac:dyDescent="0.3">
      <c r="A8" s="53" t="s">
        <v>26</v>
      </c>
      <c r="B8" s="54" t="s">
        <v>28</v>
      </c>
      <c r="C8" s="300" t="s">
        <v>27</v>
      </c>
      <c r="D8" s="55" t="s">
        <v>31</v>
      </c>
      <c r="E8" s="565" t="s">
        <v>42</v>
      </c>
      <c r="F8" s="566"/>
      <c r="G8" s="566"/>
      <c r="H8" s="566"/>
      <c r="I8" s="566"/>
      <c r="J8" s="567"/>
      <c r="K8" s="55" t="s">
        <v>47</v>
      </c>
      <c r="N8"/>
    </row>
    <row r="9" spans="1:14" ht="15.75" thickTop="1" x14ac:dyDescent="0.25">
      <c r="A9" s="272" t="s">
        <v>144</v>
      </c>
      <c r="B9" s="57"/>
      <c r="C9" s="58"/>
      <c r="D9" s="59"/>
      <c r="E9" s="587"/>
      <c r="F9" s="588"/>
      <c r="G9" s="588"/>
      <c r="H9" s="588"/>
      <c r="I9" s="588"/>
      <c r="J9" s="589"/>
      <c r="K9" s="59" t="s">
        <v>28</v>
      </c>
    </row>
    <row r="10" spans="1:14" ht="99.75" customHeight="1" x14ac:dyDescent="0.25">
      <c r="A10" s="65" t="s">
        <v>52</v>
      </c>
      <c r="B10" s="61"/>
      <c r="C10" s="62" t="s">
        <v>35</v>
      </c>
      <c r="D10" s="63"/>
      <c r="E10" s="587" t="s">
        <v>238</v>
      </c>
      <c r="F10" s="588"/>
      <c r="G10" s="588"/>
      <c r="H10" s="588"/>
      <c r="I10" s="588"/>
      <c r="J10" s="589"/>
      <c r="K10" s="63" t="s">
        <v>28</v>
      </c>
    </row>
    <row r="11" spans="1:14" ht="90.75" customHeight="1" x14ac:dyDescent="0.25">
      <c r="A11" s="60" t="s">
        <v>53</v>
      </c>
      <c r="B11" s="61"/>
      <c r="C11" s="62" t="s">
        <v>35</v>
      </c>
      <c r="D11" s="63"/>
      <c r="E11" s="587" t="s">
        <v>237</v>
      </c>
      <c r="F11" s="588"/>
      <c r="G11" s="588"/>
      <c r="H11" s="588"/>
      <c r="I11" s="588"/>
      <c r="J11" s="589"/>
      <c r="K11" s="63" t="s">
        <v>28</v>
      </c>
    </row>
    <row r="12" spans="1:14" ht="90.75" customHeight="1" x14ac:dyDescent="0.25">
      <c r="A12" s="60" t="s">
        <v>106</v>
      </c>
      <c r="B12" s="61"/>
      <c r="C12" s="62" t="s">
        <v>35</v>
      </c>
      <c r="D12" s="63"/>
      <c r="E12" s="587" t="s">
        <v>239</v>
      </c>
      <c r="F12" s="588"/>
      <c r="G12" s="588"/>
      <c r="H12" s="588"/>
      <c r="I12" s="588"/>
      <c r="J12" s="589"/>
      <c r="K12" s="63" t="s">
        <v>48</v>
      </c>
    </row>
    <row r="13" spans="1:14" ht="90.75" customHeight="1" x14ac:dyDescent="0.25">
      <c r="A13" s="60" t="s">
        <v>107</v>
      </c>
      <c r="B13" s="61"/>
      <c r="C13" s="62" t="s">
        <v>35</v>
      </c>
      <c r="D13" s="63"/>
      <c r="E13" s="587" t="s">
        <v>240</v>
      </c>
      <c r="F13" s="588"/>
      <c r="G13" s="588"/>
      <c r="H13" s="588"/>
      <c r="I13" s="588"/>
      <c r="J13" s="589"/>
      <c r="K13" s="63" t="s">
        <v>48</v>
      </c>
    </row>
    <row r="14" spans="1:14" ht="90.75" customHeight="1" x14ac:dyDescent="0.25">
      <c r="A14" s="60" t="s">
        <v>145</v>
      </c>
      <c r="B14" s="61"/>
      <c r="C14" s="62" t="s">
        <v>35</v>
      </c>
      <c r="D14" s="63"/>
      <c r="E14" s="587" t="s">
        <v>241</v>
      </c>
      <c r="F14" s="590"/>
      <c r="G14" s="590"/>
      <c r="H14" s="590"/>
      <c r="I14" s="590"/>
      <c r="J14" s="591"/>
      <c r="K14" s="63" t="s">
        <v>48</v>
      </c>
    </row>
    <row r="15" spans="1:14" ht="90.75" customHeight="1" x14ac:dyDescent="0.25">
      <c r="A15" s="65" t="s">
        <v>146</v>
      </c>
      <c r="B15" s="61"/>
      <c r="C15" s="62" t="s">
        <v>35</v>
      </c>
      <c r="D15" s="63"/>
      <c r="E15" s="587" t="s">
        <v>242</v>
      </c>
      <c r="F15" s="590"/>
      <c r="G15" s="590"/>
      <c r="H15" s="590"/>
      <c r="I15" s="590"/>
      <c r="J15" s="591"/>
      <c r="K15" s="63" t="s">
        <v>28</v>
      </c>
    </row>
    <row r="16" spans="1:14" ht="30" x14ac:dyDescent="0.25">
      <c r="A16" s="37" t="s">
        <v>54</v>
      </c>
      <c r="B16" s="38"/>
      <c r="C16" s="39"/>
      <c r="D16" s="40" t="s">
        <v>35</v>
      </c>
      <c r="E16" s="574"/>
      <c r="F16" s="575"/>
      <c r="G16" s="575"/>
      <c r="H16" s="575"/>
      <c r="I16" s="575"/>
      <c r="J16" s="576"/>
      <c r="K16" s="40" t="s">
        <v>31</v>
      </c>
    </row>
    <row r="17" spans="1:13" ht="42.95" customHeight="1" x14ac:dyDescent="0.25">
      <c r="A17" s="37" t="s">
        <v>55</v>
      </c>
      <c r="B17" s="38"/>
      <c r="C17" s="39"/>
      <c r="D17" s="40" t="s">
        <v>35</v>
      </c>
      <c r="E17" s="574"/>
      <c r="F17" s="575"/>
      <c r="G17" s="575"/>
      <c r="H17" s="575"/>
      <c r="I17" s="575"/>
      <c r="J17" s="576"/>
      <c r="K17" s="40" t="s">
        <v>31</v>
      </c>
    </row>
    <row r="18" spans="1:13" ht="30" customHeight="1" x14ac:dyDescent="0.25">
      <c r="A18" s="37" t="s">
        <v>56</v>
      </c>
      <c r="B18" s="38"/>
      <c r="C18" s="39"/>
      <c r="D18" s="40" t="s">
        <v>35</v>
      </c>
      <c r="E18" s="574"/>
      <c r="F18" s="575"/>
      <c r="G18" s="575"/>
      <c r="H18" s="575"/>
      <c r="I18" s="575"/>
      <c r="J18" s="576"/>
      <c r="K18" s="40" t="s">
        <v>31</v>
      </c>
    </row>
    <row r="19" spans="1:13" ht="30" customHeight="1" x14ac:dyDescent="0.25">
      <c r="A19" s="136" t="s">
        <v>102</v>
      </c>
      <c r="B19" s="137" t="s">
        <v>35</v>
      </c>
      <c r="C19" s="138"/>
      <c r="D19" s="139"/>
      <c r="E19" s="177" t="s">
        <v>104</v>
      </c>
      <c r="F19" s="140"/>
      <c r="G19" s="140"/>
      <c r="H19" s="140" t="str">
        <f>IF(I27=3,"HABILITA","NO HABILITA")</f>
        <v>NO HABILITA</v>
      </c>
      <c r="I19" s="140"/>
      <c r="J19" s="141"/>
      <c r="K19" s="139" t="str">
        <f>IF(I27=3,"SI","NO")</f>
        <v>NO</v>
      </c>
    </row>
    <row r="20" spans="1:13" ht="30" customHeight="1" thickBot="1" x14ac:dyDescent="0.3">
      <c r="A20" s="273" t="s">
        <v>69</v>
      </c>
      <c r="B20" s="142" t="s">
        <v>35</v>
      </c>
      <c r="C20" s="143"/>
      <c r="D20" s="144"/>
      <c r="E20" s="176" t="s">
        <v>103</v>
      </c>
      <c r="F20" s="145"/>
      <c r="G20" s="145"/>
      <c r="H20" s="330" t="str">
        <f>IF(M30&gt;=2,M22,IF(L30&gt;=2,L22,IF(K30&gt;=2,K22,"no")))</f>
        <v>MACDANIEL LTDA</v>
      </c>
      <c r="I20" s="145"/>
      <c r="J20" s="146"/>
      <c r="K20" s="144" t="str">
        <f>IF(K30&gt;=2,"SI",IF(L30&gt;=2,"SI",IF(M30&gt;=2,"SI","NO")))</f>
        <v>SI</v>
      </c>
    </row>
    <row r="21" spans="1:13" ht="15.75" thickBot="1" x14ac:dyDescent="0.3"/>
    <row r="22" spans="1:13" x14ac:dyDescent="0.25">
      <c r="A22" s="104" t="str">
        <f>+A2</f>
        <v>PROPONENTE:</v>
      </c>
      <c r="B22" s="105" t="str">
        <f>+B2</f>
        <v>UNION TEMPORAL PERIJA 2017</v>
      </c>
      <c r="C22" s="105"/>
      <c r="D22" s="106">
        <f>+D30+D38+D46</f>
        <v>1</v>
      </c>
      <c r="E22" s="580" t="s">
        <v>68</v>
      </c>
      <c r="F22" s="580"/>
      <c r="G22" s="580"/>
      <c r="H22" s="580"/>
      <c r="I22" s="79"/>
      <c r="J22" s="515">
        <v>0.5</v>
      </c>
      <c r="K22" s="516" t="str">
        <f>+B4</f>
        <v>HENRY ARISMENDY GOMEZ</v>
      </c>
      <c r="L22" s="517" t="str">
        <f>+B5</f>
        <v>JAIME BRUGUES MORENO</v>
      </c>
      <c r="M22" s="517" t="str">
        <f>+B6</f>
        <v>MACDANIEL LTDA</v>
      </c>
    </row>
    <row r="23" spans="1:13" ht="17.25" x14ac:dyDescent="0.25">
      <c r="A23" s="80" t="s">
        <v>57</v>
      </c>
      <c r="B23" s="577">
        <f>+B31*D30+B39*D38+B47*D46</f>
        <v>1881412988.8</v>
      </c>
      <c r="C23" s="577"/>
      <c r="D23" s="100"/>
      <c r="E23" s="81" t="s">
        <v>64</v>
      </c>
      <c r="F23" s="81"/>
      <c r="G23" s="81"/>
      <c r="H23" s="82">
        <f>+H31*D30+H39*D38+H47*D46</f>
        <v>5.5989492035425261</v>
      </c>
      <c r="I23" s="83" t="str">
        <f>IF(H23&gt;=1.2,"HABILITA","NO HABILITA")</f>
        <v>HABILITA</v>
      </c>
      <c r="J23" s="518">
        <f>1.2/2</f>
        <v>0.6</v>
      </c>
      <c r="K23" s="518">
        <f>+H31*J22</f>
        <v>1.1043248935542</v>
      </c>
      <c r="L23" s="518">
        <f>+H39*J22</f>
        <v>2.9735655265334269</v>
      </c>
      <c r="M23" s="518">
        <f>+H47*J22</f>
        <v>3.4729585311176301</v>
      </c>
    </row>
    <row r="24" spans="1:13" ht="17.25" x14ac:dyDescent="0.25">
      <c r="A24" s="80" t="s">
        <v>58</v>
      </c>
      <c r="B24" s="577">
        <f>+B32*D30+B40*D38+B48*D46</f>
        <v>278508910.80000001</v>
      </c>
      <c r="C24" s="577"/>
      <c r="D24" s="101"/>
      <c r="E24" s="81" t="s">
        <v>63</v>
      </c>
      <c r="F24" s="81"/>
      <c r="G24" s="81"/>
      <c r="H24" s="84">
        <f>+H32*D30+H40*D38+H48*D46</f>
        <v>0.32146542358672825</v>
      </c>
      <c r="I24" s="83" t="str">
        <f>IF(H24&lt;=70%,"HABILITA","NO HABILITA")</f>
        <v>HABILITA</v>
      </c>
      <c r="J24" s="519"/>
      <c r="K24" s="519"/>
      <c r="L24" s="519"/>
      <c r="M24" s="519"/>
    </row>
    <row r="25" spans="1:13" ht="17.25" x14ac:dyDescent="0.25">
      <c r="A25" s="80" t="s">
        <v>59</v>
      </c>
      <c r="B25" s="577">
        <f>+B33*D30+B41*D38+B49*D46</f>
        <v>1463564910.8</v>
      </c>
      <c r="C25" s="577"/>
      <c r="D25" s="102"/>
      <c r="E25" s="81" t="s">
        <v>62</v>
      </c>
      <c r="F25" s="81"/>
      <c r="G25" s="85">
        <f>+B27*0.3</f>
        <v>1692900000</v>
      </c>
      <c r="H25" s="85">
        <f>+H33*D30+H41*D38+H49*D46</f>
        <v>1602904078</v>
      </c>
      <c r="I25" s="83" t="str">
        <f>IF(H25&gt;=G25,"HABILITA","NO HABILITA")</f>
        <v>NO HABILITA</v>
      </c>
      <c r="J25" s="520">
        <f>+G25/2</f>
        <v>846450000</v>
      </c>
      <c r="K25" s="520">
        <f>+H33*J22</f>
        <v>25351138</v>
      </c>
      <c r="L25" s="520">
        <f>+H41*J22</f>
        <v>82603528.5</v>
      </c>
      <c r="M25" s="520">
        <f>+H49*J22</f>
        <v>1908351000</v>
      </c>
    </row>
    <row r="26" spans="1:13" ht="17.25" x14ac:dyDescent="0.25">
      <c r="A26" s="80" t="s">
        <v>60</v>
      </c>
      <c r="B26" s="577">
        <f>+B34*D30+B42*D38+B50*D46</f>
        <v>2662776788.8000002</v>
      </c>
      <c r="C26" s="577"/>
      <c r="D26" s="103"/>
      <c r="E26" s="81"/>
      <c r="F26" s="81"/>
      <c r="G26" s="86"/>
      <c r="H26" s="81"/>
      <c r="I26" s="83"/>
      <c r="J26" s="513"/>
      <c r="K26" s="513"/>
      <c r="L26" s="513"/>
      <c r="M26" s="513"/>
    </row>
    <row r="27" spans="1:13" x14ac:dyDescent="0.25">
      <c r="A27" s="87" t="s">
        <v>61</v>
      </c>
      <c r="B27" s="578">
        <f>+'DATOS BASE DEL GRUPO'!B4</f>
        <v>5643000000</v>
      </c>
      <c r="C27" s="578"/>
      <c r="D27" s="81"/>
      <c r="E27" s="81"/>
      <c r="F27" s="81"/>
      <c r="G27" s="88"/>
      <c r="H27" s="89" t="s">
        <v>65</v>
      </c>
      <c r="I27" s="83">
        <f>COUNTIF(I23:I25,"HABILITA")</f>
        <v>2</v>
      </c>
      <c r="J27" s="513"/>
      <c r="K27" s="514" t="str">
        <f>IF(K23&gt;=$J$23,"OK","N/A")</f>
        <v>OK</v>
      </c>
      <c r="L27" s="514" t="str">
        <f>IF(L23&gt;=$J$23,"OK","N/A")</f>
        <v>OK</v>
      </c>
      <c r="M27" s="514" t="str">
        <f>IF(M23&gt;=$J$23,"OK","N/A")</f>
        <v>OK</v>
      </c>
    </row>
    <row r="28" spans="1:13" ht="15.75" thickBot="1" x14ac:dyDescent="0.3">
      <c r="A28" s="90"/>
      <c r="B28" s="91"/>
      <c r="C28" s="91"/>
      <c r="D28" s="91"/>
      <c r="E28" s="91"/>
      <c r="F28" s="92"/>
      <c r="G28" s="93"/>
      <c r="H28" s="94" t="s">
        <v>66</v>
      </c>
      <c r="I28" s="95">
        <f>COUNTIF(I23:I25,"NO HABILITA")</f>
        <v>1</v>
      </c>
      <c r="J28" s="513"/>
      <c r="K28" s="514"/>
      <c r="L28" s="514"/>
      <c r="M28" s="514"/>
    </row>
    <row r="29" spans="1:13" x14ac:dyDescent="0.25">
      <c r="J29" s="513"/>
      <c r="K29" s="514" t="str">
        <f>IF(K25&gt;=$J$25,"OK","N/A")</f>
        <v>N/A</v>
      </c>
      <c r="L29" s="514" t="str">
        <f>IF(L25&gt;=$J$25,"OK","N/A")</f>
        <v>N/A</v>
      </c>
      <c r="M29" s="514" t="str">
        <f>IF(M25&gt;=$J$25,"OK","N/A")</f>
        <v>OK</v>
      </c>
    </row>
    <row r="30" spans="1:13" x14ac:dyDescent="0.25">
      <c r="A30" s="46" t="str">
        <f>+A4</f>
        <v>INTEGRANTE 1</v>
      </c>
      <c r="B30" s="44" t="str">
        <f>+B4</f>
        <v>HENRY ARISMENDY GOMEZ</v>
      </c>
      <c r="C30" s="45" t="s">
        <v>67</v>
      </c>
      <c r="D30" s="69">
        <f>+G4</f>
        <v>0.2</v>
      </c>
      <c r="J30" s="513"/>
      <c r="K30" s="514">
        <f>COUNTIF(K27:K29,"OK")</f>
        <v>1</v>
      </c>
      <c r="L30" s="514">
        <f>COUNTIF(L27:L29,"OK")</f>
        <v>1</v>
      </c>
      <c r="M30" s="514">
        <f>COUNTIF(M27:M29,"OK")</f>
        <v>2</v>
      </c>
    </row>
    <row r="31" spans="1:13" x14ac:dyDescent="0.25">
      <c r="A31" s="46" t="s">
        <v>57</v>
      </c>
      <c r="B31" s="573">
        <f>+CONSOLIDADO!P24</f>
        <v>92651794</v>
      </c>
      <c r="C31" s="573"/>
      <c r="E31" s="45" t="s">
        <v>64</v>
      </c>
      <c r="H31" s="70">
        <f>+B31/B32</f>
        <v>2.2086497871084001</v>
      </c>
      <c r="I31" s="45" t="str">
        <f>IF(H31&gt;=1.2,"HABILITA","NO HABILITA")</f>
        <v>HABILITA</v>
      </c>
      <c r="J31" s="513"/>
      <c r="K31" s="514" t="b">
        <f>IF(K30=2,K22)</f>
        <v>0</v>
      </c>
      <c r="L31" s="514" t="b">
        <f>IF(L30=2,L22)</f>
        <v>0</v>
      </c>
      <c r="M31" s="514" t="str">
        <f>IF(M30=2,M22)</f>
        <v>MACDANIEL LTDA</v>
      </c>
    </row>
    <row r="32" spans="1:13" x14ac:dyDescent="0.25">
      <c r="A32" s="46" t="s">
        <v>58</v>
      </c>
      <c r="B32" s="573">
        <f>+CONSOLIDADO!Q24</f>
        <v>41949518</v>
      </c>
      <c r="C32" s="573"/>
      <c r="E32" s="45" t="s">
        <v>63</v>
      </c>
      <c r="H32" s="68">
        <f>+B33/B34</f>
        <v>0.1139317094015251</v>
      </c>
      <c r="I32" s="45" t="str">
        <f>IF(H32&lt;=70%,"HABILITA","NO HABILITA")</f>
        <v>HABILITA</v>
      </c>
    </row>
    <row r="33" spans="1:9" x14ac:dyDescent="0.25">
      <c r="A33" s="46" t="s">
        <v>59</v>
      </c>
      <c r="B33" s="573">
        <f>+CONSOLIDADO!R24</f>
        <v>41949518</v>
      </c>
      <c r="C33" s="573"/>
      <c r="E33" s="45" t="s">
        <v>62</v>
      </c>
      <c r="G33" s="71">
        <f>+B35*0.3</f>
        <v>1692900000</v>
      </c>
      <c r="H33" s="71">
        <f>(+B31-B32)</f>
        <v>50702276</v>
      </c>
      <c r="I33" s="45" t="str">
        <f>IF(H33&gt;=G33,"HABILITA","NO HABILITA")</f>
        <v>NO HABILITA</v>
      </c>
    </row>
    <row r="34" spans="1:9" x14ac:dyDescent="0.25">
      <c r="A34" s="46" t="s">
        <v>60</v>
      </c>
      <c r="B34" s="573">
        <f>+CONSOLIDADO!S24</f>
        <v>368198794</v>
      </c>
      <c r="C34" s="573"/>
      <c r="G34" s="69"/>
    </row>
    <row r="35" spans="1:9" x14ac:dyDescent="0.25">
      <c r="A35" s="72" t="s">
        <v>61</v>
      </c>
      <c r="B35" s="579">
        <f>+B27</f>
        <v>5643000000</v>
      </c>
      <c r="C35" s="579"/>
      <c r="G35" s="66"/>
      <c r="H35" s="46" t="s">
        <v>65</v>
      </c>
      <c r="I35" s="45">
        <f>COUNTIF(I31:I33,"HABILITA")</f>
        <v>2</v>
      </c>
    </row>
    <row r="36" spans="1:9" x14ac:dyDescent="0.25">
      <c r="F36" s="66"/>
      <c r="G36" s="67"/>
      <c r="H36" s="46" t="s">
        <v>66</v>
      </c>
      <c r="I36" s="45">
        <f>COUNTIF(I31:I33,"NO HABILITA")</f>
        <v>1</v>
      </c>
    </row>
    <row r="38" spans="1:9" x14ac:dyDescent="0.25">
      <c r="A38" s="46" t="str">
        <f>+A5</f>
        <v>INTEGRANTE 2</v>
      </c>
      <c r="B38" s="44" t="str">
        <f>+B5</f>
        <v>JAIME BRUGUES MORENO</v>
      </c>
      <c r="C38" s="45" t="s">
        <v>67</v>
      </c>
      <c r="D38" s="69">
        <f>+G5</f>
        <v>0.4</v>
      </c>
    </row>
    <row r="39" spans="1:9" x14ac:dyDescent="0.25">
      <c r="A39" s="46" t="s">
        <v>57</v>
      </c>
      <c r="B39" s="573">
        <f>+CONSOLIDADO!P25</f>
        <v>198601575</v>
      </c>
      <c r="C39" s="573"/>
      <c r="E39" s="45" t="s">
        <v>64</v>
      </c>
      <c r="H39" s="70">
        <f>+B39/B40</f>
        <v>5.9471310530668537</v>
      </c>
      <c r="I39" s="45" t="str">
        <f>IF(H39&gt;=1.2,"HABILITA","NO HABILITA")</f>
        <v>HABILITA</v>
      </c>
    </row>
    <row r="40" spans="1:9" x14ac:dyDescent="0.25">
      <c r="A40" s="46" t="s">
        <v>58</v>
      </c>
      <c r="B40" s="573">
        <f>+CONSOLIDADO!Q25</f>
        <v>33394518</v>
      </c>
      <c r="C40" s="573"/>
      <c r="E40" s="45" t="s">
        <v>63</v>
      </c>
      <c r="H40" s="68">
        <f>+B41/B42</f>
        <v>0.1525757491294161</v>
      </c>
      <c r="I40" s="45" t="str">
        <f>IF(H40&lt;=70%,"HABILITA","NO HABILITA")</f>
        <v>HABILITA</v>
      </c>
    </row>
    <row r="41" spans="1:9" x14ac:dyDescent="0.25">
      <c r="A41" s="46" t="s">
        <v>59</v>
      </c>
      <c r="B41" s="573">
        <f>+CONSOLIDADO!R25</f>
        <v>71777518</v>
      </c>
      <c r="C41" s="573"/>
      <c r="E41" s="45" t="s">
        <v>62</v>
      </c>
      <c r="G41" s="71">
        <f>+B43*0.3</f>
        <v>1692900000</v>
      </c>
      <c r="H41" s="71">
        <f>(+B39-B40)</f>
        <v>165207057</v>
      </c>
      <c r="I41" s="45" t="str">
        <f>IF(H41&gt;=G41,"HABILITA","NO HABILITA")</f>
        <v>NO HABILITA</v>
      </c>
    </row>
    <row r="42" spans="1:9" x14ac:dyDescent="0.25">
      <c r="A42" s="46" t="s">
        <v>60</v>
      </c>
      <c r="B42" s="573">
        <f>+CONSOLIDADO!S25</f>
        <v>470438575</v>
      </c>
      <c r="C42" s="573"/>
      <c r="G42" s="69"/>
    </row>
    <row r="43" spans="1:9" x14ac:dyDescent="0.25">
      <c r="A43" s="72" t="s">
        <v>61</v>
      </c>
      <c r="B43" s="579">
        <f>+B35</f>
        <v>5643000000</v>
      </c>
      <c r="C43" s="579"/>
      <c r="G43" s="66"/>
      <c r="H43" s="46" t="s">
        <v>65</v>
      </c>
      <c r="I43" s="45">
        <f>COUNTIF(I39:I41,"HABILITA")</f>
        <v>2</v>
      </c>
    </row>
    <row r="44" spans="1:9" x14ac:dyDescent="0.25">
      <c r="F44" s="66"/>
      <c r="G44" s="67"/>
      <c r="H44" s="46" t="s">
        <v>66</v>
      </c>
      <c r="I44" s="45">
        <f>COUNTIF(I39:I41,"NO HABILITA")</f>
        <v>1</v>
      </c>
    </row>
    <row r="46" spans="1:9" x14ac:dyDescent="0.25">
      <c r="A46" s="46" t="str">
        <f>+A6</f>
        <v>INTEGRANTE 3</v>
      </c>
      <c r="B46" s="44" t="str">
        <f>+B6</f>
        <v>MACDANIEL LTDA</v>
      </c>
      <c r="C46" s="45" t="s">
        <v>67</v>
      </c>
      <c r="D46" s="69">
        <f>+G6</f>
        <v>0.4</v>
      </c>
    </row>
    <row r="47" spans="1:9" x14ac:dyDescent="0.25">
      <c r="A47" s="46" t="s">
        <v>57</v>
      </c>
      <c r="B47" s="573">
        <f>+CONSOLIDADO!P26</f>
        <v>4458605000</v>
      </c>
      <c r="C47" s="573"/>
      <c r="E47" s="45" t="s">
        <v>64</v>
      </c>
      <c r="H47" s="70">
        <f>+B47/B48</f>
        <v>6.9459170622352602</v>
      </c>
      <c r="I47" s="45" t="str">
        <f>IF(H47&gt;=1.2,"HABILITA","NO HABILITA")</f>
        <v>HABILITA</v>
      </c>
    </row>
    <row r="48" spans="1:9" x14ac:dyDescent="0.25">
      <c r="A48" s="46" t="s">
        <v>58</v>
      </c>
      <c r="B48" s="573">
        <f>+CONSOLIDADO!Q26</f>
        <v>641903000</v>
      </c>
      <c r="C48" s="573"/>
      <c r="E48" s="45" t="s">
        <v>63</v>
      </c>
      <c r="H48" s="68">
        <f>+B49/B50</f>
        <v>0.5941219551366419</v>
      </c>
      <c r="I48" s="45" t="str">
        <f>IF(H48&lt;=70%,"HABILITA","NO HABILITA")</f>
        <v>HABILITA</v>
      </c>
    </row>
    <row r="49" spans="1:9" x14ac:dyDescent="0.25">
      <c r="A49" s="46" t="s">
        <v>59</v>
      </c>
      <c r="B49" s="573">
        <f>+CONSOLIDADO!R26</f>
        <v>3566160000</v>
      </c>
      <c r="C49" s="573"/>
      <c r="E49" s="45" t="s">
        <v>62</v>
      </c>
      <c r="G49" s="71">
        <f>+B51*0.3</f>
        <v>1692900000</v>
      </c>
      <c r="H49" s="71">
        <f>(+B47-B48)</f>
        <v>3816702000</v>
      </c>
      <c r="I49" s="45" t="str">
        <f>IF(H49&gt;=G49,"HABILITA","NO HABILITA")</f>
        <v>HABILITA</v>
      </c>
    </row>
    <row r="50" spans="1:9" x14ac:dyDescent="0.25">
      <c r="A50" s="46" t="s">
        <v>60</v>
      </c>
      <c r="B50" s="573">
        <f>+CONSOLIDADO!S26</f>
        <v>6002404000</v>
      </c>
      <c r="C50" s="573"/>
      <c r="G50" s="69"/>
    </row>
    <row r="51" spans="1:9" x14ac:dyDescent="0.25">
      <c r="A51" s="72" t="s">
        <v>61</v>
      </c>
      <c r="B51" s="579">
        <f>+B43</f>
        <v>5643000000</v>
      </c>
      <c r="C51" s="579"/>
      <c r="G51" s="66"/>
      <c r="H51" s="46" t="s">
        <v>65</v>
      </c>
      <c r="I51" s="45">
        <f>COUNTIF(I47:I49,"HABILITA")</f>
        <v>3</v>
      </c>
    </row>
    <row r="52" spans="1:9" x14ac:dyDescent="0.25">
      <c r="F52" s="66"/>
      <c r="G52" s="67"/>
      <c r="H52" s="46" t="s">
        <v>66</v>
      </c>
      <c r="I52" s="45">
        <f>COUNTIF(I47:I49,"NO HABILITA")</f>
        <v>0</v>
      </c>
    </row>
  </sheetData>
  <sheetProtection password="CCE3" sheet="1" objects="1" scenarios="1"/>
  <mergeCells count="33">
    <mergeCell ref="B50:C50"/>
    <mergeCell ref="B51:C51"/>
    <mergeCell ref="B41:C41"/>
    <mergeCell ref="B42:C42"/>
    <mergeCell ref="B43:C43"/>
    <mergeCell ref="B47:C47"/>
    <mergeCell ref="B48:C48"/>
    <mergeCell ref="B49:C49"/>
    <mergeCell ref="B40:C40"/>
    <mergeCell ref="B24:C24"/>
    <mergeCell ref="B25:C25"/>
    <mergeCell ref="B26:C26"/>
    <mergeCell ref="B27:C27"/>
    <mergeCell ref="B31:C31"/>
    <mergeCell ref="B32:C32"/>
    <mergeCell ref="B33:C33"/>
    <mergeCell ref="B39:C39"/>
    <mergeCell ref="B34:C34"/>
    <mergeCell ref="B35:C35"/>
    <mergeCell ref="E12:J12"/>
    <mergeCell ref="E14:J14"/>
    <mergeCell ref="E15:J15"/>
    <mergeCell ref="E22:H22"/>
    <mergeCell ref="H2:I2"/>
    <mergeCell ref="E8:J8"/>
    <mergeCell ref="E9:J9"/>
    <mergeCell ref="E10:J10"/>
    <mergeCell ref="E11:J11"/>
    <mergeCell ref="B23:C23"/>
    <mergeCell ref="E16:J16"/>
    <mergeCell ref="E17:J17"/>
    <mergeCell ref="E18:J18"/>
    <mergeCell ref="E13:J13"/>
  </mergeCells>
  <pageMargins left="0.7" right="0.7" top="0.75" bottom="0.75" header="0.3" footer="0.3"/>
  <pageSetup scale="38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3</vt:i4>
      </vt:variant>
    </vt:vector>
  </HeadingPairs>
  <TitlesOfParts>
    <vt:vector size="28" baseType="lpstr">
      <vt:lpstr>PPTO OFICIAL</vt:lpstr>
      <vt:lpstr>DATOS BASE DEL GRUPO</vt:lpstr>
      <vt:lpstr>CONSOLIDADO</vt:lpstr>
      <vt:lpstr>HABILITANTES JURIDICOS</vt:lpstr>
      <vt:lpstr>HABILI FINANCIEROS CON_DES CESA</vt:lpstr>
      <vt:lpstr>HABILI FINANCIEROS CON_OBRA EN </vt:lpstr>
      <vt:lpstr>HABILI FINANCIEROS CON_PIC SIER</vt:lpstr>
      <vt:lpstr>HABILI FINANCIEROS CON_LV PERIJ</vt:lpstr>
      <vt:lpstr>HABILI FINANCIEROS UT PERIJA 20</vt:lpstr>
      <vt:lpstr>HABILI FINANCIEROS UT OBRAS REN</vt:lpstr>
      <vt:lpstr>HABILI FINANCIEROS CON_INFRAEST</vt:lpstr>
      <vt:lpstr>HABILI FINANCIEROS UT FORT COMU</vt:lpstr>
      <vt:lpstr>HABILI FINANCIEROS UT RENACER</vt:lpstr>
      <vt:lpstr>HABILI FINANCIEROS WILLIAM DAZA</vt:lpstr>
      <vt:lpstr>HABILI FINANCIEROS FED NAL CAFE</vt:lpstr>
      <vt:lpstr>HABILI FINANCIEROS UT PROSPERID</vt:lpstr>
      <vt:lpstr>HABILI FINANCIEROS OFERENTE 13</vt:lpstr>
      <vt:lpstr>HABILI FINANCIEROS OFERENTE 14</vt:lpstr>
      <vt:lpstr>HABILI FINANCIEROS OFERENTE 15</vt:lpstr>
      <vt:lpstr>HABILI FINANCIEROS OFERENTE 16</vt:lpstr>
      <vt:lpstr>RESUMEN HABILITANTES FINANCIERO</vt:lpstr>
      <vt:lpstr>HABILITANTES TECNICOS DEL GRUPO</vt:lpstr>
      <vt:lpstr>CALIFICACION PRECIO</vt:lpstr>
      <vt:lpstr>CALIF GRUPO EXP E IND NAL </vt:lpstr>
      <vt:lpstr>RESUMEN CALIFICACIÓN GRUPO</vt:lpstr>
      <vt:lpstr>'HABILI FINANCIEROS CON_DES CESA'!Área_de_impresión</vt:lpstr>
      <vt:lpstr>'PPTO OFICIAL'!Área_de_impresión</vt:lpstr>
      <vt:lpstr>'HABILITANTES JURIDICOS'!Títulos_a_imprimir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Administrador</cp:lastModifiedBy>
  <cp:lastPrinted>2017-12-14T20:05:16Z</cp:lastPrinted>
  <dcterms:created xsi:type="dcterms:W3CDTF">2017-11-03T16:26:49Z</dcterms:created>
  <dcterms:modified xsi:type="dcterms:W3CDTF">2018-01-15T19:07:25Z</dcterms:modified>
</cp:coreProperties>
</file>