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tables/table3.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comments13.xml" ContentType="application/vnd.openxmlformats-officedocument.spreadsheetml.comments+xml"/>
  <Override PartName="/xl/drawings/drawing21.xml" ContentType="application/vnd.openxmlformats-officedocument.drawing+xml"/>
  <Override PartName="/xl/comments14.xml" ContentType="application/vnd.openxmlformats-officedocument.spreadsheetml.comments+xml"/>
  <Override PartName="/xl/drawings/drawing22.xml" ContentType="application/vnd.openxmlformats-officedocument.drawing+xml"/>
  <Override PartName="/xl/comments15.xml" ContentType="application/vnd.openxmlformats-officedocument.spreadsheetml.comments+xml"/>
  <Override PartName="/xl/drawings/drawing23.xml" ContentType="application/vnd.openxmlformats-officedocument.drawing+xml"/>
  <Override PartName="/xl/comments16.xml" ContentType="application/vnd.openxmlformats-officedocument.spreadsheetml.comments+xml"/>
  <Override PartName="/xl/drawings/drawing24.xml" ContentType="application/vnd.openxmlformats-officedocument.drawing+xml"/>
  <Override PartName="/xl/comments17.xml" ContentType="application/vnd.openxmlformats-officedocument.spreadsheetml.comments+xml"/>
  <Override PartName="/xl/drawings/drawing25.xml" ContentType="application/vnd.openxmlformats-officedocument.drawing+xml"/>
  <Override PartName="/xl/comments18.xml" ContentType="application/vnd.openxmlformats-officedocument.spreadsheetml.comments+xml"/>
  <Override PartName="/xl/drawings/drawing26.xml" ContentType="application/vnd.openxmlformats-officedocument.drawing+xml"/>
  <Override PartName="/xl/comments19.xml" ContentType="application/vnd.openxmlformats-officedocument.spreadsheetml.comments+xml"/>
  <Override PartName="/xl/drawings/drawing27.xml" ContentType="application/vnd.openxmlformats-officedocument.drawing+xml"/>
  <Override PartName="/xl/comments20.xml" ContentType="application/vnd.openxmlformats-officedocument.spreadsheetml.comments+xml"/>
  <Override PartName="/xl/drawings/drawing28.xml" ContentType="application/vnd.openxmlformats-officedocument.drawing+xml"/>
  <Override PartName="/xl/comments21.xml" ContentType="application/vnd.openxmlformats-officedocument.spreadsheetml.comments+xml"/>
  <Override PartName="/xl/drawings/drawing29.xml" ContentType="application/vnd.openxmlformats-officedocument.drawing+xml"/>
  <Override PartName="/xl/comments22.xml" ContentType="application/vnd.openxmlformats-officedocument.spreadsheetml.comments+xml"/>
  <Override PartName="/xl/drawings/drawing30.xml" ContentType="application/vnd.openxmlformats-officedocument.drawing+xml"/>
  <Override PartName="/xl/comments23.xml" ContentType="application/vnd.openxmlformats-officedocument.spreadsheetml.comments+xml"/>
  <Override PartName="/xl/drawings/drawing31.xml" ContentType="application/vnd.openxmlformats-officedocument.drawing+xml"/>
  <Override PartName="/xl/comments24.xml" ContentType="application/vnd.openxmlformats-officedocument.spreadsheetml.comments+xml"/>
  <Override PartName="/xl/drawings/drawing32.xml" ContentType="application/vnd.openxmlformats-officedocument.drawing+xml"/>
  <Override PartName="/xl/comments25.xml" ContentType="application/vnd.openxmlformats-officedocument.spreadsheetml.comments+xml"/>
  <Override PartName="/xl/drawings/drawing33.xml" ContentType="application/vnd.openxmlformats-officedocument.drawing+xml"/>
  <Override PartName="/xl/comments26.xml" ContentType="application/vnd.openxmlformats-officedocument.spreadsheetml.comments+xml"/>
  <Override PartName="/xl/drawings/drawing34.xml" ContentType="application/vnd.openxmlformats-officedocument.drawing+xml"/>
  <Override PartName="/xl/comments27.xml" ContentType="application/vnd.openxmlformats-officedocument.spreadsheetml.comments+xml"/>
  <Override PartName="/xl/drawings/drawing35.xml" ContentType="application/vnd.openxmlformats-officedocument.drawing+xml"/>
  <Override PartName="/xl/comments28.xml" ContentType="application/vnd.openxmlformats-officedocument.spreadsheetml.comments+xml"/>
  <Override PartName="/xl/drawings/drawing36.xml" ContentType="application/vnd.openxmlformats-officedocument.drawing+xml"/>
  <Override PartName="/xl/comments29.xml" ContentType="application/vnd.openxmlformats-officedocument.spreadsheetml.comments+xml"/>
  <Override PartName="/xl/drawings/drawing37.xml" ContentType="application/vnd.openxmlformats-officedocument.drawing+xml"/>
  <Override PartName="/xl/comments30.xml" ContentType="application/vnd.openxmlformats-officedocument.spreadsheetml.comments+xml"/>
  <Override PartName="/xl/drawings/drawing38.xml" ContentType="application/vnd.openxmlformats-officedocument.drawing+xml"/>
  <Override PartName="/xl/comments31.xml" ContentType="application/vnd.openxmlformats-officedocument.spreadsheetml.comments+xml"/>
  <Override PartName="/xl/drawings/drawing39.xml" ContentType="application/vnd.openxmlformats-officedocument.drawing+xml"/>
  <Override PartName="/xl/comments32.xml" ContentType="application/vnd.openxmlformats-officedocument.spreadsheetml.comments+xml"/>
  <Override PartName="/xl/drawings/drawing40.xml" ContentType="application/vnd.openxmlformats-officedocument.drawing+xml"/>
  <Override PartName="/xl/comments33.xml" ContentType="application/vnd.openxmlformats-officedocument.spreadsheetml.comments+xml"/>
  <Override PartName="/xl/drawings/drawing41.xml" ContentType="application/vnd.openxmlformats-officedocument.drawing+xml"/>
  <Override PartName="/xl/comments34.xml" ContentType="application/vnd.openxmlformats-officedocument.spreadsheetml.comments+xml"/>
  <Override PartName="/xl/drawings/drawing42.xml" ContentType="application/vnd.openxmlformats-officedocument.drawing+xml"/>
  <Override PartName="/xl/comments35.xml" ContentType="application/vnd.openxmlformats-officedocument.spreadsheetml.comments+xml"/>
  <Override PartName="/xl/drawings/drawing43.xml" ContentType="application/vnd.openxmlformats-officedocument.drawing+xml"/>
  <Override PartName="/xl/comments36.xml" ContentType="application/vnd.openxmlformats-officedocument.spreadsheetml.comments+xml"/>
  <Override PartName="/xl/drawings/drawing44.xml" ContentType="application/vnd.openxmlformats-officedocument.drawing+xml"/>
  <Override PartName="/xl/comments37.xml" ContentType="application/vnd.openxmlformats-officedocument.spreadsheetml.comments+xml"/>
  <Override PartName="/xl/drawings/drawing45.xml" ContentType="application/vnd.openxmlformats-officedocument.drawing+xml"/>
  <Override PartName="/xl/comments38.xml" ContentType="application/vnd.openxmlformats-officedocument.spreadsheetml.comments+xml"/>
  <Override PartName="/xl/drawings/drawing46.xml" ContentType="application/vnd.openxmlformats-officedocument.drawing+xml"/>
  <Override PartName="/xl/comments39.xml" ContentType="application/vnd.openxmlformats-officedocument.spreadsheetml.comments+xml"/>
  <Override PartName="/xl/drawings/drawing47.xml" ContentType="application/vnd.openxmlformats-officedocument.drawing+xml"/>
  <Override PartName="/xl/comments40.xml" ContentType="application/vnd.openxmlformats-officedocument.spreadsheetml.comments+xml"/>
  <Override PartName="/xl/drawings/drawing48.xml" ContentType="application/vnd.openxmlformats-officedocument.drawing+xml"/>
  <Override PartName="/xl/comments41.xml" ContentType="application/vnd.openxmlformats-officedocument.spreadsheetml.comments+xml"/>
  <Override PartName="/xl/drawings/drawing49.xml" ContentType="application/vnd.openxmlformats-officedocument.drawing+xml"/>
  <Override PartName="/xl/comments42.xml" ContentType="application/vnd.openxmlformats-officedocument.spreadsheetml.comments+xml"/>
  <Override PartName="/xl/drawings/drawing50.xml" ContentType="application/vnd.openxmlformats-officedocument.drawing+xml"/>
  <Override PartName="/xl/comments43.xml" ContentType="application/vnd.openxmlformats-officedocument.spreadsheetml.comments+xml"/>
  <Override PartName="/xl/drawings/drawing51.xml" ContentType="application/vnd.openxmlformats-officedocument.drawing+xml"/>
  <Override PartName="/xl/comments44.xml" ContentType="application/vnd.openxmlformats-officedocument.spreadsheetml.comments+xml"/>
  <Override PartName="/xl/drawings/drawing52.xml" ContentType="application/vnd.openxmlformats-officedocument.drawing+xml"/>
  <Override PartName="/xl/comments45.xml" ContentType="application/vnd.openxmlformats-officedocument.spreadsheetml.comments+xml"/>
  <Override PartName="/xl/drawings/drawing53.xml" ContentType="application/vnd.openxmlformats-officedocument.drawing+xml"/>
  <Override PartName="/xl/comments46.xml" ContentType="application/vnd.openxmlformats-officedocument.spreadsheetml.comments+xml"/>
  <Override PartName="/xl/drawings/drawing54.xml" ContentType="application/vnd.openxmlformats-officedocument.drawing+xml"/>
  <Override PartName="/xl/comments47.xml" ContentType="application/vnd.openxmlformats-officedocument.spreadsheetml.comments+xml"/>
  <Override PartName="/xl/drawings/drawing55.xml" ContentType="application/vnd.openxmlformats-officedocument.drawing+xml"/>
  <Override PartName="/xl/comments48.xml" ContentType="application/vnd.openxmlformats-officedocument.spreadsheetml.comments+xml"/>
  <Override PartName="/xl/drawings/drawing56.xml" ContentType="application/vnd.openxmlformats-officedocument.drawing+xml"/>
  <Override PartName="/xl/comments49.xml" ContentType="application/vnd.openxmlformats-officedocument.spreadsheetml.comments+xml"/>
  <Override PartName="/xl/drawings/drawing57.xml" ContentType="application/vnd.openxmlformats-officedocument.drawing+xml"/>
  <Override PartName="/xl/comments50.xml" ContentType="application/vnd.openxmlformats-officedocument.spreadsheetml.comments+xml"/>
  <Override PartName="/xl/drawings/drawing58.xml" ContentType="application/vnd.openxmlformats-officedocument.drawing+xml"/>
  <Override PartName="/xl/comments51.xml" ContentType="application/vnd.openxmlformats-officedocument.spreadsheetml.comments+xml"/>
  <Override PartName="/xl/drawings/drawing59.xml" ContentType="application/vnd.openxmlformats-officedocument.drawing+xml"/>
  <Override PartName="/xl/comments52.xml" ContentType="application/vnd.openxmlformats-officedocument.spreadsheetml.comments+xml"/>
  <Override PartName="/xl/drawings/drawing60.xml" ContentType="application/vnd.openxmlformats-officedocument.drawing+xml"/>
  <Override PartName="/xl/comments53.xml" ContentType="application/vnd.openxmlformats-officedocument.spreadsheetml.comments+xml"/>
  <Override PartName="/xl/drawings/drawing61.xml" ContentType="application/vnd.openxmlformats-officedocument.drawing+xml"/>
  <Override PartName="/xl/comments54.xml" ContentType="application/vnd.openxmlformats-officedocument.spreadsheetml.comments+xml"/>
  <Override PartName="/xl/drawings/drawing62.xml" ContentType="application/vnd.openxmlformats-officedocument.drawing+xml"/>
  <Override PartName="/xl/comments55.xml" ContentType="application/vnd.openxmlformats-officedocument.spreadsheetml.comments+xml"/>
  <Override PartName="/xl/drawings/drawing63.xml" ContentType="application/vnd.openxmlformats-officedocument.drawing+xml"/>
  <Override PartName="/xl/comments56.xml" ContentType="application/vnd.openxmlformats-officedocument.spreadsheetml.comments+xml"/>
  <Override PartName="/xl/drawings/drawing64.xml" ContentType="application/vnd.openxmlformats-officedocument.drawing+xml"/>
  <Override PartName="/xl/comments57.xml" ContentType="application/vnd.openxmlformats-officedocument.spreadsheetml.comments+xml"/>
  <Override PartName="/xl/drawings/drawing65.xml" ContentType="application/vnd.openxmlformats-officedocument.drawing+xml"/>
  <Override PartName="/xl/comments58.xml" ContentType="application/vnd.openxmlformats-officedocument.spreadsheetml.comments+xml"/>
  <Override PartName="/xl/drawings/drawing66.xml" ContentType="application/vnd.openxmlformats-officedocument.drawing+xml"/>
  <Override PartName="/xl/comments59.xml" ContentType="application/vnd.openxmlformats-officedocument.spreadsheetml.comments+xml"/>
  <Override PartName="/xl/drawings/drawing67.xml" ContentType="application/vnd.openxmlformats-officedocument.drawing+xml"/>
  <Override PartName="/xl/comments60.xml" ContentType="application/vnd.openxmlformats-officedocument.spreadsheetml.comments+xml"/>
  <Override PartName="/xl/tables/table5.xml" ContentType="application/vnd.openxmlformats-officedocument.spreadsheetml.table+xml"/>
  <Override PartName="/xl/drawings/drawing68.xml" ContentType="application/vnd.openxmlformats-officedocument.drawing+xml"/>
  <Override PartName="/xl/comments61.xml" ContentType="application/vnd.openxmlformats-officedocument.spreadsheetml.comments+xml"/>
  <Override PartName="/xl/tables/table6.xml" ContentType="application/vnd.openxmlformats-officedocument.spreadsheetml.table+xml"/>
  <Override PartName="/xl/comments6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https://fiducoldexsa-my.sharepoint.com/personal/jardila_fiducoldex_com_co1/Documents/Escritorio/"/>
    </mc:Choice>
  </mc:AlternateContent>
  <xr:revisionPtr revIDLastSave="0" documentId="8_{6EEC4672-67EA-419E-A26D-FC91D60CBEF4}" xr6:coauthVersionLast="47" xr6:coauthVersionMax="47" xr10:uidLastSave="{00000000-0000-0000-0000-000000000000}"/>
  <bookViews>
    <workbookView xWindow="-110" yWindow="-110" windowWidth="19420" windowHeight="11500" tabRatio="732" firstSheet="23" activeTab="23" xr2:uid="{E5024B8E-3776-4BF1-A58F-E8B6D3BB8FB0}"/>
  </bookViews>
  <sheets>
    <sheet name="HERRAMIENTA CIVIL" sheetId="264" state="hidden" r:id="rId1"/>
    <sheet name="EQUIPO Y HERRAMIENTA" sheetId="215" state="hidden" r:id="rId2"/>
    <sheet name="TRANSPORTE" sheetId="212" state="hidden" r:id="rId3"/>
    <sheet name="Hoja1" sheetId="236" state="hidden" r:id="rId4"/>
    <sheet name="FP" sheetId="216" state="hidden" r:id="rId5"/>
    <sheet name="TASAS POLIZAS" sheetId="235" state="hidden" r:id="rId6"/>
    <sheet name="RENDIMIENTOS" sheetId="234" state="hidden" r:id="rId7"/>
    <sheet name="TIEMPO EJECUCIÓN" sheetId="233" state="hidden" r:id="rId8"/>
    <sheet name="MANO DE OBRA" sheetId="214" state="hidden" r:id="rId9"/>
    <sheet name="ENSAYOS DE LABORATORIO" sheetId="411" state="hidden" r:id="rId10"/>
    <sheet name="AIU Proyecto" sheetId="374" state="hidden" r:id="rId11"/>
    <sheet name="INT. REDES" sheetId="245" state="hidden" r:id="rId12"/>
    <sheet name="Presupuesto Interventoría" sheetId="405" state="hidden" r:id="rId13"/>
    <sheet name="Factor Multiplicador" sheetId="380" state="hidden" r:id="rId14"/>
    <sheet name="USUARIOS" sheetId="238" state="hidden" r:id="rId15"/>
    <sheet name="PMAA" sheetId="410" state="hidden" r:id="rId16"/>
    <sheet name="APU_PGS (2)" sheetId="409" state="hidden" r:id="rId17"/>
    <sheet name="FIDUCIA" sheetId="404" state="hidden" r:id="rId18"/>
    <sheet name="GERENCIA" sheetId="403" state="hidden" r:id="rId19"/>
    <sheet name="equipos" sheetId="398" state="hidden" r:id="rId20"/>
    <sheet name="CRONOGRAMA Y FLUJO (OXI)" sheetId="397" state="hidden" r:id="rId21"/>
    <sheet name="CRONOGRAMA Y FLUJO ." sheetId="407" state="hidden" r:id="rId22"/>
    <sheet name="CADENA DE VALOR" sheetId="408" state="hidden" r:id="rId23"/>
    <sheet name="PRES GENERAL MR(OXI)" sheetId="402" r:id="rId24"/>
    <sheet name="PRES. SISFV 2010 W B200" sheetId="391" r:id="rId25"/>
    <sheet name="PRES MR 5 KW" sheetId="310" r:id="rId26"/>
    <sheet name="PRES MR 10 KW" sheetId="370" r:id="rId27"/>
    <sheet name="PRES MR 15 KW" sheetId="298" r:id="rId28"/>
    <sheet name="PGS" sheetId="413" r:id="rId29"/>
    <sheet name="PMA" sheetId="414" r:id="rId30"/>
    <sheet name="1" sheetId="197" state="hidden" r:id="rId31"/>
    <sheet name="211" sheetId="121" state="hidden" r:id="rId32"/>
    <sheet name="212" sheetId="272" state="hidden" r:id="rId33"/>
    <sheet name="213" sheetId="273" state="hidden" r:id="rId34"/>
    <sheet name="214" sheetId="274" state="hidden" r:id="rId35"/>
    <sheet name="215 (2)" sheetId="392" state="hidden" r:id="rId36"/>
    <sheet name="216" sheetId="276" state="hidden" r:id="rId37"/>
    <sheet name="217" sheetId="261" state="hidden" r:id="rId38"/>
    <sheet name="218" sheetId="400" state="hidden" r:id="rId39"/>
    <sheet name="221" sheetId="378" state="hidden" r:id="rId40"/>
    <sheet name="222" sheetId="278" state="hidden" r:id="rId41"/>
    <sheet name="231" sheetId="279" state="hidden" r:id="rId42"/>
    <sheet name="311 411 511" sheetId="338" state="hidden" r:id="rId43"/>
    <sheet name="312" sheetId="352" state="hidden" r:id="rId44"/>
    <sheet name="313" sheetId="353" state="hidden" r:id="rId45"/>
    <sheet name="314 414 514" sheetId="342" state="hidden" r:id="rId46"/>
    <sheet name="315" sheetId="354" state="hidden" r:id="rId47"/>
    <sheet name="316" sheetId="355" state="hidden" r:id="rId48"/>
    <sheet name="317 417 517" sheetId="345" state="hidden" r:id="rId49"/>
    <sheet name="318" sheetId="356" state="hidden" r:id="rId50"/>
    <sheet name="319" sheetId="347" state="hidden" r:id="rId51"/>
    <sheet name="3110" sheetId="358" state="hidden" r:id="rId52"/>
    <sheet name="3111" sheetId="357" state="hidden" r:id="rId53"/>
    <sheet name="3112 4112 5112" sheetId="258" state="hidden" r:id="rId54"/>
    <sheet name="3113 4113" sheetId="359" state="hidden" r:id="rId55"/>
    <sheet name="321 421 521" sheetId="381" state="hidden" r:id="rId56"/>
    <sheet name="322 422 522" sheetId="382" state="hidden" r:id="rId57"/>
    <sheet name="323 423 523" sheetId="263" state="hidden" r:id="rId58"/>
    <sheet name="324 424 524" sheetId="268" state="hidden" r:id="rId59"/>
    <sheet name="325 425 525" sheetId="331" state="hidden" r:id="rId60"/>
    <sheet name="326 426 526" sheetId="332" state="hidden" r:id="rId61"/>
    <sheet name="327 427 527" sheetId="333" state="hidden" r:id="rId62"/>
    <sheet name="328 428 528" sheetId="334" state="hidden" r:id="rId63"/>
    <sheet name="329 429 529" sheetId="335" state="hidden" r:id="rId64"/>
    <sheet name="3210 4210 5210" sheetId="336" state="hidden" r:id="rId65"/>
    <sheet name="331 431 531" sheetId="262" state="hidden" r:id="rId66"/>
    <sheet name="341 441 541" sheetId="260" state="hidden" r:id="rId67"/>
    <sheet name="352 452 552" sheetId="265" state="hidden" r:id="rId68"/>
    <sheet name="353 453 553" sheetId="266" state="hidden" r:id="rId69"/>
    <sheet name="354 454 554" sheetId="267" state="hidden" r:id="rId70"/>
    <sheet name="356 456 556" sheetId="269" state="hidden" r:id="rId71"/>
    <sheet name="412" sheetId="360" state="hidden" r:id="rId72"/>
    <sheet name="413" sheetId="388" state="hidden" r:id="rId73"/>
    <sheet name="415" sheetId="389" state="hidden" r:id="rId74"/>
    <sheet name="416" sheetId="384" state="hidden" r:id="rId75"/>
    <sheet name="418" sheetId="385" state="hidden" r:id="rId76"/>
    <sheet name="419" sheetId="399" state="hidden" r:id="rId77"/>
    <sheet name="4110" sheetId="386" state="hidden" r:id="rId78"/>
    <sheet name="4111" sheetId="387" state="hidden" r:id="rId79"/>
    <sheet name="512" sheetId="383" state="hidden" r:id="rId80"/>
    <sheet name="513" sheetId="362" state="hidden" r:id="rId81"/>
    <sheet name="515" sheetId="361" state="hidden" r:id="rId82"/>
    <sheet name="516" sheetId="363" state="hidden" r:id="rId83"/>
    <sheet name="518" sheetId="364" state="hidden" r:id="rId84"/>
    <sheet name="519" sheetId="365" state="hidden" r:id="rId85"/>
    <sheet name="5110" sheetId="366" state="hidden" r:id="rId86"/>
    <sheet name="5111" sheetId="367" state="hidden" r:id="rId87"/>
    <sheet name="5113" sheetId="368" state="hidden" r:id="rId88"/>
    <sheet name="61" sheetId="270" state="hidden" r:id="rId89"/>
    <sheet name="MATERIALES" sheetId="213" state="hidden" r:id="rId90"/>
    <sheet name="61000" sheetId="329" state="hidden" r:id="rId91"/>
    <sheet name="INTERVENTORÍA" sheetId="219" state="hidden" r:id="rId92"/>
    <sheet name="SUPERVISIÓN" sheetId="225" state="hidden" r:id="rId93"/>
    <sheet name="CAPACITACIÓN" sheetId="224" state="hidden" r:id="rId94"/>
    <sheet name="IMPORTACIÓN" sheetId="220" state="hidden" r:id="rId95"/>
  </sheets>
  <externalReferences>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s>
  <definedNames>
    <definedName name="\0" localSheetId="10">#REF!</definedName>
    <definedName name="\0" localSheetId="20">#REF!</definedName>
    <definedName name="\0" localSheetId="21">#REF!</definedName>
    <definedName name="\0" localSheetId="17">#REF!</definedName>
    <definedName name="\0" localSheetId="18">#REF!</definedName>
    <definedName name="\0" localSheetId="12">#REF!</definedName>
    <definedName name="\0">#REF!</definedName>
    <definedName name="\a">#REF!</definedName>
    <definedName name="\b">#REF!</definedName>
    <definedName name="\eliminar" localSheetId="28">[1]RESUM96!#REF!</definedName>
    <definedName name="\eliminar" localSheetId="29">[1]RESUM96!#REF!</definedName>
    <definedName name="\eliminar">[2]RESUM96!#REF!</definedName>
    <definedName name="\eliminar1" localSheetId="28">[1]RESUM96!#REF!</definedName>
    <definedName name="\eliminar1" localSheetId="29">[1]RESUM96!#REF!</definedName>
    <definedName name="\eliminar1">[2]RESUM96!#REF!</definedName>
    <definedName name="\L">#REF!</definedName>
    <definedName name="\P">#REF!</definedName>
    <definedName name="\q">#REF!</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8">#REF!</definedName>
    <definedName name="_____________EXC9">#REF!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EXC6">#REF!</definedName>
    <definedName name="____________EXC7">#REF!</definedName>
    <definedName name="___________tab1">#REF!</definedName>
    <definedName name="___________tab2">#REF!</definedName>
    <definedName name="___________tab3">#REF!</definedName>
    <definedName name="___________TAB4">#REF!</definedName>
    <definedName name="___________TC212">'[3]Presupuesto del Proyecto'!#REF!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tab1">#REF!</definedName>
    <definedName name="__________tab2">#REF!</definedName>
    <definedName name="__________tab3">#REF!</definedName>
    <definedName name="__________TAB4">#REF!</definedName>
    <definedName name="__________TC212">'[3]Presupuesto del Proyecto'!#REF!</definedName>
    <definedName name="__________V1">#REF!</definedName>
    <definedName name="_________PJ50">#REF!</definedName>
    <definedName name="_________PMT5671">[4]MEMORIAS!#REF!</definedName>
    <definedName name="_________PMT5805">[4]MEMORIAS!#REF!</definedName>
    <definedName name="_________PMT5806">[4]MEMORIAS!#REF!</definedName>
    <definedName name="_________PMT5815">[4]MEMORIAS!#REF!</definedName>
    <definedName name="_________PMT5820">[4]MEMORIAS!#REF!</definedName>
    <definedName name="_________TC212">'[3]Presupuesto del Proyecto'!#REF!</definedName>
    <definedName name="_________V1">#REF!</definedName>
    <definedName name="________aiu2" localSheetId="28">[5]AIU!$J$105</definedName>
    <definedName name="________aiu2" localSheetId="29">[5]AIU!$J$105</definedName>
    <definedName name="________aiu2">[6]AIU!$J$105</definedName>
    <definedName name="________EST10">#REF!</definedName>
    <definedName name="________EST11">#REF!</definedName>
    <definedName name="________EST12">#REF!</definedName>
    <definedName name="________EST13">#REF!</definedName>
    <definedName name="________EST14">#REF!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8">#REF!</definedName>
    <definedName name="________EXC9">#REF!</definedName>
    <definedName name="________MA2" localSheetId="39">#REF!</definedName>
    <definedName name="________MA2" localSheetId="20">#REF!</definedName>
    <definedName name="________MA2" localSheetId="21">#REF!</definedName>
    <definedName name="________MA2">#REF!</definedName>
    <definedName name="________NNN206" localSheetId="28">[7]MAT!#REF!</definedName>
    <definedName name="________NNN206" localSheetId="29">[7]MAT!#REF!</definedName>
    <definedName name="________NNN206">[8]MAT!#REF!</definedName>
    <definedName name="________NNN208" localSheetId="28">[7]MAT!#REF!</definedName>
    <definedName name="________NNN208" localSheetId="29">[7]MAT!#REF!</definedName>
    <definedName name="________NNN208">[8]MAT!#REF!</definedName>
    <definedName name="________PJ50">#REF!</definedName>
    <definedName name="________TC212">'[3]Presupuesto del Proyecto'!#REF!</definedName>
    <definedName name="________V1">#REF!</definedName>
    <definedName name="_______AFC1">[9]INV!$A$25:$D$28</definedName>
    <definedName name="_______AFC3">[9]INV!$F$25:$I$28</definedName>
    <definedName name="_______AFC5">[9]INV!$K$25:$N$28</definedName>
    <definedName name="_______BGC1">[9]INV!$A$5:$D$8</definedName>
    <definedName name="_______BGC3">[9]INV!$F$5:$I$8</definedName>
    <definedName name="_______BGC5">[9]INV!$K$5:$N$8</definedName>
    <definedName name="_______CAC1">[9]INV!$A$19:$D$22</definedName>
    <definedName name="_______CAC3">[9]INV!$F$19:$I$22</definedName>
    <definedName name="_______CAC5">[9]INV!$K$19:$N$22</definedName>
    <definedName name="_______cua1">'[10]ALCANTARILLADO RAS'!$A$4:$B$14</definedName>
    <definedName name="_______DMD1">#REF!</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MA2" localSheetId="9">#REF!</definedName>
    <definedName name="_______MA2">#REF!</definedName>
    <definedName name="_______NNN206" localSheetId="28">[7]MAT!#REF!</definedName>
    <definedName name="_______NNN206" localSheetId="29">[7]MAT!#REF!</definedName>
    <definedName name="_______NNN206">[8]MAT!#REF!</definedName>
    <definedName name="_______NNN208" localSheetId="28">[7]MAT!#REF!</definedName>
    <definedName name="_______NNN208" localSheetId="29">[7]MAT!#REF!</definedName>
    <definedName name="_______NNN208">[8]MAT!#REF!</definedName>
    <definedName name="_______PJ50">#REF!</definedName>
    <definedName name="_______SBC1">[9]INV!$A$12:$D$15</definedName>
    <definedName name="_______SBC3">[9]INV!$F$12:$I$15</definedName>
    <definedName name="_______SBC5">[9]INV!$K$12:$N$15</definedName>
    <definedName name="_______TC212">'[3]Presupuesto del Proyecto'!#REF!</definedName>
    <definedName name="_______V1">#REF!</definedName>
    <definedName name="_______VPD1">[11]TARIFAS!$C$582</definedName>
    <definedName name="_______VPI1">[11]TARIFAS!$C$580</definedName>
    <definedName name="_______VRA1">[11]TARIFAS!$C$579</definedName>
    <definedName name="______AFC1">[9]INV!$A$25:$D$28</definedName>
    <definedName name="______AFC3">[9]INV!$F$25:$I$28</definedName>
    <definedName name="______AFC5">[9]INV!$K$25:$N$28</definedName>
    <definedName name="______BGC1">[9]INV!$A$5:$D$8</definedName>
    <definedName name="______BGC3">[9]INV!$F$5:$I$8</definedName>
    <definedName name="______BGC5">[9]INV!$K$5:$N$8</definedName>
    <definedName name="______CAC1">[9]INV!$A$19:$D$22</definedName>
    <definedName name="______CAC3">[9]INV!$F$19:$I$22</definedName>
    <definedName name="______CAC5">[9]INV!$K$19:$N$22</definedName>
    <definedName name="______cua1">'[10]ALCANTARILLADO RAS'!$A$4:$B$14</definedName>
    <definedName name="______DMD1">#REF!</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INF1">#REF!</definedName>
    <definedName name="______MA2" localSheetId="9">#REF!</definedName>
    <definedName name="______MA2">#REF!</definedName>
    <definedName name="______PJ50">#REF!</definedName>
    <definedName name="______SBC1">[9]INV!$A$12:$D$15</definedName>
    <definedName name="______SBC3">[9]INV!$F$12:$I$15</definedName>
    <definedName name="______SBC5">[9]INV!$K$12:$N$15</definedName>
    <definedName name="______V1">#REF!</definedName>
    <definedName name="______VPD1">[11]TARIFAS!$C$582</definedName>
    <definedName name="______VPI1">[11]TARIFAS!$C$580</definedName>
    <definedName name="______VRA1">[11]TARIFAS!$C$579</definedName>
    <definedName name="_____AFC1">[9]INV!$A$25:$D$28</definedName>
    <definedName name="_____AFC3">[9]INV!$F$25:$I$28</definedName>
    <definedName name="_____AFC5">[9]INV!$K$25:$N$28</definedName>
    <definedName name="_____aiu2" localSheetId="28">[5]AIU!$J$105</definedName>
    <definedName name="_____aiu2" localSheetId="29">[5]AIU!$J$105</definedName>
    <definedName name="_____aiu2">[6]AIU!$J$105</definedName>
    <definedName name="_____BGC1">[9]INV!$A$5:$D$8</definedName>
    <definedName name="_____BGC3">[9]INV!$F$5:$I$8</definedName>
    <definedName name="_____BGC5">[9]INV!$K$5:$N$8</definedName>
    <definedName name="_____CAC1">[9]INV!$A$19:$D$22</definedName>
    <definedName name="_____CAC3">[9]INV!$F$19:$I$22</definedName>
    <definedName name="_____CAC5">[9]INV!$K$19:$N$22</definedName>
    <definedName name="_____cua1">'[10]ALCANTARILLADO RAS'!$A$4:$B$14</definedName>
    <definedName name="_____DMD1">#REF!</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MA2" localSheetId="9">#REF!</definedName>
    <definedName name="_____MA2">#REF!</definedName>
    <definedName name="_____NNN206">[12]MAT!#REF!</definedName>
    <definedName name="_____NNN208">[12]MAT!#REF!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J50">#REF!</definedName>
    <definedName name="_____pj51">#REF!</definedName>
    <definedName name="_____PMT5671">[4]MEMORIAS!#REF!</definedName>
    <definedName name="_____PMT5805">[4]MEMORIAS!#REF!</definedName>
    <definedName name="_____PMT5806">[4]MEMORIAS!#REF!</definedName>
    <definedName name="_____PMT5815">[4]MEMORIAS!#REF!</definedName>
    <definedName name="_____PMT5820">[4]MEMORIAS!#REF!</definedName>
    <definedName name="_____r">#REF!</definedName>
    <definedName name="_____SBC1">[9]INV!$A$12:$D$15</definedName>
    <definedName name="_____SBC3">[9]INV!$F$12:$I$15</definedName>
    <definedName name="_____SBC5">[9]INV!$K$12:$N$15</definedName>
    <definedName name="_____tab1">#REF!</definedName>
    <definedName name="_____tab2">#REF!</definedName>
    <definedName name="_____tab3">#REF!</definedName>
    <definedName name="_____TAB4">#REF!</definedName>
    <definedName name="_____TC212">'[3]Presupuesto del Proyecto'!#REF!</definedName>
    <definedName name="_____V1">#REF!</definedName>
    <definedName name="_____Vol1">[13]Item!$A:$D</definedName>
    <definedName name="_____VPD1">[11]TARIFAS!$C$582</definedName>
    <definedName name="_____VPI1">[11]TARIFAS!$C$580</definedName>
    <definedName name="_____VRA1">[11]TARIFAS!$C$579</definedName>
    <definedName name="____AFC1">[9]INV!$A$25:$D$28</definedName>
    <definedName name="____AFC3">[9]INV!$F$25:$I$28</definedName>
    <definedName name="____AFC5">[9]INV!$K$25:$N$28</definedName>
    <definedName name="____aiu2" localSheetId="28">[5]AIU!$J$105</definedName>
    <definedName name="____aiu2" localSheetId="29">[5]AIU!$J$105</definedName>
    <definedName name="____aiu2">[6]AIU!$J$105</definedName>
    <definedName name="____BGC1">[9]INV!$A$5:$D$8</definedName>
    <definedName name="____BGC3">[9]INV!$F$5:$I$8</definedName>
    <definedName name="____BGC5">[9]INV!$K$5:$N$8</definedName>
    <definedName name="____CAC1">[9]INV!$A$19:$D$22</definedName>
    <definedName name="____CAC3">[9]INV!$F$19:$I$22</definedName>
    <definedName name="____CAC5">[9]INV!$K$19:$N$22</definedName>
    <definedName name="____cua1">'[10]ALCANTARILLADO RAS'!$A$4:$B$14</definedName>
    <definedName name="____DMD1">#REF!</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MA2" localSheetId="9">#REF!</definedName>
    <definedName name="____MA2">#REF!</definedName>
    <definedName name="____NNN206">[12]MAT!#REF!</definedName>
    <definedName name="____NNN208">[12]MAT!#REF!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J50">#REF!</definedName>
    <definedName name="____pj51">#REF!</definedName>
    <definedName name="____PMT5671">[4]MEMORIAS!#REF!</definedName>
    <definedName name="____PMT5805">[4]MEMORIAS!#REF!</definedName>
    <definedName name="____PMT5806">[4]MEMORIAS!#REF!</definedName>
    <definedName name="____PMT5815">[4]MEMORIAS!#REF!</definedName>
    <definedName name="____PMT5820">[4]MEMORIAS!#REF!</definedName>
    <definedName name="____r">#REF!</definedName>
    <definedName name="____SAL1">#REF!</definedName>
    <definedName name="____SBC1">[9]INV!$A$12:$D$15</definedName>
    <definedName name="____SBC3">[9]INV!$F$12:$I$15</definedName>
    <definedName name="____SBC5">[9]INV!$K$12:$N$15</definedName>
    <definedName name="____tab1">#REF!</definedName>
    <definedName name="____tab2">#REF!</definedName>
    <definedName name="____tab3">#REF!</definedName>
    <definedName name="____TAB4">#REF!</definedName>
    <definedName name="____V1">#REF!</definedName>
    <definedName name="____Vol1">[13]Item!$A:$D</definedName>
    <definedName name="____VPD1">[11]TARIFAS!$C$582</definedName>
    <definedName name="____VPI1">[11]TARIFAS!$C$580</definedName>
    <definedName name="____VRA1">[11]TARIFAS!$C$579</definedName>
    <definedName name="___AFC1">[9]INV!$A$25:$D$28</definedName>
    <definedName name="___AFC3">[9]INV!$F$25:$I$28</definedName>
    <definedName name="___AFC5">[9]INV!$K$25:$N$28</definedName>
    <definedName name="___aiu2" localSheetId="28">[5]AIU!$J$105</definedName>
    <definedName name="___aiu2" localSheetId="29">[5]AIU!$J$105</definedName>
    <definedName name="___aiu2">[6]AIU!$J$105</definedName>
    <definedName name="___BGC1">[9]INV!$A$5:$D$8</definedName>
    <definedName name="___BGC3">[9]INV!$F$5:$I$8</definedName>
    <definedName name="___BGC5">[9]INV!$K$5:$N$8</definedName>
    <definedName name="___CAC1">[9]INV!$A$19:$D$22</definedName>
    <definedName name="___CAC3">[9]INV!$F$19:$I$22</definedName>
    <definedName name="___CAC5">[9]INV!$K$19:$N$22</definedName>
    <definedName name="___Cod1">#REF!</definedName>
    <definedName name="___cua1">'[10]ALCANTARILLADO RAS'!$A$4:$B$14</definedName>
    <definedName name="___DMD1">#REF!</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f">[14]Cálculo!$B$67</definedName>
    <definedName name="___INF1">#REF!</definedName>
    <definedName name="___MA2" localSheetId="9">#REF!</definedName>
    <definedName name="___MA2" localSheetId="17">#REF!</definedName>
    <definedName name="___MA2" localSheetId="18">#REF!</definedName>
    <definedName name="___MA2" localSheetId="12">#REF!</definedName>
    <definedName name="___MA2">#REF!</definedName>
    <definedName name="___MSC1">#REF!</definedName>
    <definedName name="___NNN206" localSheetId="28">[7]MAT!#REF!</definedName>
    <definedName name="___NNN206" localSheetId="29">[7]MAT!#REF!</definedName>
    <definedName name="___NNN206">[8]MAT!#REF!</definedName>
    <definedName name="___NNN208" localSheetId="28">[7]MAT!#REF!</definedName>
    <definedName name="___NNN208" localSheetId="29">[7]MAT!#REF!</definedName>
    <definedName name="___NNN208">[8]MAT!#REF!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J50">#REF!</definedName>
    <definedName name="___pj51">#REF!</definedName>
    <definedName name="___PMT5671">[4]MEMORIAS!#REF!</definedName>
    <definedName name="___PMT5805">[4]MEMORIAS!#REF!</definedName>
    <definedName name="___PMT5806">[4]MEMORIAS!#REF!</definedName>
    <definedName name="___PMT5815">[4]MEMORIAS!#REF!</definedName>
    <definedName name="___PMT5820">[4]MEMORIAS!#REF!</definedName>
    <definedName name="___r">#REF!</definedName>
    <definedName name="___SBC1">[9]INV!$A$12:$D$15</definedName>
    <definedName name="___SBC3">[9]INV!$F$12:$I$15</definedName>
    <definedName name="___SBC5">[9]INV!$K$12:$N$15</definedName>
    <definedName name="___tab1">#REF!</definedName>
    <definedName name="___tab2">#REF!</definedName>
    <definedName name="___tab3">#REF!</definedName>
    <definedName name="___TAB4">#REF!</definedName>
    <definedName name="___TC212">'[3]Presupuesto del Proyecto'!#REF!</definedName>
    <definedName name="___Vol1">[13]Item!$A:$D</definedName>
    <definedName name="___VPD1">[11]TARIFAS!$C$582</definedName>
    <definedName name="___VPI1">[11]TARIFAS!$C$580</definedName>
    <definedName name="___VRA1">[11]TARIFAS!$C$579</definedName>
    <definedName name="__123Graph_AMAIN" localSheetId="20" hidden="1">#REF!</definedName>
    <definedName name="__123Graph_AMAIN" localSheetId="21" hidden="1">#REF!</definedName>
    <definedName name="__123Graph_AMAIN" localSheetId="9" hidden="1">#REF!</definedName>
    <definedName name="__123Graph_AMAIN" localSheetId="13" hidden="1">'[15]ETAPA 50 SMMLV'!#REF!</definedName>
    <definedName name="__123Graph_AMAIN" localSheetId="17" hidden="1">'[15]ETAPA 50 SMMLV'!#REF!</definedName>
    <definedName name="__123Graph_AMAIN" localSheetId="18" hidden="1">'[15]ETAPA 50 SMMLV'!#REF!</definedName>
    <definedName name="__123Graph_AMAIN" localSheetId="12" hidden="1">'[15]ETAPA 50 SMMLV'!#REF!</definedName>
    <definedName name="__123Graph_AMAIN" hidden="1">#REF!</definedName>
    <definedName name="__123Graph_BMAIN" localSheetId="20" hidden="1">#REF!</definedName>
    <definedName name="__123Graph_BMAIN" localSheetId="21" hidden="1">#REF!</definedName>
    <definedName name="__123Graph_BMAIN" localSheetId="9" hidden="1">#REF!</definedName>
    <definedName name="__123Graph_BMAIN" localSheetId="13" hidden="1">'[15]ETAPA 50 SMMLV'!#REF!</definedName>
    <definedName name="__123Graph_BMAIN" localSheetId="17" hidden="1">'[15]ETAPA 50 SMMLV'!#REF!</definedName>
    <definedName name="__123Graph_BMAIN" localSheetId="18" hidden="1">'[15]ETAPA 50 SMMLV'!#REF!</definedName>
    <definedName name="__123Graph_BMAIN" localSheetId="12" hidden="1">'[15]ETAPA 50 SMMLV'!#REF!</definedName>
    <definedName name="__123Graph_BMAIN" hidden="1">#REF!</definedName>
    <definedName name="__123Graph_C" localSheetId="10" hidden="1">#REF!</definedName>
    <definedName name="__123Graph_C" localSheetId="20" hidden="1">#REF!</definedName>
    <definedName name="__123Graph_C" localSheetId="21" hidden="1">#REF!</definedName>
    <definedName name="__123Graph_C" localSheetId="17" hidden="1">#REF!</definedName>
    <definedName name="__123Graph_C" localSheetId="18" hidden="1">#REF!</definedName>
    <definedName name="__123Graph_C" localSheetId="12" hidden="1">#REF!</definedName>
    <definedName name="__123Graph_C" hidden="1">#REF!</definedName>
    <definedName name="__123Graph_E" localSheetId="10" hidden="1">#REF!</definedName>
    <definedName name="__123Graph_E" localSheetId="20" hidden="1">#REF!</definedName>
    <definedName name="__123Graph_E" localSheetId="21" hidden="1">#REF!</definedName>
    <definedName name="__123Graph_E" localSheetId="13" hidden="1">#REF!</definedName>
    <definedName name="__123Graph_E" hidden="1">#REF!</definedName>
    <definedName name="__123Graph_F" localSheetId="10" hidden="1">#REF!</definedName>
    <definedName name="__123Graph_F" localSheetId="20" hidden="1">#REF!</definedName>
    <definedName name="__123Graph_F" localSheetId="21" hidden="1">#REF!</definedName>
    <definedName name="__123Graph_F" localSheetId="13" hidden="1">#REF!</definedName>
    <definedName name="__123Graph_F" hidden="1">#REF!</definedName>
    <definedName name="__123Graph_X" localSheetId="10" hidden="1">#REF!</definedName>
    <definedName name="__123Graph_X" localSheetId="20" hidden="1">#REF!</definedName>
    <definedName name="__123Graph_X" localSheetId="21" hidden="1">#REF!</definedName>
    <definedName name="__123Graph_X" localSheetId="13" hidden="1">#REF!</definedName>
    <definedName name="__123Graph_X" hidden="1">#REF!</definedName>
    <definedName name="__123Graph_XMAIN" localSheetId="20" hidden="1">#REF!</definedName>
    <definedName name="__123Graph_XMAIN" localSheetId="21" hidden="1">#REF!</definedName>
    <definedName name="__123Graph_XMAIN" localSheetId="9" hidden="1">#REF!</definedName>
    <definedName name="__123Graph_XMAIN" localSheetId="13" hidden="1">'[15]ETAPA 50 SMMLV'!#REF!</definedName>
    <definedName name="__123Graph_XMAIN" localSheetId="17" hidden="1">'[15]ETAPA 50 SMMLV'!#REF!</definedName>
    <definedName name="__123Graph_XMAIN" localSheetId="18" hidden="1">'[15]ETAPA 50 SMMLV'!#REF!</definedName>
    <definedName name="__123Graph_XMAIN" localSheetId="12" hidden="1">'[15]ETAPA 50 SMMLV'!#REF!</definedName>
    <definedName name="__123Graph_XMAIN" hidden="1">#REF!</definedName>
    <definedName name="__1Excel_BuiltIn_Print_Area_1_1_1">#REF!</definedName>
    <definedName name="__2008_Database">'[16]2008_Database Pate In'!#REF!</definedName>
    <definedName name="__2Excel_BuiltIn_Print_Titles_1_1_1_1">#REF!</definedName>
    <definedName name="__A17000">#REF!</definedName>
    <definedName name="__A20000">#REF!</definedName>
    <definedName name="__A30000">#REF!</definedName>
    <definedName name="__abr01">[17]Dólar!#REF!</definedName>
    <definedName name="__abr06">[17]Dólar!#REF!</definedName>
    <definedName name="__abr97">[17]Dólar!#REF!</definedName>
    <definedName name="__abr98">[17]Dólar!#REF!</definedName>
    <definedName name="__abr99">[17]Dólar!#REF!</definedName>
    <definedName name="__AFC1">[9]INV!$A$25:$D$28</definedName>
    <definedName name="__AFC3">[9]INV!$F$25:$I$28</definedName>
    <definedName name="__AFC5">[9]INV!$K$25:$N$28</definedName>
    <definedName name="__Afe1">'[16]2008 Database'!$D$2:$D$42,'[16]2008 Database'!$D$43:$D$43</definedName>
    <definedName name="__ago01">[17]Dólar!#REF!</definedName>
    <definedName name="__ago06">[17]Dólar!#REF!</definedName>
    <definedName name="__ago97">[17]Dólar!#REF!</definedName>
    <definedName name="__ago98">[17]Dólar!#REF!</definedName>
    <definedName name="__ago99">[17]Dólar!#REF!</definedName>
    <definedName name="__aiu2" localSheetId="28">[5]AIU!$J$105</definedName>
    <definedName name="__aiu2" localSheetId="29">[5]AIU!$J$105</definedName>
    <definedName name="__aiu2">[6]AIU!$J$105</definedName>
    <definedName name="__ALL4">#REF!</definedName>
    <definedName name="__BGC1">[9]INV!$A$5:$D$8</definedName>
    <definedName name="__BGC3">[9]INV!$F$5:$I$8</definedName>
    <definedName name="__BGC5">[9]INV!$K$5:$N$8</definedName>
    <definedName name="__Bid1">#REF!</definedName>
    <definedName name="__Bid2">#REF!</definedName>
    <definedName name="__Bid3">#REF!</definedName>
    <definedName name="__Bid4">#REF!</definedName>
    <definedName name="__CAC1">[9]INV!$A$19:$D$22</definedName>
    <definedName name="__CAC3">[9]INV!$F$19:$I$22</definedName>
    <definedName name="__CAC5">[9]INV!$K$19:$N$22</definedName>
    <definedName name="__CMU005" localSheetId="9" hidden="1">#REF!</definedName>
    <definedName name="__CMU005" localSheetId="17" hidden="1">#REF!</definedName>
    <definedName name="__CMU005" localSheetId="18" hidden="1">#REF!</definedName>
    <definedName name="__CMU005" localSheetId="12" hidden="1">#REF!</definedName>
    <definedName name="__CMU005" hidden="1">#REF!</definedName>
    <definedName name="__cmu05">#REF!</definedName>
    <definedName name="__Cod1">#REF!</definedName>
    <definedName name="__com06">[17]Gastos!#REF!</definedName>
    <definedName name="__CON2200">#REF!</definedName>
    <definedName name="__CON2500">#REF!</definedName>
    <definedName name="__con3000">#REF!</definedName>
    <definedName name="__cua1">'[10]ALCANTARILLADO RAS'!$A$4:$B$14</definedName>
    <definedName name="__dic01">[17]Dólar!#REF!</definedName>
    <definedName name="__dic06">[17]Dólar!#REF!</definedName>
    <definedName name="__dic97">[17]Dólar!#REF!</definedName>
    <definedName name="__dic98">[17]Dólar!#REF!</definedName>
    <definedName name="__dic99">[17]Dólar!#REF!</definedName>
    <definedName name="__DMD1">#REF!</definedName>
    <definedName name="__ene01">[17]Dólar!#REF!</definedName>
    <definedName name="__ene03">[17]Dólar!#REF!</definedName>
    <definedName name="__ene06">[17]Dólar!#REF!</definedName>
    <definedName name="__ene97">[17]Dólar!#REF!</definedName>
    <definedName name="__ene98">[17]Dólar!#REF!</definedName>
    <definedName name="__ene99">[17]Dólar!#REF!</definedName>
    <definedName name="__EST1">#REF!</definedName>
    <definedName name="__EST10" localSheetId="39">#REF!</definedName>
    <definedName name="__EST10" localSheetId="10">#REF!</definedName>
    <definedName name="__EST10" localSheetId="20">#REF!</definedName>
    <definedName name="__EST10" localSheetId="21">#REF!</definedName>
    <definedName name="__EST10">#REF!</definedName>
    <definedName name="__EST11" localSheetId="39">#REF!</definedName>
    <definedName name="__EST11" localSheetId="10">#REF!</definedName>
    <definedName name="__EST11" localSheetId="20">#REF!</definedName>
    <definedName name="__EST11" localSheetId="21">#REF!</definedName>
    <definedName name="__EST11">#REF!</definedName>
    <definedName name="__EST12" localSheetId="39">#REF!</definedName>
    <definedName name="__EST12" localSheetId="10">#REF!</definedName>
    <definedName name="__EST12" localSheetId="20">#REF!</definedName>
    <definedName name="__EST12" localSheetId="21">#REF!</definedName>
    <definedName name="__EST12">#REF!</definedName>
    <definedName name="__EST13" localSheetId="10">#REF!</definedName>
    <definedName name="__EST13" localSheetId="20">#REF!</definedName>
    <definedName name="__EST13" localSheetId="21">#REF!</definedName>
    <definedName name="__EST13">#REF!</definedName>
    <definedName name="__EST14" localSheetId="10">#REF!</definedName>
    <definedName name="__EST14" localSheetId="20">#REF!</definedName>
    <definedName name="__EST14" localSheetId="21">#REF!</definedName>
    <definedName name="__EST14">#REF!</definedName>
    <definedName name="__EST15" localSheetId="10">#REF!</definedName>
    <definedName name="__EST15" localSheetId="20">#REF!</definedName>
    <definedName name="__EST15" localSheetId="21">#REF!</definedName>
    <definedName name="__EST15">#REF!</definedName>
    <definedName name="__EST16" localSheetId="10">#REF!</definedName>
    <definedName name="__EST16" localSheetId="20">#REF!</definedName>
    <definedName name="__EST16" localSheetId="21">#REF!</definedName>
    <definedName name="__EST16">#REF!</definedName>
    <definedName name="__EST17" localSheetId="10">#REF!</definedName>
    <definedName name="__EST17" localSheetId="20">#REF!</definedName>
    <definedName name="__EST17" localSheetId="21">#REF!</definedName>
    <definedName name="__EST17">#REF!</definedName>
    <definedName name="__EST18" localSheetId="10">#REF!</definedName>
    <definedName name="__EST18" localSheetId="20">#REF!</definedName>
    <definedName name="__EST18" localSheetId="21">#REF!</definedName>
    <definedName name="__EST18">#REF!</definedName>
    <definedName name="__EST19" localSheetId="10">#REF!</definedName>
    <definedName name="__EST19" localSheetId="20">#REF!</definedName>
    <definedName name="__EST19" localSheetId="21">#REF!</definedName>
    <definedName name="__EST19">#REF!</definedName>
    <definedName name="__EST2" localSheetId="10">#REF!</definedName>
    <definedName name="__EST2" localSheetId="20">#REF!</definedName>
    <definedName name="__EST2" localSheetId="21">#REF!</definedName>
    <definedName name="__EST2">#REF!</definedName>
    <definedName name="__EST23">#REF!</definedName>
    <definedName name="__EST3">#REF!</definedName>
    <definedName name="__EST4" localSheetId="10">#REF!</definedName>
    <definedName name="__EST4" localSheetId="20">#REF!</definedName>
    <definedName name="__EST4" localSheetId="21">#REF!</definedName>
    <definedName name="__EST4">#REF!</definedName>
    <definedName name="__EST5" localSheetId="10">#REF!</definedName>
    <definedName name="__EST5" localSheetId="20">#REF!</definedName>
    <definedName name="__EST5" localSheetId="21">#REF!</definedName>
    <definedName name="__EST5">#REF!</definedName>
    <definedName name="__EST6" localSheetId="10">#REF!</definedName>
    <definedName name="__EST6" localSheetId="20">#REF!</definedName>
    <definedName name="__EST6" localSheetId="21">#REF!</definedName>
    <definedName name="__EST6">#REF!</definedName>
    <definedName name="__EST7" localSheetId="10">#REF!</definedName>
    <definedName name="__EST7" localSheetId="20">#REF!</definedName>
    <definedName name="__EST7" localSheetId="21">#REF!</definedName>
    <definedName name="__EST7">#REF!</definedName>
    <definedName name="__EST8" localSheetId="10">#REF!</definedName>
    <definedName name="__EST8" localSheetId="20">#REF!</definedName>
    <definedName name="__EST8" localSheetId="21">#REF!</definedName>
    <definedName name="__EST8">#REF!</definedName>
    <definedName name="__EST9" localSheetId="10">#REF!</definedName>
    <definedName name="__EST9" localSheetId="20">#REF!</definedName>
    <definedName name="__EST9" localSheetId="21">#REF!</definedName>
    <definedName name="__EST9">#REF!</definedName>
    <definedName name="__ETR13">#REF!</definedName>
    <definedName name="__EXC1" localSheetId="10">#REF!</definedName>
    <definedName name="__EXC1" localSheetId="20">#REF!</definedName>
    <definedName name="__EXC1" localSheetId="21">#REF!</definedName>
    <definedName name="__EXC1">#REF!</definedName>
    <definedName name="__EXC10" localSheetId="10">#REF!</definedName>
    <definedName name="__EXC10" localSheetId="20">#REF!</definedName>
    <definedName name="__EXC10" localSheetId="21">#REF!</definedName>
    <definedName name="__EXC10">#REF!</definedName>
    <definedName name="__EXC11" localSheetId="10">#REF!</definedName>
    <definedName name="__EXC11" localSheetId="20">#REF!</definedName>
    <definedName name="__EXC11" localSheetId="21">#REF!</definedName>
    <definedName name="__EXC11">#REF!</definedName>
    <definedName name="__EXC12" localSheetId="10">#REF!</definedName>
    <definedName name="__EXC12" localSheetId="20">#REF!</definedName>
    <definedName name="__EXC12" localSheetId="21">#REF!</definedName>
    <definedName name="__EXC12">#REF!</definedName>
    <definedName name="__EXC2" localSheetId="10">#REF!</definedName>
    <definedName name="__EXC2" localSheetId="20">#REF!</definedName>
    <definedName name="__EXC2" localSheetId="21">#REF!</definedName>
    <definedName name="__EXC2">#REF!</definedName>
    <definedName name="__EXC3" localSheetId="10">#REF!</definedName>
    <definedName name="__EXC3" localSheetId="20">#REF!</definedName>
    <definedName name="__EXC3" localSheetId="21">#REF!</definedName>
    <definedName name="__EXC3">#REF!</definedName>
    <definedName name="__EXC4" localSheetId="10">#REF!</definedName>
    <definedName name="__EXC4" localSheetId="20">#REF!</definedName>
    <definedName name="__EXC4" localSheetId="21">#REF!</definedName>
    <definedName name="__EXC4">#REF!</definedName>
    <definedName name="__EXC5" localSheetId="10">#REF!</definedName>
    <definedName name="__EXC5" localSheetId="20">#REF!</definedName>
    <definedName name="__EXC5" localSheetId="21">#REF!</definedName>
    <definedName name="__EXC5">#REF!</definedName>
    <definedName name="__EXC6" localSheetId="10">#REF!</definedName>
    <definedName name="__EXC6" localSheetId="20">#REF!</definedName>
    <definedName name="__EXC6" localSheetId="21">#REF!</definedName>
    <definedName name="__EXC6">#REF!</definedName>
    <definedName name="__EXC7" localSheetId="10">#REF!</definedName>
    <definedName name="__EXC7" localSheetId="20">#REF!</definedName>
    <definedName name="__EXC7" localSheetId="21">#REF!</definedName>
    <definedName name="__EXC7">#REF!</definedName>
    <definedName name="__EXC8" localSheetId="10">#REF!</definedName>
    <definedName name="__EXC8" localSheetId="20">#REF!</definedName>
    <definedName name="__EXC8" localSheetId="21">#REF!</definedName>
    <definedName name="__EXC8">#REF!</definedName>
    <definedName name="__EXC9" localSheetId="10">#REF!</definedName>
    <definedName name="__EXC9" localSheetId="20">#REF!</definedName>
    <definedName name="__EXC9" localSheetId="21">#REF!</definedName>
    <definedName name="__EXC9">#REF!</definedName>
    <definedName name="__exp06">[17]Gastos!#REF!</definedName>
    <definedName name="__f">[14]Cálculo!$B$67</definedName>
    <definedName name="__feb01">[17]Dólar!#REF!</definedName>
    <definedName name="__feb06">[17]Dólar!#REF!</definedName>
    <definedName name="__feb97">[17]Dólar!#REF!</definedName>
    <definedName name="__feb98">[17]Dólar!#REF!</definedName>
    <definedName name="__feb99">[17]Dólar!#REF!</definedName>
    <definedName name="__jul01">[17]Dólar!#REF!</definedName>
    <definedName name="__jul06">[17]Dólar!#REF!</definedName>
    <definedName name="__jul97">[17]Dólar!#REF!</definedName>
    <definedName name="__jul98">[17]Dólar!#REF!</definedName>
    <definedName name="__jul99">[17]Dólar!#REF!</definedName>
    <definedName name="__jun01">[17]Dólar!#REF!</definedName>
    <definedName name="__jun06">[17]Dólar!#REF!</definedName>
    <definedName name="__jun97">[17]Dólar!#REF!</definedName>
    <definedName name="__jun98">[17]Dólar!#REF!</definedName>
    <definedName name="__jun99">[17]Dólar!#REF!</definedName>
    <definedName name="__lgc1">[17]Gastos!#REF!</definedName>
    <definedName name="__lgc2">[17]Gastos!#REF!</definedName>
    <definedName name="__lgc3">[17]Gastos!#REF!</definedName>
    <definedName name="__LMO1">[18]MO!$A$2:$A$188</definedName>
    <definedName name="__MA2" localSheetId="17">#REF!</definedName>
    <definedName name="__MA2" localSheetId="18">#REF!</definedName>
    <definedName name="__MA2" localSheetId="12">#REF!</definedName>
    <definedName name="__MA2">#REF!</definedName>
    <definedName name="__mar01">[17]Dólar!#REF!</definedName>
    <definedName name="__mar06">[17]Dólar!#REF!</definedName>
    <definedName name="__mar97">[17]Dólar!#REF!</definedName>
    <definedName name="__mar98">[17]Dólar!#REF!</definedName>
    <definedName name="__mar99">[17]Dólar!#REF!</definedName>
    <definedName name="__may01">[17]Dólar!#REF!</definedName>
    <definedName name="__may06">[17]Dólar!#REF!</definedName>
    <definedName name="__may97">[17]Dólar!#REF!</definedName>
    <definedName name="__may98">[17]Dólar!#REF!</definedName>
    <definedName name="__may99">[17]Dólar!#REF!</definedName>
    <definedName name="__MDC2" localSheetId="9">#REF!</definedName>
    <definedName name="__MDC2">#REF!</definedName>
    <definedName name="__mor15">#REF!</definedName>
    <definedName name="__Mux1">[19]CALCULO!$B$19</definedName>
    <definedName name="__Mux2">[19]CALCULO!$E$19</definedName>
    <definedName name="__Mux3">[19]CALCULO!$H$19</definedName>
    <definedName name="__Muy1">[19]CALCULO!$B$20</definedName>
    <definedName name="__Muy2">[19]CALCULO!$E$20</definedName>
    <definedName name="__Muy3">[19]CALCULO!$H$20</definedName>
    <definedName name="__NNN206">[12]MAT!#REF!</definedName>
    <definedName name="__NNN208">[12]MAT!#REF!</definedName>
    <definedName name="__nov01">[17]Dólar!#REF!</definedName>
    <definedName name="__nov06">[17]Dólar!#REF!</definedName>
    <definedName name="__nov97">[17]Dólar!#REF!</definedName>
    <definedName name="__nov98">[17]Dólar!#REF!</definedName>
    <definedName name="__nov99">[17]Dólar!#REF!</definedName>
    <definedName name="__occ1">[17]Gastos!#REF!</definedName>
    <definedName name="__occ2">[17]Gastos!#REF!</definedName>
    <definedName name="__oct01">[17]Dólar!#REF!</definedName>
    <definedName name="__oct06">[17]Dólar!#REF!</definedName>
    <definedName name="__oct97">[17]Dólar!#REF!</definedName>
    <definedName name="__oct98">[17]Dólar!#REF!</definedName>
    <definedName name="__oct99">[17]Dólar!#REF!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J50">#REF!</definedName>
    <definedName name="__pj51">#REF!</definedName>
    <definedName name="__PMT5671">[4]MEMORIAS!#REF!</definedName>
    <definedName name="__PMT5805">[4]MEMORIAS!#REF!</definedName>
    <definedName name="__PMT5806">[4]MEMORIAS!#REF!</definedName>
    <definedName name="__PMT5815">[4]MEMORIAS!#REF!</definedName>
    <definedName name="__PMT5820">[4]MEMORIAS!#REF!</definedName>
    <definedName name="__PRE12">#REF!</definedName>
    <definedName name="__Pu1">[19]CALCULO!$B$18</definedName>
    <definedName name="__Pu2">[19]CALCULO!$E$18</definedName>
    <definedName name="__Pu3">[19]CALCULO!$H$18</definedName>
    <definedName name="__r">#REF!</definedName>
    <definedName name="__Rc">#REF!</definedName>
    <definedName name="__SBC1">[9]INV!$A$12:$D$15</definedName>
    <definedName name="__SBC3">[9]INV!$F$12:$I$15</definedName>
    <definedName name="__SBC5">[9]INV!$K$12:$N$15</definedName>
    <definedName name="__sep01">[17]Dólar!#REF!</definedName>
    <definedName name="__sep06">[17]Dólar!#REF!</definedName>
    <definedName name="__sep97">[17]Dólar!#REF!</definedName>
    <definedName name="__sep98">[17]Dólar!#REF!</definedName>
    <definedName name="__sep99">[17]Dólar!#REF!</definedName>
    <definedName name="__tab1">#REF!</definedName>
    <definedName name="__tab2">#REF!</definedName>
    <definedName name="__tab3">#REF!</definedName>
    <definedName name="__TAB4">#REF!</definedName>
    <definedName name="__TC212">'[3]Presupuesto del Proyecto'!#REF!</definedName>
    <definedName name="__TCN1">#REF!</definedName>
    <definedName name="__TCN2">#REF!</definedName>
    <definedName name="__tf3813">#REF!</definedName>
    <definedName name="__V1">#REF!</definedName>
    <definedName name="__Vol1">[13]Item!$A:$D</definedName>
    <definedName name="__VPD1">[11]TARIFAS!$C$582</definedName>
    <definedName name="__VPI1">[11]TARIFAS!$C$580</definedName>
    <definedName name="__VRA1">[11]TARIFAS!$C$579</definedName>
    <definedName name="__Vu1">[19]CALCULO!$B$23</definedName>
    <definedName name="__Vu2">[19]CALCULO!$E$23</definedName>
    <definedName name="__Vu3">[19]CALCULO!$H$23</definedName>
    <definedName name="__xlfn.BAHTTEXT" hidden="1">#NAME?</definedName>
    <definedName name="_01">#REF!</definedName>
    <definedName name="_1" localSheetId="39">#REF!</definedName>
    <definedName name="_1" localSheetId="10">#REF!</definedName>
    <definedName name="_1" localSheetId="20">#REF!</definedName>
    <definedName name="_1" localSheetId="21">#REF!</definedName>
    <definedName name="_1">#REF!</definedName>
    <definedName name="_1.10">[20]UNIT081!#REF!</definedName>
    <definedName name="_1.11">[20]UNIT081!#REF!</definedName>
    <definedName name="_1.12">[20]UNIT081!#REF!</definedName>
    <definedName name="_1.13">[20]UNIT081!#REF!</definedName>
    <definedName name="_1.14">[20]UNIT081!#REF!</definedName>
    <definedName name="_1.15">[20]UNIT081!#REF!</definedName>
    <definedName name="_1.16">[20]UNIT081!#REF!</definedName>
    <definedName name="_1.17">[20]UNIT081!#REF!</definedName>
    <definedName name="_1.18">[20]UNIT081!#REF!</definedName>
    <definedName name="_1.19">[20]UNIT081!#REF!</definedName>
    <definedName name="_1.20">[20]UNIT081!#REF!</definedName>
    <definedName name="_19Excel_BuiltIn_Print_Area_1_1_1">#REF!</definedName>
    <definedName name="_1Excel_BuiltIn_Print_Area_1_1">#REF!</definedName>
    <definedName name="_1Excel_BuiltIn_Print_Area_1_1_1">#REF!</definedName>
    <definedName name="_2" localSheetId="39">#REF!</definedName>
    <definedName name="_2" localSheetId="10">#REF!</definedName>
    <definedName name="_2" localSheetId="20">#REF!</definedName>
    <definedName name="_2" localSheetId="21">#REF!</definedName>
    <definedName name="_2">#REF!</definedName>
    <definedName name="_2_10">[20]UNIT081!#REF!</definedName>
    <definedName name="_2_11">[20]UNIT081!#REF!</definedName>
    <definedName name="_2_12">[20]UNIT081!#REF!</definedName>
    <definedName name="_2_13">[20]UNIT081!#REF!</definedName>
    <definedName name="_2_14">[20]UNIT081!#REF!</definedName>
    <definedName name="_2_15">[20]UNIT081!#REF!</definedName>
    <definedName name="_2_16">[20]UNIT081!#REF!</definedName>
    <definedName name="_2_17">[20]UNIT081!#REF!</definedName>
    <definedName name="_2_18">[20]UNIT081!#REF!</definedName>
    <definedName name="_25Excel_BuiltIn_Print_Titles_1_1_1_1">#REF!</definedName>
    <definedName name="_2Excel_BuiltIn_Print_Titles_1_1_1_1">#REF!</definedName>
    <definedName name="_3" localSheetId="39">#REF!</definedName>
    <definedName name="_3" localSheetId="20">#REF!</definedName>
    <definedName name="_3" localSheetId="21">#REF!</definedName>
    <definedName name="_3">#REF!</definedName>
    <definedName name="_3_10_1">[20]UNIT081!#REF!</definedName>
    <definedName name="_3_10_2">[20]UNIT081!#REF!</definedName>
    <definedName name="_3_10_3">[20]UNIT081!#REF!</definedName>
    <definedName name="_3_10_4">[20]UNIT081!#REF!</definedName>
    <definedName name="_3_10_5">[20]UNIT081!#REF!</definedName>
    <definedName name="_3_11">[20]UNIT081!#REF!</definedName>
    <definedName name="_4_10">[20]UNIT081!#REF!</definedName>
    <definedName name="_4_11">[20]UNIT081!#REF!</definedName>
    <definedName name="_4_12">[20]UNIT081!#REF!</definedName>
    <definedName name="_5">[20]UNIT081!#REF!</definedName>
    <definedName name="_5_10">[20]UNIT081!#REF!</definedName>
    <definedName name="_5_11">[20]UNIT081!#REF!</definedName>
    <definedName name="_5_12">[20]UNIT081!#REF!</definedName>
    <definedName name="_5_13">[20]UNIT081!#REF!</definedName>
    <definedName name="_5_14">[20]UNIT081!#REF!</definedName>
    <definedName name="_5_15">[20]UNIT081!#REF!</definedName>
    <definedName name="_5_16">[20]UNIT081!#REF!</definedName>
    <definedName name="_5_17">[20]UNIT081!#REF!</definedName>
    <definedName name="_5_18">[20]UNIT081!#REF!</definedName>
    <definedName name="_5_19">[20]UNIT081!#REF!</definedName>
    <definedName name="_5_20">[20]UNIT081!#REF!</definedName>
    <definedName name="_5_21">[20]UNIT081!#REF!</definedName>
    <definedName name="_5_22">[20]UNIT081!#REF!</definedName>
    <definedName name="_a1" localSheetId="39">{"TAB1",#N/A,TRUE,"GENERAL";"TAB2",#N/A,TRUE,"GENERAL";"TAB3",#N/A,TRUE,"GENERAL";"TAB4",#N/A,TRUE,"GENERAL";"TAB5",#N/A,TRUE,"GENERAL"}</definedName>
    <definedName name="_a1" localSheetId="20">{"TAB1",#N/A,TRUE,"GENERAL";"TAB2",#N/A,TRUE,"GENERAL";"TAB3",#N/A,TRUE,"GENERAL";"TAB4",#N/A,TRUE,"GENERAL";"TAB5",#N/A,TRUE,"GENERAL"}</definedName>
    <definedName name="_a1" localSheetId="21">{"TAB1",#N/A,TRUE,"GENERAL";"TAB2",#N/A,TRUE,"GENERAL";"TAB3",#N/A,TRUE,"GENERAL";"TAB4",#N/A,TRUE,"GENERAL";"TAB5",#N/A,TRUE,"GENERAL"}</definedName>
    <definedName name="_a1" localSheetId="9">{"TAB1",#N/A,TRUE,"GENERAL";"TAB2",#N/A,TRUE,"GENERAL";"TAB3",#N/A,TRUE,"GENERAL";"TAB4",#N/A,TRUE,"GENERAL";"TAB5",#N/A,TRUE,"GENERAL"}</definedName>
    <definedName name="_a1" localSheetId="19">{"TAB1",#N/A,TRUE,"GENERAL";"TAB2",#N/A,TRUE,"GENERAL";"TAB3",#N/A,TRUE,"GENERAL";"TAB4",#N/A,TRUE,"GENERAL";"TAB5",#N/A,TRUE,"GENERAL"}</definedName>
    <definedName name="_a1" localSheetId="28">{"TAB1",#N/A,TRUE,"GENERAL";"TAB2",#N/A,TRUE,"GENERAL";"TAB3",#N/A,TRUE,"GENERAL";"TAB4",#N/A,TRUE,"GENERAL";"TAB5",#N/A,TRUE,"GENERAL"}</definedName>
    <definedName name="_a1" localSheetId="29">{"TAB1",#N/A,TRUE,"GENERAL";"TAB2",#N/A,TRUE,"GENERAL";"TAB3",#N/A,TRUE,"GENERAL";"TAB4",#N/A,TRUE,"GENERAL";"TAB5",#N/A,TRUE,"GENERAL"}</definedName>
    <definedName name="_a1">{"TAB1",#N/A,TRUE,"GENERAL";"TAB2",#N/A,TRUE,"GENERAL";"TAB3",#N/A,TRUE,"GENERAL";"TAB4",#N/A,TRUE,"GENERAL";"TAB5",#N/A,TRUE,"GENERAL"}</definedName>
    <definedName name="_A16400">#REF!</definedName>
    <definedName name="_A17000">#REF!</definedName>
    <definedName name="_A20000">#REF!</definedName>
    <definedName name="_a3" localSheetId="39">{"TAB1",#N/A,TRUE,"GENERAL";"TAB2",#N/A,TRUE,"GENERAL";"TAB3",#N/A,TRUE,"GENERAL";"TAB4",#N/A,TRUE,"GENERAL";"TAB5",#N/A,TRUE,"GENERAL"}</definedName>
    <definedName name="_a3" localSheetId="20">{"TAB1",#N/A,TRUE,"GENERAL";"TAB2",#N/A,TRUE,"GENERAL";"TAB3",#N/A,TRUE,"GENERAL";"TAB4",#N/A,TRUE,"GENERAL";"TAB5",#N/A,TRUE,"GENERAL"}</definedName>
    <definedName name="_a3" localSheetId="21">{"TAB1",#N/A,TRUE,"GENERAL";"TAB2",#N/A,TRUE,"GENERAL";"TAB3",#N/A,TRUE,"GENERAL";"TAB4",#N/A,TRUE,"GENERAL";"TAB5",#N/A,TRUE,"GENERAL"}</definedName>
    <definedName name="_a3" localSheetId="9">{"TAB1",#N/A,TRUE,"GENERAL";"TAB2",#N/A,TRUE,"GENERAL";"TAB3",#N/A,TRUE,"GENERAL";"TAB4",#N/A,TRUE,"GENERAL";"TAB5",#N/A,TRUE,"GENERAL"}</definedName>
    <definedName name="_a3" localSheetId="19">{"TAB1",#N/A,TRUE,"GENERAL";"TAB2",#N/A,TRUE,"GENERAL";"TAB3",#N/A,TRUE,"GENERAL";"TAB4",#N/A,TRUE,"GENERAL";"TAB5",#N/A,TRUE,"GENERAL"}</definedName>
    <definedName name="_a3" localSheetId="28">{"TAB1",#N/A,TRUE,"GENERAL";"TAB2",#N/A,TRUE,"GENERAL";"TAB3",#N/A,TRUE,"GENERAL";"TAB4",#N/A,TRUE,"GENERAL";"TAB5",#N/A,TRUE,"GENERAL"}</definedName>
    <definedName name="_a3" localSheetId="29">{"TAB1",#N/A,TRUE,"GENERAL";"TAB2",#N/A,TRUE,"GENERAL";"TAB3",#N/A,TRUE,"GENERAL";"TAB4",#N/A,TRUE,"GENERAL";"TAB5",#N/A,TRUE,"GENERAL"}</definedName>
    <definedName name="_a3">{"TAB1",#N/A,TRUE,"GENERAL";"TAB2",#N/A,TRUE,"GENERAL";"TAB3",#N/A,TRUE,"GENERAL";"TAB4",#N/A,TRUE,"GENERAL";"TAB5",#N/A,TRUE,"GENERAL"}</definedName>
    <definedName name="_A30000">#REF!</definedName>
    <definedName name="_a4" localSheetId="39">{"via1",#N/A,TRUE,"general";"via2",#N/A,TRUE,"general";"via3",#N/A,TRUE,"general"}</definedName>
    <definedName name="_a4" localSheetId="20">{"via1",#N/A,TRUE,"general";"via2",#N/A,TRUE,"general";"via3",#N/A,TRUE,"general"}</definedName>
    <definedName name="_a4" localSheetId="21">{"via1",#N/A,TRUE,"general";"via2",#N/A,TRUE,"general";"via3",#N/A,TRUE,"general"}</definedName>
    <definedName name="_a4" localSheetId="9">{"via1",#N/A,TRUE,"general";"via2",#N/A,TRUE,"general";"via3",#N/A,TRUE,"general"}</definedName>
    <definedName name="_a4" localSheetId="19">{"via1",#N/A,TRUE,"general";"via2",#N/A,TRUE,"general";"via3",#N/A,TRUE,"general"}</definedName>
    <definedName name="_a4" localSheetId="28">{"via1",#N/A,TRUE,"general";"via2",#N/A,TRUE,"general";"via3",#N/A,TRUE,"general"}</definedName>
    <definedName name="_a4" localSheetId="29">{"via1",#N/A,TRUE,"general";"via2",#N/A,TRUE,"general";"via3",#N/A,TRUE,"general"}</definedName>
    <definedName name="_a4">{"via1",#N/A,TRUE,"general";"via2",#N/A,TRUE,"general";"via3",#N/A,TRUE,"general"}</definedName>
    <definedName name="_a5" localSheetId="39">{"TAB1",#N/A,TRUE,"GENERAL";"TAB2",#N/A,TRUE,"GENERAL";"TAB3",#N/A,TRUE,"GENERAL";"TAB4",#N/A,TRUE,"GENERAL";"TAB5",#N/A,TRUE,"GENERAL"}</definedName>
    <definedName name="_a5" localSheetId="20">{"TAB1",#N/A,TRUE,"GENERAL";"TAB2",#N/A,TRUE,"GENERAL";"TAB3",#N/A,TRUE,"GENERAL";"TAB4",#N/A,TRUE,"GENERAL";"TAB5",#N/A,TRUE,"GENERAL"}</definedName>
    <definedName name="_a5" localSheetId="21">{"TAB1",#N/A,TRUE,"GENERAL";"TAB2",#N/A,TRUE,"GENERAL";"TAB3",#N/A,TRUE,"GENERAL";"TAB4",#N/A,TRUE,"GENERAL";"TAB5",#N/A,TRUE,"GENERAL"}</definedName>
    <definedName name="_a5" localSheetId="9">{"TAB1",#N/A,TRUE,"GENERAL";"TAB2",#N/A,TRUE,"GENERAL";"TAB3",#N/A,TRUE,"GENERAL";"TAB4",#N/A,TRUE,"GENERAL";"TAB5",#N/A,TRUE,"GENERAL"}</definedName>
    <definedName name="_a5" localSheetId="19">{"TAB1",#N/A,TRUE,"GENERAL";"TAB2",#N/A,TRUE,"GENERAL";"TAB3",#N/A,TRUE,"GENERAL";"TAB4",#N/A,TRUE,"GENERAL";"TAB5",#N/A,TRUE,"GENERAL"}</definedName>
    <definedName name="_a5" localSheetId="28">{"TAB1",#N/A,TRUE,"GENERAL";"TAB2",#N/A,TRUE,"GENERAL";"TAB3",#N/A,TRUE,"GENERAL";"TAB4",#N/A,TRUE,"GENERAL";"TAB5",#N/A,TRUE,"GENERAL"}</definedName>
    <definedName name="_a5" localSheetId="29">{"TAB1",#N/A,TRUE,"GENERAL";"TAB2",#N/A,TRUE,"GENERAL";"TAB3",#N/A,TRUE,"GENERAL";"TAB4",#N/A,TRUE,"GENERAL";"TAB5",#N/A,TRUE,"GENERAL"}</definedName>
    <definedName name="_a5">{"TAB1",#N/A,TRUE,"GENERAL";"TAB2",#N/A,TRUE,"GENERAL";"TAB3",#N/A,TRUE,"GENERAL";"TAB4",#N/A,TRUE,"GENERAL";"TAB5",#N/A,TRUE,"GENERAL"}</definedName>
    <definedName name="_a6" localSheetId="39">{"TAB1",#N/A,TRUE,"GENERAL";"TAB2",#N/A,TRUE,"GENERAL";"TAB3",#N/A,TRUE,"GENERAL";"TAB4",#N/A,TRUE,"GENERAL";"TAB5",#N/A,TRUE,"GENERAL"}</definedName>
    <definedName name="_a6" localSheetId="20">{"TAB1",#N/A,TRUE,"GENERAL";"TAB2",#N/A,TRUE,"GENERAL";"TAB3",#N/A,TRUE,"GENERAL";"TAB4",#N/A,TRUE,"GENERAL";"TAB5",#N/A,TRUE,"GENERAL"}</definedName>
    <definedName name="_a6" localSheetId="21">{"TAB1",#N/A,TRUE,"GENERAL";"TAB2",#N/A,TRUE,"GENERAL";"TAB3",#N/A,TRUE,"GENERAL";"TAB4",#N/A,TRUE,"GENERAL";"TAB5",#N/A,TRUE,"GENERAL"}</definedName>
    <definedName name="_a6" localSheetId="9">{"TAB1",#N/A,TRUE,"GENERAL";"TAB2",#N/A,TRUE,"GENERAL";"TAB3",#N/A,TRUE,"GENERAL";"TAB4",#N/A,TRUE,"GENERAL";"TAB5",#N/A,TRUE,"GENERAL"}</definedName>
    <definedName name="_a6" localSheetId="19">{"TAB1",#N/A,TRUE,"GENERAL";"TAB2",#N/A,TRUE,"GENERAL";"TAB3",#N/A,TRUE,"GENERAL";"TAB4",#N/A,TRUE,"GENERAL";"TAB5",#N/A,TRUE,"GENERAL"}</definedName>
    <definedName name="_a6" localSheetId="28">{"TAB1",#N/A,TRUE,"GENERAL";"TAB2",#N/A,TRUE,"GENERAL";"TAB3",#N/A,TRUE,"GENERAL";"TAB4",#N/A,TRUE,"GENERAL";"TAB5",#N/A,TRUE,"GENERAL"}</definedName>
    <definedName name="_a6" localSheetId="29">{"TAB1",#N/A,TRUE,"GENERAL";"TAB2",#N/A,TRUE,"GENERAL";"TAB3",#N/A,TRUE,"GENERAL";"TAB4",#N/A,TRUE,"GENERAL";"TAB5",#N/A,TRUE,"GENERAL"}</definedName>
    <definedName name="_a6">{"TAB1",#N/A,TRUE,"GENERAL";"TAB2",#N/A,TRUE,"GENERAL";"TAB3",#N/A,TRUE,"GENERAL";"TAB4",#N/A,TRUE,"GENERAL";"TAB5",#N/A,TRUE,"GENERAL"}</definedName>
    <definedName name="_AFC1">[9]INV!$A$25:$D$28</definedName>
    <definedName name="_AFC3">[9]INV!$F$25:$I$28</definedName>
    <definedName name="_AFC5">[9]INV!$K$25:$N$28</definedName>
    <definedName name="_Afe1">'[21]2007 Database'!$E$2:$E$171,'[21]2007 Database'!$E$171:$E$172</definedName>
    <definedName name="_aiu2" localSheetId="28">[5]AIU!$J$105</definedName>
    <definedName name="_aiu2" localSheetId="29">[5]AIU!$J$105</definedName>
    <definedName name="_aiu2">[6]AIU!$J$105</definedName>
    <definedName name="_ALL4">#REF!</definedName>
    <definedName name="_APU221">#REF!</definedName>
    <definedName name="_APU465" localSheetId="22">[22]!absc</definedName>
    <definedName name="_APU465" localSheetId="21">[22]!absc</definedName>
    <definedName name="_APU465">[22]!absc</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557</definedName>
    <definedName name="_AtRisk_SimSetting_ReportOptionReportsFileType" hidden="1">1</definedName>
    <definedName name="_AtRisk_SimSetting_ReportOptionSelectiveQR" hidden="1">FALSE</definedName>
    <definedName name="_AtRisk_SimSetting_ReportsList" localSheetId="39">17</definedName>
    <definedName name="_AtRisk_SimSetting_ReportsList" hidden="1">557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localSheetId="39">{"TAB1",#N/A,TRUE,"GENERAL";"TAB2",#N/A,TRUE,"GENERAL";"TAB3",#N/A,TRUE,"GENERAL";"TAB4",#N/A,TRUE,"GENERAL";"TAB5",#N/A,TRUE,"GENERAL"}</definedName>
    <definedName name="_b2" localSheetId="20">{"TAB1",#N/A,TRUE,"GENERAL";"TAB2",#N/A,TRUE,"GENERAL";"TAB3",#N/A,TRUE,"GENERAL";"TAB4",#N/A,TRUE,"GENERAL";"TAB5",#N/A,TRUE,"GENERAL"}</definedName>
    <definedName name="_b2" localSheetId="21">{"TAB1",#N/A,TRUE,"GENERAL";"TAB2",#N/A,TRUE,"GENERAL";"TAB3",#N/A,TRUE,"GENERAL";"TAB4",#N/A,TRUE,"GENERAL";"TAB5",#N/A,TRUE,"GENERAL"}</definedName>
    <definedName name="_b2" localSheetId="9">{"TAB1",#N/A,TRUE,"GENERAL";"TAB2",#N/A,TRUE,"GENERAL";"TAB3",#N/A,TRUE,"GENERAL";"TAB4",#N/A,TRUE,"GENERAL";"TAB5",#N/A,TRUE,"GENERAL"}</definedName>
    <definedName name="_b2" localSheetId="19">{"TAB1",#N/A,TRUE,"GENERAL";"TAB2",#N/A,TRUE,"GENERAL";"TAB3",#N/A,TRUE,"GENERAL";"TAB4",#N/A,TRUE,"GENERAL";"TAB5",#N/A,TRUE,"GENERAL"}</definedName>
    <definedName name="_b2" localSheetId="28">{"TAB1",#N/A,TRUE,"GENERAL";"TAB2",#N/A,TRUE,"GENERAL";"TAB3",#N/A,TRUE,"GENERAL";"TAB4",#N/A,TRUE,"GENERAL";"TAB5",#N/A,TRUE,"GENERAL"}</definedName>
    <definedName name="_b2" localSheetId="29">{"TAB1",#N/A,TRUE,"GENERAL";"TAB2",#N/A,TRUE,"GENERAL";"TAB3",#N/A,TRUE,"GENERAL";"TAB4",#N/A,TRUE,"GENERAL";"TAB5",#N/A,TRUE,"GENERAL"}</definedName>
    <definedName name="_b2">{"TAB1",#N/A,TRUE,"GENERAL";"TAB2",#N/A,TRUE,"GENERAL";"TAB3",#N/A,TRUE,"GENERAL";"TAB4",#N/A,TRUE,"GENERAL";"TAB5",#N/A,TRUE,"GENERAL"}</definedName>
    <definedName name="_b3" localSheetId="39">{"TAB1",#N/A,TRUE,"GENERAL";"TAB2",#N/A,TRUE,"GENERAL";"TAB3",#N/A,TRUE,"GENERAL";"TAB4",#N/A,TRUE,"GENERAL";"TAB5",#N/A,TRUE,"GENERAL"}</definedName>
    <definedName name="_b3" localSheetId="20">{"TAB1",#N/A,TRUE,"GENERAL";"TAB2",#N/A,TRUE,"GENERAL";"TAB3",#N/A,TRUE,"GENERAL";"TAB4",#N/A,TRUE,"GENERAL";"TAB5",#N/A,TRUE,"GENERAL"}</definedName>
    <definedName name="_b3" localSheetId="21">{"TAB1",#N/A,TRUE,"GENERAL";"TAB2",#N/A,TRUE,"GENERAL";"TAB3",#N/A,TRUE,"GENERAL";"TAB4",#N/A,TRUE,"GENERAL";"TAB5",#N/A,TRUE,"GENERAL"}</definedName>
    <definedName name="_b3" localSheetId="9">{"TAB1",#N/A,TRUE,"GENERAL";"TAB2",#N/A,TRUE,"GENERAL";"TAB3",#N/A,TRUE,"GENERAL";"TAB4",#N/A,TRUE,"GENERAL";"TAB5",#N/A,TRUE,"GENERAL"}</definedName>
    <definedName name="_b3" localSheetId="19">{"TAB1",#N/A,TRUE,"GENERAL";"TAB2",#N/A,TRUE,"GENERAL";"TAB3",#N/A,TRUE,"GENERAL";"TAB4",#N/A,TRUE,"GENERAL";"TAB5",#N/A,TRUE,"GENERAL"}</definedName>
    <definedName name="_b3" localSheetId="28">{"TAB1",#N/A,TRUE,"GENERAL";"TAB2",#N/A,TRUE,"GENERAL";"TAB3",#N/A,TRUE,"GENERAL";"TAB4",#N/A,TRUE,"GENERAL";"TAB5",#N/A,TRUE,"GENERAL"}</definedName>
    <definedName name="_b3" localSheetId="29">{"TAB1",#N/A,TRUE,"GENERAL";"TAB2",#N/A,TRUE,"GENERAL";"TAB3",#N/A,TRUE,"GENERAL";"TAB4",#N/A,TRUE,"GENERAL";"TAB5",#N/A,TRUE,"GENERAL"}</definedName>
    <definedName name="_b3">{"TAB1",#N/A,TRUE,"GENERAL";"TAB2",#N/A,TRUE,"GENERAL";"TAB3",#N/A,TRUE,"GENERAL";"TAB4",#N/A,TRUE,"GENERAL";"TAB5",#N/A,TRUE,"GENERAL"}</definedName>
    <definedName name="_b4" localSheetId="39">{"TAB1",#N/A,TRUE,"GENERAL";"TAB2",#N/A,TRUE,"GENERAL";"TAB3",#N/A,TRUE,"GENERAL";"TAB4",#N/A,TRUE,"GENERAL";"TAB5",#N/A,TRUE,"GENERAL"}</definedName>
    <definedName name="_b4" localSheetId="20">{"TAB1",#N/A,TRUE,"GENERAL";"TAB2",#N/A,TRUE,"GENERAL";"TAB3",#N/A,TRUE,"GENERAL";"TAB4",#N/A,TRUE,"GENERAL";"TAB5",#N/A,TRUE,"GENERAL"}</definedName>
    <definedName name="_b4" localSheetId="21">{"TAB1",#N/A,TRUE,"GENERAL";"TAB2",#N/A,TRUE,"GENERAL";"TAB3",#N/A,TRUE,"GENERAL";"TAB4",#N/A,TRUE,"GENERAL";"TAB5",#N/A,TRUE,"GENERAL"}</definedName>
    <definedName name="_b4" localSheetId="9">{"TAB1",#N/A,TRUE,"GENERAL";"TAB2",#N/A,TRUE,"GENERAL";"TAB3",#N/A,TRUE,"GENERAL";"TAB4",#N/A,TRUE,"GENERAL";"TAB5",#N/A,TRUE,"GENERAL"}</definedName>
    <definedName name="_b4" localSheetId="19">{"TAB1",#N/A,TRUE,"GENERAL";"TAB2",#N/A,TRUE,"GENERAL";"TAB3",#N/A,TRUE,"GENERAL";"TAB4",#N/A,TRUE,"GENERAL";"TAB5",#N/A,TRUE,"GENERAL"}</definedName>
    <definedName name="_b4" localSheetId="28">{"TAB1",#N/A,TRUE,"GENERAL";"TAB2",#N/A,TRUE,"GENERAL";"TAB3",#N/A,TRUE,"GENERAL";"TAB4",#N/A,TRUE,"GENERAL";"TAB5",#N/A,TRUE,"GENERAL"}</definedName>
    <definedName name="_b4" localSheetId="29">{"TAB1",#N/A,TRUE,"GENERAL";"TAB2",#N/A,TRUE,"GENERAL";"TAB3",#N/A,TRUE,"GENERAL";"TAB4",#N/A,TRUE,"GENERAL";"TAB5",#N/A,TRUE,"GENERAL"}</definedName>
    <definedName name="_b4">{"TAB1",#N/A,TRUE,"GENERAL";"TAB2",#N/A,TRUE,"GENERAL";"TAB3",#N/A,TRUE,"GENERAL";"TAB4",#N/A,TRUE,"GENERAL";"TAB5",#N/A,TRUE,"GENERAL"}</definedName>
    <definedName name="_b5" localSheetId="39">{"TAB1",#N/A,TRUE,"GENERAL";"TAB2",#N/A,TRUE,"GENERAL";"TAB3",#N/A,TRUE,"GENERAL";"TAB4",#N/A,TRUE,"GENERAL";"TAB5",#N/A,TRUE,"GENERAL"}</definedName>
    <definedName name="_b5" localSheetId="20">{"TAB1",#N/A,TRUE,"GENERAL";"TAB2",#N/A,TRUE,"GENERAL";"TAB3",#N/A,TRUE,"GENERAL";"TAB4",#N/A,TRUE,"GENERAL";"TAB5",#N/A,TRUE,"GENERAL"}</definedName>
    <definedName name="_b5" localSheetId="21">{"TAB1",#N/A,TRUE,"GENERAL";"TAB2",#N/A,TRUE,"GENERAL";"TAB3",#N/A,TRUE,"GENERAL";"TAB4",#N/A,TRUE,"GENERAL";"TAB5",#N/A,TRUE,"GENERAL"}</definedName>
    <definedName name="_b5" localSheetId="9">{"TAB1",#N/A,TRUE,"GENERAL";"TAB2",#N/A,TRUE,"GENERAL";"TAB3",#N/A,TRUE,"GENERAL";"TAB4",#N/A,TRUE,"GENERAL";"TAB5",#N/A,TRUE,"GENERAL"}</definedName>
    <definedName name="_b5" localSheetId="19">{"TAB1",#N/A,TRUE,"GENERAL";"TAB2",#N/A,TRUE,"GENERAL";"TAB3",#N/A,TRUE,"GENERAL";"TAB4",#N/A,TRUE,"GENERAL";"TAB5",#N/A,TRUE,"GENERAL"}</definedName>
    <definedName name="_b5" localSheetId="28">{"TAB1",#N/A,TRUE,"GENERAL";"TAB2",#N/A,TRUE,"GENERAL";"TAB3",#N/A,TRUE,"GENERAL";"TAB4",#N/A,TRUE,"GENERAL";"TAB5",#N/A,TRUE,"GENERAL"}</definedName>
    <definedName name="_b5" localSheetId="29">{"TAB1",#N/A,TRUE,"GENERAL";"TAB2",#N/A,TRUE,"GENERAL";"TAB3",#N/A,TRUE,"GENERAL";"TAB4",#N/A,TRUE,"GENERAL";"TAB5",#N/A,TRUE,"GENERAL"}</definedName>
    <definedName name="_b5">{"TAB1",#N/A,TRUE,"GENERAL";"TAB2",#N/A,TRUE,"GENERAL";"TAB3",#N/A,TRUE,"GENERAL";"TAB4",#N/A,TRUE,"GENERAL";"TAB5",#N/A,TRUE,"GENERAL"}</definedName>
    <definedName name="_b6" localSheetId="39">{"TAB1",#N/A,TRUE,"GENERAL";"TAB2",#N/A,TRUE,"GENERAL";"TAB3",#N/A,TRUE,"GENERAL";"TAB4",#N/A,TRUE,"GENERAL";"TAB5",#N/A,TRUE,"GENERAL"}</definedName>
    <definedName name="_b6" localSheetId="20">{"TAB1",#N/A,TRUE,"GENERAL";"TAB2",#N/A,TRUE,"GENERAL";"TAB3",#N/A,TRUE,"GENERAL";"TAB4",#N/A,TRUE,"GENERAL";"TAB5",#N/A,TRUE,"GENERAL"}</definedName>
    <definedName name="_b6" localSheetId="21">{"TAB1",#N/A,TRUE,"GENERAL";"TAB2",#N/A,TRUE,"GENERAL";"TAB3",#N/A,TRUE,"GENERAL";"TAB4",#N/A,TRUE,"GENERAL";"TAB5",#N/A,TRUE,"GENERAL"}</definedName>
    <definedName name="_b6" localSheetId="9">{"TAB1",#N/A,TRUE,"GENERAL";"TAB2",#N/A,TRUE,"GENERAL";"TAB3",#N/A,TRUE,"GENERAL";"TAB4",#N/A,TRUE,"GENERAL";"TAB5",#N/A,TRUE,"GENERAL"}</definedName>
    <definedName name="_b6" localSheetId="19">{"TAB1",#N/A,TRUE,"GENERAL";"TAB2",#N/A,TRUE,"GENERAL";"TAB3",#N/A,TRUE,"GENERAL";"TAB4",#N/A,TRUE,"GENERAL";"TAB5",#N/A,TRUE,"GENERAL"}</definedName>
    <definedName name="_b6" localSheetId="28">{"TAB1",#N/A,TRUE,"GENERAL";"TAB2",#N/A,TRUE,"GENERAL";"TAB3",#N/A,TRUE,"GENERAL";"TAB4",#N/A,TRUE,"GENERAL";"TAB5",#N/A,TRUE,"GENERAL"}</definedName>
    <definedName name="_b6" localSheetId="29">{"TAB1",#N/A,TRUE,"GENERAL";"TAB2",#N/A,TRUE,"GENERAL";"TAB3",#N/A,TRUE,"GENERAL";"TAB4",#N/A,TRUE,"GENERAL";"TAB5",#N/A,TRUE,"GENERAL"}</definedName>
    <definedName name="_b6">{"TAB1",#N/A,TRUE,"GENERAL";"TAB2",#N/A,TRUE,"GENERAL";"TAB3",#N/A,TRUE,"GENERAL";"TAB4",#N/A,TRUE,"GENERAL";"TAB5",#N/A,TRUE,"GENERAL"}</definedName>
    <definedName name="_b7" localSheetId="39">{"via1",#N/A,TRUE,"general";"via2",#N/A,TRUE,"general";"via3",#N/A,TRUE,"general"}</definedName>
    <definedName name="_b7" localSheetId="20">{"via1",#N/A,TRUE,"general";"via2",#N/A,TRUE,"general";"via3",#N/A,TRUE,"general"}</definedName>
    <definedName name="_b7" localSheetId="21">{"via1",#N/A,TRUE,"general";"via2",#N/A,TRUE,"general";"via3",#N/A,TRUE,"general"}</definedName>
    <definedName name="_b7" localSheetId="9">{"via1",#N/A,TRUE,"general";"via2",#N/A,TRUE,"general";"via3",#N/A,TRUE,"general"}</definedName>
    <definedName name="_b7" localSheetId="19">{"via1",#N/A,TRUE,"general";"via2",#N/A,TRUE,"general";"via3",#N/A,TRUE,"general"}</definedName>
    <definedName name="_b7" localSheetId="28">{"via1",#N/A,TRUE,"general";"via2",#N/A,TRUE,"general";"via3",#N/A,TRUE,"general"}</definedName>
    <definedName name="_b7" localSheetId="29">{"via1",#N/A,TRUE,"general";"via2",#N/A,TRUE,"general";"via3",#N/A,TRUE,"general"}</definedName>
    <definedName name="_b7">{"via1",#N/A,TRUE,"general";"via2",#N/A,TRUE,"general";"via3",#N/A,TRUE,"general"}</definedName>
    <definedName name="_b8" localSheetId="39">{"via1",#N/A,TRUE,"general";"via2",#N/A,TRUE,"general";"via3",#N/A,TRUE,"general"}</definedName>
    <definedName name="_b8" localSheetId="20">{"via1",#N/A,TRUE,"general";"via2",#N/A,TRUE,"general";"via3",#N/A,TRUE,"general"}</definedName>
    <definedName name="_b8" localSheetId="21">{"via1",#N/A,TRUE,"general";"via2",#N/A,TRUE,"general";"via3",#N/A,TRUE,"general"}</definedName>
    <definedName name="_b8" localSheetId="9">{"via1",#N/A,TRUE,"general";"via2",#N/A,TRUE,"general";"via3",#N/A,TRUE,"general"}</definedName>
    <definedName name="_b8" localSheetId="19">{"via1",#N/A,TRUE,"general";"via2",#N/A,TRUE,"general";"via3",#N/A,TRUE,"general"}</definedName>
    <definedName name="_b8" localSheetId="28">{"via1",#N/A,TRUE,"general";"via2",#N/A,TRUE,"general";"via3",#N/A,TRUE,"general"}</definedName>
    <definedName name="_b8" localSheetId="29">{"via1",#N/A,TRUE,"general";"via2",#N/A,TRUE,"general";"via3",#N/A,TRUE,"general"}</definedName>
    <definedName name="_b8">{"via1",#N/A,TRUE,"general";"via2",#N/A,TRUE,"general";"via3",#N/A,TRUE,"general"}</definedName>
    <definedName name="_bb9" localSheetId="39">{"TAB1",#N/A,TRUE,"GENERAL";"TAB2",#N/A,TRUE,"GENERAL";"TAB3",#N/A,TRUE,"GENERAL";"TAB4",#N/A,TRUE,"GENERAL";"TAB5",#N/A,TRUE,"GENERAL"}</definedName>
    <definedName name="_bb9" localSheetId="20">{"TAB1",#N/A,TRUE,"GENERAL";"TAB2",#N/A,TRUE,"GENERAL";"TAB3",#N/A,TRUE,"GENERAL";"TAB4",#N/A,TRUE,"GENERAL";"TAB5",#N/A,TRUE,"GENERAL"}</definedName>
    <definedName name="_bb9" localSheetId="21">{"TAB1",#N/A,TRUE,"GENERAL";"TAB2",#N/A,TRUE,"GENERAL";"TAB3",#N/A,TRUE,"GENERAL";"TAB4",#N/A,TRUE,"GENERAL";"TAB5",#N/A,TRUE,"GENERAL"}</definedName>
    <definedName name="_bb9" localSheetId="9">{"TAB1",#N/A,TRUE,"GENERAL";"TAB2",#N/A,TRUE,"GENERAL";"TAB3",#N/A,TRUE,"GENERAL";"TAB4",#N/A,TRUE,"GENERAL";"TAB5",#N/A,TRUE,"GENERAL"}</definedName>
    <definedName name="_bb9" localSheetId="19">{"TAB1",#N/A,TRUE,"GENERAL";"TAB2",#N/A,TRUE,"GENERAL";"TAB3",#N/A,TRUE,"GENERAL";"TAB4",#N/A,TRUE,"GENERAL";"TAB5",#N/A,TRUE,"GENERAL"}</definedName>
    <definedName name="_bb9" localSheetId="28">{"TAB1",#N/A,TRUE,"GENERAL";"TAB2",#N/A,TRUE,"GENERAL";"TAB3",#N/A,TRUE,"GENERAL";"TAB4",#N/A,TRUE,"GENERAL";"TAB5",#N/A,TRUE,"GENERAL"}</definedName>
    <definedName name="_bb9" localSheetId="29">{"TAB1",#N/A,TRUE,"GENERAL";"TAB2",#N/A,TRUE,"GENERAL";"TAB3",#N/A,TRUE,"GENERAL";"TAB4",#N/A,TRUE,"GENERAL";"TAB5",#N/A,TRUE,"GENERAL"}</definedName>
    <definedName name="_bb9">{"TAB1",#N/A,TRUE,"GENERAL";"TAB2",#N/A,TRUE,"GENERAL";"TAB3",#N/A,TRUE,"GENERAL";"TAB4",#N/A,TRUE,"GENERAL";"TAB5",#N/A,TRUE,"GENERAL"}</definedName>
    <definedName name="_bgb5" localSheetId="39">{"TAB1",#N/A,TRUE,"GENERAL";"TAB2",#N/A,TRUE,"GENERAL";"TAB3",#N/A,TRUE,"GENERAL";"TAB4",#N/A,TRUE,"GENERAL";"TAB5",#N/A,TRUE,"GENERAL"}</definedName>
    <definedName name="_bgb5" localSheetId="20">{"TAB1",#N/A,TRUE,"GENERAL";"TAB2",#N/A,TRUE,"GENERAL";"TAB3",#N/A,TRUE,"GENERAL";"TAB4",#N/A,TRUE,"GENERAL";"TAB5",#N/A,TRUE,"GENERAL"}</definedName>
    <definedName name="_bgb5" localSheetId="21">{"TAB1",#N/A,TRUE,"GENERAL";"TAB2",#N/A,TRUE,"GENERAL";"TAB3",#N/A,TRUE,"GENERAL";"TAB4",#N/A,TRUE,"GENERAL";"TAB5",#N/A,TRUE,"GENERAL"}</definedName>
    <definedName name="_bgb5" localSheetId="9">{"TAB1",#N/A,TRUE,"GENERAL";"TAB2",#N/A,TRUE,"GENERAL";"TAB3",#N/A,TRUE,"GENERAL";"TAB4",#N/A,TRUE,"GENERAL";"TAB5",#N/A,TRUE,"GENERAL"}</definedName>
    <definedName name="_bgb5" localSheetId="19">{"TAB1",#N/A,TRUE,"GENERAL";"TAB2",#N/A,TRUE,"GENERAL";"TAB3",#N/A,TRUE,"GENERAL";"TAB4",#N/A,TRUE,"GENERAL";"TAB5",#N/A,TRUE,"GENERAL"}</definedName>
    <definedName name="_bgb5" localSheetId="28">{"TAB1",#N/A,TRUE,"GENERAL";"TAB2",#N/A,TRUE,"GENERAL";"TAB3",#N/A,TRUE,"GENERAL";"TAB4",#N/A,TRUE,"GENERAL";"TAB5",#N/A,TRUE,"GENERAL"}</definedName>
    <definedName name="_bgb5" localSheetId="29">{"TAB1",#N/A,TRUE,"GENERAL";"TAB2",#N/A,TRUE,"GENERAL";"TAB3",#N/A,TRUE,"GENERAL";"TAB4",#N/A,TRUE,"GENERAL";"TAB5",#N/A,TRUE,"GENERAL"}</definedName>
    <definedName name="_bgb5">{"TAB1",#N/A,TRUE,"GENERAL";"TAB2",#N/A,TRUE,"GENERAL";"TAB3",#N/A,TRUE,"GENERAL";"TAB4",#N/A,TRUE,"GENERAL";"TAB5",#N/A,TRUE,"GENERAL"}</definedName>
    <definedName name="_BGC1">[9]INV!$A$5:$D$8</definedName>
    <definedName name="_BGC3">[9]INV!$F$5:$I$8</definedName>
    <definedName name="_BGC5">[9]INV!$K$5:$N$8</definedName>
    <definedName name="_CAC1">[9]INV!$A$19:$D$22</definedName>
    <definedName name="_CAC3">[9]INV!$F$19:$I$22</definedName>
    <definedName name="_CAC5">[9]INV!$K$19:$N$22</definedName>
    <definedName name="_CMU005" localSheetId="13" hidden="1">#REF!</definedName>
    <definedName name="_CMU005" localSheetId="17" hidden="1">#REF!</definedName>
    <definedName name="_CMU005" localSheetId="18" hidden="1">#REF!</definedName>
    <definedName name="_CMU005" localSheetId="12" hidden="1">#REF!</definedName>
    <definedName name="_CMU005" hidden="1">#REF!</definedName>
    <definedName name="_cmu05">#REF!</definedName>
    <definedName name="_Cod1">#REF!</definedName>
    <definedName name="_CON2200">#REF!</definedName>
    <definedName name="_CON2500">#REF!</definedName>
    <definedName name="_con3000">#REF!</definedName>
    <definedName name="_cua1">'[10]ALCANTARILLADO RAS'!$A$4:$B$14</definedName>
    <definedName name="_dasd" localSheetId="39">'[23]46W9'!#REF!</definedName>
    <definedName name="_dasd" localSheetId="20">'[23]46W9'!#REF!</definedName>
    <definedName name="_dasd" localSheetId="21">'[23]46W9'!#REF!</definedName>
    <definedName name="_dasd" localSheetId="19">'[23]46W9'!#REF!</definedName>
    <definedName name="_dasd">'[23]46W9'!#REF!</definedName>
    <definedName name="_DMD1">#REF!</definedName>
    <definedName name="_EST1" localSheetId="39">#REF!</definedName>
    <definedName name="_EST1" localSheetId="10">#REF!</definedName>
    <definedName name="_EST1" localSheetId="20">#REF!</definedName>
    <definedName name="_EST1" localSheetId="21">#REF!</definedName>
    <definedName name="_EST1" localSheetId="9">#REF!</definedName>
    <definedName name="_EST1" localSheetId="17">#REF!</definedName>
    <definedName name="_EST1" localSheetId="18">#REF!</definedName>
    <definedName name="_EST1" localSheetId="12">#REF!</definedName>
    <definedName name="_EST1">#REF!</definedName>
    <definedName name="_EST10" localSheetId="39">#REF!</definedName>
    <definedName name="_EST10" localSheetId="20">#REF!</definedName>
    <definedName name="_EST10" localSheetId="21">#REF!</definedName>
    <definedName name="_EST10">#REF!</definedName>
    <definedName name="_EST11" localSheetId="39">#REF!</definedName>
    <definedName name="_EST11" localSheetId="20">#REF!</definedName>
    <definedName name="_EST11" localSheetId="21">#REF!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23">#REF!</definedName>
    <definedName name="_EST3" localSheetId="10">#REF!</definedName>
    <definedName name="_EST3" localSheetId="20">#REF!</definedName>
    <definedName name="_EST3" localSheetId="21">#REF!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 localSheetId="39">[24]D_AWG!$E$22</definedName>
    <definedName name="_F" localSheetId="20" hidden="1">#REF!</definedName>
    <definedName name="_F" localSheetId="21" hidden="1">#REF!</definedName>
    <definedName name="_F" localSheetId="13" hidden="1">#REF!</definedName>
    <definedName name="_F" hidden="1">#REF!</definedName>
    <definedName name="_fcv1">#REF!</definedName>
    <definedName name="_FEB1">#REF!</definedName>
    <definedName name="_Fill" localSheetId="39">#REF!</definedName>
    <definedName name="_Fill" localSheetId="20" hidden="1">#REF!</definedName>
    <definedName name="_Fill" localSheetId="21" hidden="1">#REF!</definedName>
    <definedName name="_Fill" localSheetId="13" hidden="1">#REF!</definedName>
    <definedName name="_Fill" hidden="1">#REF!</definedName>
    <definedName name="_g2" localSheetId="39">{"TAB1",#N/A,TRUE,"GENERAL";"TAB2",#N/A,TRUE,"GENERAL";"TAB3",#N/A,TRUE,"GENERAL";"TAB4",#N/A,TRUE,"GENERAL";"TAB5",#N/A,TRUE,"GENERAL"}</definedName>
    <definedName name="_g2" localSheetId="20">{"TAB1",#N/A,TRUE,"GENERAL";"TAB2",#N/A,TRUE,"GENERAL";"TAB3",#N/A,TRUE,"GENERAL";"TAB4",#N/A,TRUE,"GENERAL";"TAB5",#N/A,TRUE,"GENERAL"}</definedName>
    <definedName name="_g2" localSheetId="21">{"TAB1",#N/A,TRUE,"GENERAL";"TAB2",#N/A,TRUE,"GENERAL";"TAB3",#N/A,TRUE,"GENERAL";"TAB4",#N/A,TRUE,"GENERAL";"TAB5",#N/A,TRUE,"GENERAL"}</definedName>
    <definedName name="_g2" localSheetId="9">{"TAB1",#N/A,TRUE,"GENERAL";"TAB2",#N/A,TRUE,"GENERAL";"TAB3",#N/A,TRUE,"GENERAL";"TAB4",#N/A,TRUE,"GENERAL";"TAB5",#N/A,TRUE,"GENERAL"}</definedName>
    <definedName name="_g2" localSheetId="19">{"TAB1",#N/A,TRUE,"GENERAL";"TAB2",#N/A,TRUE,"GENERAL";"TAB3",#N/A,TRUE,"GENERAL";"TAB4",#N/A,TRUE,"GENERAL";"TAB5",#N/A,TRUE,"GENERAL"}</definedName>
    <definedName name="_g2" localSheetId="28">{"TAB1",#N/A,TRUE,"GENERAL";"TAB2",#N/A,TRUE,"GENERAL";"TAB3",#N/A,TRUE,"GENERAL";"TAB4",#N/A,TRUE,"GENERAL";"TAB5",#N/A,TRUE,"GENERAL"}</definedName>
    <definedName name="_g2" localSheetId="29">{"TAB1",#N/A,TRUE,"GENERAL";"TAB2",#N/A,TRUE,"GENERAL";"TAB3",#N/A,TRUE,"GENERAL";"TAB4",#N/A,TRUE,"GENERAL";"TAB5",#N/A,TRUE,"GENERAL"}</definedName>
    <definedName name="_g2">{"TAB1",#N/A,TRUE,"GENERAL";"TAB2",#N/A,TRUE,"GENERAL";"TAB3",#N/A,TRUE,"GENERAL";"TAB4",#N/A,TRUE,"GENERAL";"TAB5",#N/A,TRUE,"GENERAL"}</definedName>
    <definedName name="_g3" localSheetId="39">{"via1",#N/A,TRUE,"general";"via2",#N/A,TRUE,"general";"via3",#N/A,TRUE,"general"}</definedName>
    <definedName name="_g3" localSheetId="20">{"via1",#N/A,TRUE,"general";"via2",#N/A,TRUE,"general";"via3",#N/A,TRUE,"general"}</definedName>
    <definedName name="_g3" localSheetId="21">{"via1",#N/A,TRUE,"general";"via2",#N/A,TRUE,"general";"via3",#N/A,TRUE,"general"}</definedName>
    <definedName name="_g3" localSheetId="9">{"via1",#N/A,TRUE,"general";"via2",#N/A,TRUE,"general";"via3",#N/A,TRUE,"general"}</definedName>
    <definedName name="_g3" localSheetId="19">{"via1",#N/A,TRUE,"general";"via2",#N/A,TRUE,"general";"via3",#N/A,TRUE,"general"}</definedName>
    <definedName name="_g3" localSheetId="28">{"via1",#N/A,TRUE,"general";"via2",#N/A,TRUE,"general";"via3",#N/A,TRUE,"general"}</definedName>
    <definedName name="_g3" localSheetId="29">{"via1",#N/A,TRUE,"general";"via2",#N/A,TRUE,"general";"via3",#N/A,TRUE,"general"}</definedName>
    <definedName name="_g3">{"via1",#N/A,TRUE,"general";"via2",#N/A,TRUE,"general";"via3",#N/A,TRUE,"general"}</definedName>
    <definedName name="_g4" localSheetId="39">{"via1",#N/A,TRUE,"general";"via2",#N/A,TRUE,"general";"via3",#N/A,TRUE,"general"}</definedName>
    <definedName name="_g4" localSheetId="20">{"via1",#N/A,TRUE,"general";"via2",#N/A,TRUE,"general";"via3",#N/A,TRUE,"general"}</definedName>
    <definedName name="_g4" localSheetId="21">{"via1",#N/A,TRUE,"general";"via2",#N/A,TRUE,"general";"via3",#N/A,TRUE,"general"}</definedName>
    <definedName name="_g4" localSheetId="9">{"via1",#N/A,TRUE,"general";"via2",#N/A,TRUE,"general";"via3",#N/A,TRUE,"general"}</definedName>
    <definedName name="_g4" localSheetId="19">{"via1",#N/A,TRUE,"general";"via2",#N/A,TRUE,"general";"via3",#N/A,TRUE,"general"}</definedName>
    <definedName name="_g4" localSheetId="28">{"via1",#N/A,TRUE,"general";"via2",#N/A,TRUE,"general";"via3",#N/A,TRUE,"general"}</definedName>
    <definedName name="_g4" localSheetId="29">{"via1",#N/A,TRUE,"general";"via2",#N/A,TRUE,"general";"via3",#N/A,TRUE,"general"}</definedName>
    <definedName name="_g4">{"via1",#N/A,TRUE,"general";"via2",#N/A,TRUE,"general";"via3",#N/A,TRUE,"general"}</definedName>
    <definedName name="_g5" localSheetId="39">{"via1",#N/A,TRUE,"general";"via2",#N/A,TRUE,"general";"via3",#N/A,TRUE,"general"}</definedName>
    <definedName name="_g5" localSheetId="20">{"via1",#N/A,TRUE,"general";"via2",#N/A,TRUE,"general";"via3",#N/A,TRUE,"general"}</definedName>
    <definedName name="_g5" localSheetId="21">{"via1",#N/A,TRUE,"general";"via2",#N/A,TRUE,"general";"via3",#N/A,TRUE,"general"}</definedName>
    <definedName name="_g5" localSheetId="9">{"via1",#N/A,TRUE,"general";"via2",#N/A,TRUE,"general";"via3",#N/A,TRUE,"general"}</definedName>
    <definedName name="_g5" localSheetId="19">{"via1",#N/A,TRUE,"general";"via2",#N/A,TRUE,"general";"via3",#N/A,TRUE,"general"}</definedName>
    <definedName name="_g5" localSheetId="28">{"via1",#N/A,TRUE,"general";"via2",#N/A,TRUE,"general";"via3",#N/A,TRUE,"general"}</definedName>
    <definedName name="_g5" localSheetId="29">{"via1",#N/A,TRUE,"general";"via2",#N/A,TRUE,"general";"via3",#N/A,TRUE,"general"}</definedName>
    <definedName name="_g5">{"via1",#N/A,TRUE,"general";"via2",#N/A,TRUE,"general";"via3",#N/A,TRUE,"general"}</definedName>
    <definedName name="_g6" localSheetId="39">{"via1",#N/A,TRUE,"general";"via2",#N/A,TRUE,"general";"via3",#N/A,TRUE,"general"}</definedName>
    <definedName name="_g6" localSheetId="20">{"via1",#N/A,TRUE,"general";"via2",#N/A,TRUE,"general";"via3",#N/A,TRUE,"general"}</definedName>
    <definedName name="_g6" localSheetId="21">{"via1",#N/A,TRUE,"general";"via2",#N/A,TRUE,"general";"via3",#N/A,TRUE,"general"}</definedName>
    <definedName name="_g6" localSheetId="9">{"via1",#N/A,TRUE,"general";"via2",#N/A,TRUE,"general";"via3",#N/A,TRUE,"general"}</definedName>
    <definedName name="_g6" localSheetId="19">{"via1",#N/A,TRUE,"general";"via2",#N/A,TRUE,"general";"via3",#N/A,TRUE,"general"}</definedName>
    <definedName name="_g6" localSheetId="28">{"via1",#N/A,TRUE,"general";"via2",#N/A,TRUE,"general";"via3",#N/A,TRUE,"general"}</definedName>
    <definedName name="_g6" localSheetId="29">{"via1",#N/A,TRUE,"general";"via2",#N/A,TRUE,"general";"via3",#N/A,TRUE,"general"}</definedName>
    <definedName name="_g6">{"via1",#N/A,TRUE,"general";"via2",#N/A,TRUE,"general";"via3",#N/A,TRUE,"general"}</definedName>
    <definedName name="_g7" localSheetId="39">{"TAB1",#N/A,TRUE,"GENERAL";"TAB2",#N/A,TRUE,"GENERAL";"TAB3",#N/A,TRUE,"GENERAL";"TAB4",#N/A,TRUE,"GENERAL";"TAB5",#N/A,TRUE,"GENERAL"}</definedName>
    <definedName name="_g7" localSheetId="20">{"TAB1",#N/A,TRUE,"GENERAL";"TAB2",#N/A,TRUE,"GENERAL";"TAB3",#N/A,TRUE,"GENERAL";"TAB4",#N/A,TRUE,"GENERAL";"TAB5",#N/A,TRUE,"GENERAL"}</definedName>
    <definedName name="_g7" localSheetId="21">{"TAB1",#N/A,TRUE,"GENERAL";"TAB2",#N/A,TRUE,"GENERAL";"TAB3",#N/A,TRUE,"GENERAL";"TAB4",#N/A,TRUE,"GENERAL";"TAB5",#N/A,TRUE,"GENERAL"}</definedName>
    <definedName name="_g7" localSheetId="9">{"TAB1",#N/A,TRUE,"GENERAL";"TAB2",#N/A,TRUE,"GENERAL";"TAB3",#N/A,TRUE,"GENERAL";"TAB4",#N/A,TRUE,"GENERAL";"TAB5",#N/A,TRUE,"GENERAL"}</definedName>
    <definedName name="_g7" localSheetId="19">{"TAB1",#N/A,TRUE,"GENERAL";"TAB2",#N/A,TRUE,"GENERAL";"TAB3",#N/A,TRUE,"GENERAL";"TAB4",#N/A,TRUE,"GENERAL";"TAB5",#N/A,TRUE,"GENERAL"}</definedName>
    <definedName name="_g7" localSheetId="28">{"TAB1",#N/A,TRUE,"GENERAL";"TAB2",#N/A,TRUE,"GENERAL";"TAB3",#N/A,TRUE,"GENERAL";"TAB4",#N/A,TRUE,"GENERAL";"TAB5",#N/A,TRUE,"GENERAL"}</definedName>
    <definedName name="_g7" localSheetId="29">{"TAB1",#N/A,TRUE,"GENERAL";"TAB2",#N/A,TRUE,"GENERAL";"TAB3",#N/A,TRUE,"GENERAL";"TAB4",#N/A,TRUE,"GENERAL";"TAB5",#N/A,TRUE,"GENERAL"}</definedName>
    <definedName name="_g7">{"TAB1",#N/A,TRUE,"GENERAL";"TAB2",#N/A,TRUE,"GENERAL";"TAB3",#N/A,TRUE,"GENERAL";"TAB4",#N/A,TRUE,"GENERAL";"TAB5",#N/A,TRUE,"GENERAL"}</definedName>
    <definedName name="_GR1" localSheetId="39">{"TAB1",#N/A,TRUE,"GENERAL";"TAB2",#N/A,TRUE,"GENERAL";"TAB3",#N/A,TRUE,"GENERAL";"TAB4",#N/A,TRUE,"GENERAL";"TAB5",#N/A,TRUE,"GENERAL"}</definedName>
    <definedName name="_GR1" localSheetId="20">{"TAB1",#N/A,TRUE,"GENERAL";"TAB2",#N/A,TRUE,"GENERAL";"TAB3",#N/A,TRUE,"GENERAL";"TAB4",#N/A,TRUE,"GENERAL";"TAB5",#N/A,TRUE,"GENERAL"}</definedName>
    <definedName name="_GR1" localSheetId="21">{"TAB1",#N/A,TRUE,"GENERAL";"TAB2",#N/A,TRUE,"GENERAL";"TAB3",#N/A,TRUE,"GENERAL";"TAB4",#N/A,TRUE,"GENERAL";"TAB5",#N/A,TRUE,"GENERAL"}</definedName>
    <definedName name="_GR1" localSheetId="9">{"TAB1",#N/A,TRUE,"GENERAL";"TAB2",#N/A,TRUE,"GENERAL";"TAB3",#N/A,TRUE,"GENERAL";"TAB4",#N/A,TRUE,"GENERAL";"TAB5",#N/A,TRUE,"GENERAL"}</definedName>
    <definedName name="_GR1" localSheetId="19">{"TAB1",#N/A,TRUE,"GENERAL";"TAB2",#N/A,TRUE,"GENERAL";"TAB3",#N/A,TRUE,"GENERAL";"TAB4",#N/A,TRUE,"GENERAL";"TAB5",#N/A,TRUE,"GENERAL"}</definedName>
    <definedName name="_GR1" localSheetId="28">{"TAB1",#N/A,TRUE,"GENERAL";"TAB2",#N/A,TRUE,"GENERAL";"TAB3",#N/A,TRUE,"GENERAL";"TAB4",#N/A,TRUE,"GENERAL";"TAB5",#N/A,TRUE,"GENERAL"}</definedName>
    <definedName name="_GR1" localSheetId="29">{"TAB1",#N/A,TRUE,"GENERAL";"TAB2",#N/A,TRUE,"GENERAL";"TAB3",#N/A,TRUE,"GENERAL";"TAB4",#N/A,TRUE,"GENERAL";"TAB5",#N/A,TRUE,"GENERAL"}</definedName>
    <definedName name="_GR1">{"TAB1",#N/A,TRUE,"GENERAL";"TAB2",#N/A,TRUE,"GENERAL";"TAB3",#N/A,TRUE,"GENERAL";"TAB4",#N/A,TRUE,"GENERAL";"TAB5",#N/A,TRUE,"GENERAL"}</definedName>
    <definedName name="_gtr4" localSheetId="39">{"via1",#N/A,TRUE,"general";"via2",#N/A,TRUE,"general";"via3",#N/A,TRUE,"general"}</definedName>
    <definedName name="_gtr4" localSheetId="20">{"via1",#N/A,TRUE,"general";"via2",#N/A,TRUE,"general";"via3",#N/A,TRUE,"general"}</definedName>
    <definedName name="_gtr4" localSheetId="21">{"via1",#N/A,TRUE,"general";"via2",#N/A,TRUE,"general";"via3",#N/A,TRUE,"general"}</definedName>
    <definedName name="_gtr4" localSheetId="9">{"via1",#N/A,TRUE,"general";"via2",#N/A,TRUE,"general";"via3",#N/A,TRUE,"general"}</definedName>
    <definedName name="_gtr4" localSheetId="19">{"via1",#N/A,TRUE,"general";"via2",#N/A,TRUE,"general";"via3",#N/A,TRUE,"general"}</definedName>
    <definedName name="_gtr4" localSheetId="28">{"via1",#N/A,TRUE,"general";"via2",#N/A,TRUE,"general";"via3",#N/A,TRUE,"general"}</definedName>
    <definedName name="_gtr4" localSheetId="29">{"via1",#N/A,TRUE,"general";"via2",#N/A,TRUE,"general";"via3",#N/A,TRUE,"general"}</definedName>
    <definedName name="_gtr4">{"via1",#N/A,TRUE,"general";"via2",#N/A,TRUE,"general";"via3",#N/A,TRUE,"general"}</definedName>
    <definedName name="_h2" localSheetId="39">{"via1",#N/A,TRUE,"general";"via2",#N/A,TRUE,"general";"via3",#N/A,TRUE,"general"}</definedName>
    <definedName name="_h2" localSheetId="20">{"via1",#N/A,TRUE,"general";"via2",#N/A,TRUE,"general";"via3",#N/A,TRUE,"general"}</definedName>
    <definedName name="_h2" localSheetId="21">{"via1",#N/A,TRUE,"general";"via2",#N/A,TRUE,"general";"via3",#N/A,TRUE,"general"}</definedName>
    <definedName name="_h2" localSheetId="9">{"via1",#N/A,TRUE,"general";"via2",#N/A,TRUE,"general";"via3",#N/A,TRUE,"general"}</definedName>
    <definedName name="_h2" localSheetId="19">{"via1",#N/A,TRUE,"general";"via2",#N/A,TRUE,"general";"via3",#N/A,TRUE,"general"}</definedName>
    <definedName name="_h2" localSheetId="28">{"via1",#N/A,TRUE,"general";"via2",#N/A,TRUE,"general";"via3",#N/A,TRUE,"general"}</definedName>
    <definedName name="_h2" localSheetId="29">{"via1",#N/A,TRUE,"general";"via2",#N/A,TRUE,"general";"via3",#N/A,TRUE,"general"}</definedName>
    <definedName name="_h2">{"via1",#N/A,TRUE,"general";"via2",#N/A,TRUE,"general";"via3",#N/A,TRUE,"general"}</definedName>
    <definedName name="_h3" localSheetId="39">{"via1",#N/A,TRUE,"general";"via2",#N/A,TRUE,"general";"via3",#N/A,TRUE,"general"}</definedName>
    <definedName name="_h3" localSheetId="20">{"via1",#N/A,TRUE,"general";"via2",#N/A,TRUE,"general";"via3",#N/A,TRUE,"general"}</definedName>
    <definedName name="_h3" localSheetId="21">{"via1",#N/A,TRUE,"general";"via2",#N/A,TRUE,"general";"via3",#N/A,TRUE,"general"}</definedName>
    <definedName name="_h3" localSheetId="9">{"via1",#N/A,TRUE,"general";"via2",#N/A,TRUE,"general";"via3",#N/A,TRUE,"general"}</definedName>
    <definedName name="_h3" localSheetId="19">{"via1",#N/A,TRUE,"general";"via2",#N/A,TRUE,"general";"via3",#N/A,TRUE,"general"}</definedName>
    <definedName name="_h3" localSheetId="28">{"via1",#N/A,TRUE,"general";"via2",#N/A,TRUE,"general";"via3",#N/A,TRUE,"general"}</definedName>
    <definedName name="_h3" localSheetId="29">{"via1",#N/A,TRUE,"general";"via2",#N/A,TRUE,"general";"via3",#N/A,TRUE,"general"}</definedName>
    <definedName name="_h3">{"via1",#N/A,TRUE,"general";"via2",#N/A,TRUE,"general";"via3",#N/A,TRUE,"general"}</definedName>
    <definedName name="_h4" localSheetId="39">{"TAB1",#N/A,TRUE,"GENERAL";"TAB2",#N/A,TRUE,"GENERAL";"TAB3",#N/A,TRUE,"GENERAL";"TAB4",#N/A,TRUE,"GENERAL";"TAB5",#N/A,TRUE,"GENERAL"}</definedName>
    <definedName name="_h4" localSheetId="20">{"TAB1",#N/A,TRUE,"GENERAL";"TAB2",#N/A,TRUE,"GENERAL";"TAB3",#N/A,TRUE,"GENERAL";"TAB4",#N/A,TRUE,"GENERAL";"TAB5",#N/A,TRUE,"GENERAL"}</definedName>
    <definedName name="_h4" localSheetId="21">{"TAB1",#N/A,TRUE,"GENERAL";"TAB2",#N/A,TRUE,"GENERAL";"TAB3",#N/A,TRUE,"GENERAL";"TAB4",#N/A,TRUE,"GENERAL";"TAB5",#N/A,TRUE,"GENERAL"}</definedName>
    <definedName name="_h4" localSheetId="9">{"TAB1",#N/A,TRUE,"GENERAL";"TAB2",#N/A,TRUE,"GENERAL";"TAB3",#N/A,TRUE,"GENERAL";"TAB4",#N/A,TRUE,"GENERAL";"TAB5",#N/A,TRUE,"GENERAL"}</definedName>
    <definedName name="_h4" localSheetId="19">{"TAB1",#N/A,TRUE,"GENERAL";"TAB2",#N/A,TRUE,"GENERAL";"TAB3",#N/A,TRUE,"GENERAL";"TAB4",#N/A,TRUE,"GENERAL";"TAB5",#N/A,TRUE,"GENERAL"}</definedName>
    <definedName name="_h4" localSheetId="28">{"TAB1",#N/A,TRUE,"GENERAL";"TAB2",#N/A,TRUE,"GENERAL";"TAB3",#N/A,TRUE,"GENERAL";"TAB4",#N/A,TRUE,"GENERAL";"TAB5",#N/A,TRUE,"GENERAL"}</definedName>
    <definedName name="_h4" localSheetId="29">{"TAB1",#N/A,TRUE,"GENERAL";"TAB2",#N/A,TRUE,"GENERAL";"TAB3",#N/A,TRUE,"GENERAL";"TAB4",#N/A,TRUE,"GENERAL";"TAB5",#N/A,TRUE,"GENERAL"}</definedName>
    <definedName name="_h4">{"TAB1",#N/A,TRUE,"GENERAL";"TAB2",#N/A,TRUE,"GENERAL";"TAB3",#N/A,TRUE,"GENERAL";"TAB4",#N/A,TRUE,"GENERAL";"TAB5",#N/A,TRUE,"GENERAL"}</definedName>
    <definedName name="_h5" localSheetId="39">{"TAB1",#N/A,TRUE,"GENERAL";"TAB2",#N/A,TRUE,"GENERAL";"TAB3",#N/A,TRUE,"GENERAL";"TAB4",#N/A,TRUE,"GENERAL";"TAB5",#N/A,TRUE,"GENERAL"}</definedName>
    <definedName name="_h5" localSheetId="20">{"TAB1",#N/A,TRUE,"GENERAL";"TAB2",#N/A,TRUE,"GENERAL";"TAB3",#N/A,TRUE,"GENERAL";"TAB4",#N/A,TRUE,"GENERAL";"TAB5",#N/A,TRUE,"GENERAL"}</definedName>
    <definedName name="_h5" localSheetId="21">{"TAB1",#N/A,TRUE,"GENERAL";"TAB2",#N/A,TRUE,"GENERAL";"TAB3",#N/A,TRUE,"GENERAL";"TAB4",#N/A,TRUE,"GENERAL";"TAB5",#N/A,TRUE,"GENERAL"}</definedName>
    <definedName name="_h5" localSheetId="9">{"TAB1",#N/A,TRUE,"GENERAL";"TAB2",#N/A,TRUE,"GENERAL";"TAB3",#N/A,TRUE,"GENERAL";"TAB4",#N/A,TRUE,"GENERAL";"TAB5",#N/A,TRUE,"GENERAL"}</definedName>
    <definedName name="_h5" localSheetId="19">{"TAB1",#N/A,TRUE,"GENERAL";"TAB2",#N/A,TRUE,"GENERAL";"TAB3",#N/A,TRUE,"GENERAL";"TAB4",#N/A,TRUE,"GENERAL";"TAB5",#N/A,TRUE,"GENERAL"}</definedName>
    <definedName name="_h5" localSheetId="28">{"TAB1",#N/A,TRUE,"GENERAL";"TAB2",#N/A,TRUE,"GENERAL";"TAB3",#N/A,TRUE,"GENERAL";"TAB4",#N/A,TRUE,"GENERAL";"TAB5",#N/A,TRUE,"GENERAL"}</definedName>
    <definedName name="_h5" localSheetId="29">{"TAB1",#N/A,TRUE,"GENERAL";"TAB2",#N/A,TRUE,"GENERAL";"TAB3",#N/A,TRUE,"GENERAL";"TAB4",#N/A,TRUE,"GENERAL";"TAB5",#N/A,TRUE,"GENERAL"}</definedName>
    <definedName name="_h5">{"TAB1",#N/A,TRUE,"GENERAL";"TAB2",#N/A,TRUE,"GENERAL";"TAB3",#N/A,TRUE,"GENERAL";"TAB4",#N/A,TRUE,"GENERAL";"TAB5",#N/A,TRUE,"GENERAL"}</definedName>
    <definedName name="_h6" localSheetId="39">{"via1",#N/A,TRUE,"general";"via2",#N/A,TRUE,"general";"via3",#N/A,TRUE,"general"}</definedName>
    <definedName name="_h6" localSheetId="20">{"via1",#N/A,TRUE,"general";"via2",#N/A,TRUE,"general";"via3",#N/A,TRUE,"general"}</definedName>
    <definedName name="_h6" localSheetId="21">{"via1",#N/A,TRUE,"general";"via2",#N/A,TRUE,"general";"via3",#N/A,TRUE,"general"}</definedName>
    <definedName name="_h6" localSheetId="9">{"via1",#N/A,TRUE,"general";"via2",#N/A,TRUE,"general";"via3",#N/A,TRUE,"general"}</definedName>
    <definedName name="_h6" localSheetId="19">{"via1",#N/A,TRUE,"general";"via2",#N/A,TRUE,"general";"via3",#N/A,TRUE,"general"}</definedName>
    <definedName name="_h6" localSheetId="28">{"via1",#N/A,TRUE,"general";"via2",#N/A,TRUE,"general";"via3",#N/A,TRUE,"general"}</definedName>
    <definedName name="_h6" localSheetId="29">{"via1",#N/A,TRUE,"general";"via2",#N/A,TRUE,"general";"via3",#N/A,TRUE,"general"}</definedName>
    <definedName name="_h6">{"via1",#N/A,TRUE,"general";"via2",#N/A,TRUE,"general";"via3",#N/A,TRUE,"general"}</definedName>
    <definedName name="_h7" localSheetId="39">{"TAB1",#N/A,TRUE,"GENERAL";"TAB2",#N/A,TRUE,"GENERAL";"TAB3",#N/A,TRUE,"GENERAL";"TAB4",#N/A,TRUE,"GENERAL";"TAB5",#N/A,TRUE,"GENERAL"}</definedName>
    <definedName name="_h7" localSheetId="20">{"TAB1",#N/A,TRUE,"GENERAL";"TAB2",#N/A,TRUE,"GENERAL";"TAB3",#N/A,TRUE,"GENERAL";"TAB4",#N/A,TRUE,"GENERAL";"TAB5",#N/A,TRUE,"GENERAL"}</definedName>
    <definedName name="_h7" localSheetId="21">{"TAB1",#N/A,TRUE,"GENERAL";"TAB2",#N/A,TRUE,"GENERAL";"TAB3",#N/A,TRUE,"GENERAL";"TAB4",#N/A,TRUE,"GENERAL";"TAB5",#N/A,TRUE,"GENERAL"}</definedName>
    <definedName name="_h7" localSheetId="9">{"TAB1",#N/A,TRUE,"GENERAL";"TAB2",#N/A,TRUE,"GENERAL";"TAB3",#N/A,TRUE,"GENERAL";"TAB4",#N/A,TRUE,"GENERAL";"TAB5",#N/A,TRUE,"GENERAL"}</definedName>
    <definedName name="_h7" localSheetId="19">{"TAB1",#N/A,TRUE,"GENERAL";"TAB2",#N/A,TRUE,"GENERAL";"TAB3",#N/A,TRUE,"GENERAL";"TAB4",#N/A,TRUE,"GENERAL";"TAB5",#N/A,TRUE,"GENERAL"}</definedName>
    <definedName name="_h7" localSheetId="28">{"TAB1",#N/A,TRUE,"GENERAL";"TAB2",#N/A,TRUE,"GENERAL";"TAB3",#N/A,TRUE,"GENERAL";"TAB4",#N/A,TRUE,"GENERAL";"TAB5",#N/A,TRUE,"GENERAL"}</definedName>
    <definedName name="_h7" localSheetId="29">{"TAB1",#N/A,TRUE,"GENERAL";"TAB2",#N/A,TRUE,"GENERAL";"TAB3",#N/A,TRUE,"GENERAL";"TAB4",#N/A,TRUE,"GENERAL";"TAB5",#N/A,TRUE,"GENERAL"}</definedName>
    <definedName name="_h7">{"TAB1",#N/A,TRUE,"GENERAL";"TAB2",#N/A,TRUE,"GENERAL";"TAB3",#N/A,TRUE,"GENERAL";"TAB4",#N/A,TRUE,"GENERAL";"TAB5",#N/A,TRUE,"GENERAL"}</definedName>
    <definedName name="_h8" localSheetId="39">{"via1",#N/A,TRUE,"general";"via2",#N/A,TRUE,"general";"via3",#N/A,TRUE,"general"}</definedName>
    <definedName name="_h8" localSheetId="20">{"via1",#N/A,TRUE,"general";"via2",#N/A,TRUE,"general";"via3",#N/A,TRUE,"general"}</definedName>
    <definedName name="_h8" localSheetId="21">{"via1",#N/A,TRUE,"general";"via2",#N/A,TRUE,"general";"via3",#N/A,TRUE,"general"}</definedName>
    <definedName name="_h8" localSheetId="9">{"via1",#N/A,TRUE,"general";"via2",#N/A,TRUE,"general";"via3",#N/A,TRUE,"general"}</definedName>
    <definedName name="_h8" localSheetId="19">{"via1",#N/A,TRUE,"general";"via2",#N/A,TRUE,"general";"via3",#N/A,TRUE,"general"}</definedName>
    <definedName name="_h8" localSheetId="28">{"via1",#N/A,TRUE,"general";"via2",#N/A,TRUE,"general";"via3",#N/A,TRUE,"general"}</definedName>
    <definedName name="_h8" localSheetId="29">{"via1",#N/A,TRUE,"general";"via2",#N/A,TRUE,"general";"via3",#N/A,TRUE,"general"}</definedName>
    <definedName name="_h8">{"via1",#N/A,TRUE,"general";"via2",#N/A,TRUE,"general";"via3",#N/A,TRUE,"general"}</definedName>
    <definedName name="_hfh7" localSheetId="39">{"via1",#N/A,TRUE,"general";"via2",#N/A,TRUE,"general";"via3",#N/A,TRUE,"general"}</definedName>
    <definedName name="_hfh7" localSheetId="20">{"via1",#N/A,TRUE,"general";"via2",#N/A,TRUE,"general";"via3",#N/A,TRUE,"general"}</definedName>
    <definedName name="_hfh7" localSheetId="21">{"via1",#N/A,TRUE,"general";"via2",#N/A,TRUE,"general";"via3",#N/A,TRUE,"general"}</definedName>
    <definedName name="_hfh7" localSheetId="9">{"via1",#N/A,TRUE,"general";"via2",#N/A,TRUE,"general";"via3",#N/A,TRUE,"general"}</definedName>
    <definedName name="_hfh7" localSheetId="19">{"via1",#N/A,TRUE,"general";"via2",#N/A,TRUE,"general";"via3",#N/A,TRUE,"general"}</definedName>
    <definedName name="_hfh7" localSheetId="28">{"via1",#N/A,TRUE,"general";"via2",#N/A,TRUE,"general";"via3",#N/A,TRUE,"general"}</definedName>
    <definedName name="_hfh7" localSheetId="29">{"via1",#N/A,TRUE,"general";"via2",#N/A,TRUE,"general";"via3",#N/A,TRUE,"general"}</definedName>
    <definedName name="_hfh7">{"via1",#N/A,TRUE,"general";"via2",#N/A,TRUE,"general";"via3",#N/A,TRUE,"general"}</definedName>
    <definedName name="_i4" localSheetId="39">{"via1",#N/A,TRUE,"general";"via2",#N/A,TRUE,"general";"via3",#N/A,TRUE,"general"}</definedName>
    <definedName name="_i4" localSheetId="20">{"via1",#N/A,TRUE,"general";"via2",#N/A,TRUE,"general";"via3",#N/A,TRUE,"general"}</definedName>
    <definedName name="_i4" localSheetId="21">{"via1",#N/A,TRUE,"general";"via2",#N/A,TRUE,"general";"via3",#N/A,TRUE,"general"}</definedName>
    <definedName name="_i4" localSheetId="9">{"via1",#N/A,TRUE,"general";"via2",#N/A,TRUE,"general";"via3",#N/A,TRUE,"general"}</definedName>
    <definedName name="_i4" localSheetId="19">{"via1",#N/A,TRUE,"general";"via2",#N/A,TRUE,"general";"via3",#N/A,TRUE,"general"}</definedName>
    <definedName name="_i4" localSheetId="28">{"via1",#N/A,TRUE,"general";"via2",#N/A,TRUE,"general";"via3",#N/A,TRUE,"general"}</definedName>
    <definedName name="_i4" localSheetId="29">{"via1",#N/A,TRUE,"general";"via2",#N/A,TRUE,"general";"via3",#N/A,TRUE,"general"}</definedName>
    <definedName name="_i4">{"via1",#N/A,TRUE,"general";"via2",#N/A,TRUE,"general";"via3",#N/A,TRUE,"general"}</definedName>
    <definedName name="_i5" localSheetId="39">{"TAB1",#N/A,TRUE,"GENERAL";"TAB2",#N/A,TRUE,"GENERAL";"TAB3",#N/A,TRUE,"GENERAL";"TAB4",#N/A,TRUE,"GENERAL";"TAB5",#N/A,TRUE,"GENERAL"}</definedName>
    <definedName name="_i5" localSheetId="20">{"TAB1",#N/A,TRUE,"GENERAL";"TAB2",#N/A,TRUE,"GENERAL";"TAB3",#N/A,TRUE,"GENERAL";"TAB4",#N/A,TRUE,"GENERAL";"TAB5",#N/A,TRUE,"GENERAL"}</definedName>
    <definedName name="_i5" localSheetId="21">{"TAB1",#N/A,TRUE,"GENERAL";"TAB2",#N/A,TRUE,"GENERAL";"TAB3",#N/A,TRUE,"GENERAL";"TAB4",#N/A,TRUE,"GENERAL";"TAB5",#N/A,TRUE,"GENERAL"}</definedName>
    <definedName name="_i5" localSheetId="9">{"TAB1",#N/A,TRUE,"GENERAL";"TAB2",#N/A,TRUE,"GENERAL";"TAB3",#N/A,TRUE,"GENERAL";"TAB4",#N/A,TRUE,"GENERAL";"TAB5",#N/A,TRUE,"GENERAL"}</definedName>
    <definedName name="_i5" localSheetId="19">{"TAB1",#N/A,TRUE,"GENERAL";"TAB2",#N/A,TRUE,"GENERAL";"TAB3",#N/A,TRUE,"GENERAL";"TAB4",#N/A,TRUE,"GENERAL";"TAB5",#N/A,TRUE,"GENERAL"}</definedName>
    <definedName name="_i5" localSheetId="28">{"TAB1",#N/A,TRUE,"GENERAL";"TAB2",#N/A,TRUE,"GENERAL";"TAB3",#N/A,TRUE,"GENERAL";"TAB4",#N/A,TRUE,"GENERAL";"TAB5",#N/A,TRUE,"GENERAL"}</definedName>
    <definedName name="_i5" localSheetId="29">{"TAB1",#N/A,TRUE,"GENERAL";"TAB2",#N/A,TRUE,"GENERAL";"TAB3",#N/A,TRUE,"GENERAL";"TAB4",#N/A,TRUE,"GENERAL";"TAB5",#N/A,TRUE,"GENERAL"}</definedName>
    <definedName name="_i5">{"TAB1",#N/A,TRUE,"GENERAL";"TAB2",#N/A,TRUE,"GENERAL";"TAB3",#N/A,TRUE,"GENERAL";"TAB4",#N/A,TRUE,"GENERAL";"TAB5",#N/A,TRUE,"GENERAL"}</definedName>
    <definedName name="_i6" localSheetId="39">{"TAB1",#N/A,TRUE,"GENERAL";"TAB2",#N/A,TRUE,"GENERAL";"TAB3",#N/A,TRUE,"GENERAL";"TAB4",#N/A,TRUE,"GENERAL";"TAB5",#N/A,TRUE,"GENERAL"}</definedName>
    <definedName name="_i6" localSheetId="20">{"TAB1",#N/A,TRUE,"GENERAL";"TAB2",#N/A,TRUE,"GENERAL";"TAB3",#N/A,TRUE,"GENERAL";"TAB4",#N/A,TRUE,"GENERAL";"TAB5",#N/A,TRUE,"GENERAL"}</definedName>
    <definedName name="_i6" localSheetId="21">{"TAB1",#N/A,TRUE,"GENERAL";"TAB2",#N/A,TRUE,"GENERAL";"TAB3",#N/A,TRUE,"GENERAL";"TAB4",#N/A,TRUE,"GENERAL";"TAB5",#N/A,TRUE,"GENERAL"}</definedName>
    <definedName name="_i6" localSheetId="9">{"TAB1",#N/A,TRUE,"GENERAL";"TAB2",#N/A,TRUE,"GENERAL";"TAB3",#N/A,TRUE,"GENERAL";"TAB4",#N/A,TRUE,"GENERAL";"TAB5",#N/A,TRUE,"GENERAL"}</definedName>
    <definedName name="_i6" localSheetId="19">{"TAB1",#N/A,TRUE,"GENERAL";"TAB2",#N/A,TRUE,"GENERAL";"TAB3",#N/A,TRUE,"GENERAL";"TAB4",#N/A,TRUE,"GENERAL";"TAB5",#N/A,TRUE,"GENERAL"}</definedName>
    <definedName name="_i6" localSheetId="28">{"TAB1",#N/A,TRUE,"GENERAL";"TAB2",#N/A,TRUE,"GENERAL";"TAB3",#N/A,TRUE,"GENERAL";"TAB4",#N/A,TRUE,"GENERAL";"TAB5",#N/A,TRUE,"GENERAL"}</definedName>
    <definedName name="_i6" localSheetId="29">{"TAB1",#N/A,TRUE,"GENERAL";"TAB2",#N/A,TRUE,"GENERAL";"TAB3",#N/A,TRUE,"GENERAL";"TAB4",#N/A,TRUE,"GENERAL";"TAB5",#N/A,TRUE,"GENERAL"}</definedName>
    <definedName name="_i6">{"TAB1",#N/A,TRUE,"GENERAL";"TAB2",#N/A,TRUE,"GENERAL";"TAB3",#N/A,TRUE,"GENERAL";"TAB4",#N/A,TRUE,"GENERAL";"TAB5",#N/A,TRUE,"GENERAL"}</definedName>
    <definedName name="_i7" localSheetId="39">{"via1",#N/A,TRUE,"general";"via2",#N/A,TRUE,"general";"via3",#N/A,TRUE,"general"}</definedName>
    <definedName name="_i7" localSheetId="20">{"via1",#N/A,TRUE,"general";"via2",#N/A,TRUE,"general";"via3",#N/A,TRUE,"general"}</definedName>
    <definedName name="_i7" localSheetId="21">{"via1",#N/A,TRUE,"general";"via2",#N/A,TRUE,"general";"via3",#N/A,TRUE,"general"}</definedName>
    <definedName name="_i7" localSheetId="9">{"via1",#N/A,TRUE,"general";"via2",#N/A,TRUE,"general";"via3",#N/A,TRUE,"general"}</definedName>
    <definedName name="_i7" localSheetId="19">{"via1",#N/A,TRUE,"general";"via2",#N/A,TRUE,"general";"via3",#N/A,TRUE,"general"}</definedName>
    <definedName name="_i7" localSheetId="28">{"via1",#N/A,TRUE,"general";"via2",#N/A,TRUE,"general";"via3",#N/A,TRUE,"general"}</definedName>
    <definedName name="_i7" localSheetId="29">{"via1",#N/A,TRUE,"general";"via2",#N/A,TRUE,"general";"via3",#N/A,TRUE,"general"}</definedName>
    <definedName name="_i7">{"via1",#N/A,TRUE,"general";"via2",#N/A,TRUE,"general";"via3",#N/A,TRUE,"general"}</definedName>
    <definedName name="_i77" localSheetId="39">{"TAB1",#N/A,TRUE,"GENERAL";"TAB2",#N/A,TRUE,"GENERAL";"TAB3",#N/A,TRUE,"GENERAL";"TAB4",#N/A,TRUE,"GENERAL";"TAB5",#N/A,TRUE,"GENERAL"}</definedName>
    <definedName name="_i77" localSheetId="20">{"TAB1",#N/A,TRUE,"GENERAL";"TAB2",#N/A,TRUE,"GENERAL";"TAB3",#N/A,TRUE,"GENERAL";"TAB4",#N/A,TRUE,"GENERAL";"TAB5",#N/A,TRUE,"GENERAL"}</definedName>
    <definedName name="_i77" localSheetId="21">{"TAB1",#N/A,TRUE,"GENERAL";"TAB2",#N/A,TRUE,"GENERAL";"TAB3",#N/A,TRUE,"GENERAL";"TAB4",#N/A,TRUE,"GENERAL";"TAB5",#N/A,TRUE,"GENERAL"}</definedName>
    <definedName name="_i77" localSheetId="9">{"TAB1",#N/A,TRUE,"GENERAL";"TAB2",#N/A,TRUE,"GENERAL";"TAB3",#N/A,TRUE,"GENERAL";"TAB4",#N/A,TRUE,"GENERAL";"TAB5",#N/A,TRUE,"GENERAL"}</definedName>
    <definedName name="_i77" localSheetId="19">{"TAB1",#N/A,TRUE,"GENERAL";"TAB2",#N/A,TRUE,"GENERAL";"TAB3",#N/A,TRUE,"GENERAL";"TAB4",#N/A,TRUE,"GENERAL";"TAB5",#N/A,TRUE,"GENERAL"}</definedName>
    <definedName name="_i77" localSheetId="28">{"TAB1",#N/A,TRUE,"GENERAL";"TAB2",#N/A,TRUE,"GENERAL";"TAB3",#N/A,TRUE,"GENERAL";"TAB4",#N/A,TRUE,"GENERAL";"TAB5",#N/A,TRUE,"GENERAL"}</definedName>
    <definedName name="_i77" localSheetId="29">{"TAB1",#N/A,TRUE,"GENERAL";"TAB2",#N/A,TRUE,"GENERAL";"TAB3",#N/A,TRUE,"GENERAL";"TAB4",#N/A,TRUE,"GENERAL";"TAB5",#N/A,TRUE,"GENERAL"}</definedName>
    <definedName name="_i77">{"TAB1",#N/A,TRUE,"GENERAL";"TAB2",#N/A,TRUE,"GENERAL";"TAB3",#N/A,TRUE,"GENERAL";"TAB4",#N/A,TRUE,"GENERAL";"TAB5",#N/A,TRUE,"GENERAL"}</definedName>
    <definedName name="_i8" localSheetId="39">{"via1",#N/A,TRUE,"general";"via2",#N/A,TRUE,"general";"via3",#N/A,TRUE,"general"}</definedName>
    <definedName name="_i8" localSheetId="20">{"via1",#N/A,TRUE,"general";"via2",#N/A,TRUE,"general";"via3",#N/A,TRUE,"general"}</definedName>
    <definedName name="_i8" localSheetId="21">{"via1",#N/A,TRUE,"general";"via2",#N/A,TRUE,"general";"via3",#N/A,TRUE,"general"}</definedName>
    <definedName name="_i8" localSheetId="9">{"via1",#N/A,TRUE,"general";"via2",#N/A,TRUE,"general";"via3",#N/A,TRUE,"general"}</definedName>
    <definedName name="_i8" localSheetId="19">{"via1",#N/A,TRUE,"general";"via2",#N/A,TRUE,"general";"via3",#N/A,TRUE,"general"}</definedName>
    <definedName name="_i8" localSheetId="28">{"via1",#N/A,TRUE,"general";"via2",#N/A,TRUE,"general";"via3",#N/A,TRUE,"general"}</definedName>
    <definedName name="_i8" localSheetId="29">{"via1",#N/A,TRUE,"general";"via2",#N/A,TRUE,"general";"via3",#N/A,TRUE,"general"}</definedName>
    <definedName name="_i8">{"via1",#N/A,TRUE,"general";"via2",#N/A,TRUE,"general";"via3",#N/A,TRUE,"general"}</definedName>
    <definedName name="_i9" localSheetId="39">{"TAB1",#N/A,TRUE,"GENERAL";"TAB2",#N/A,TRUE,"GENERAL";"TAB3",#N/A,TRUE,"GENERAL";"TAB4",#N/A,TRUE,"GENERAL";"TAB5",#N/A,TRUE,"GENERAL"}</definedName>
    <definedName name="_i9" localSheetId="20">{"TAB1",#N/A,TRUE,"GENERAL";"TAB2",#N/A,TRUE,"GENERAL";"TAB3",#N/A,TRUE,"GENERAL";"TAB4",#N/A,TRUE,"GENERAL";"TAB5",#N/A,TRUE,"GENERAL"}</definedName>
    <definedName name="_i9" localSheetId="21">{"TAB1",#N/A,TRUE,"GENERAL";"TAB2",#N/A,TRUE,"GENERAL";"TAB3",#N/A,TRUE,"GENERAL";"TAB4",#N/A,TRUE,"GENERAL";"TAB5",#N/A,TRUE,"GENERAL"}</definedName>
    <definedName name="_i9" localSheetId="9">{"TAB1",#N/A,TRUE,"GENERAL";"TAB2",#N/A,TRUE,"GENERAL";"TAB3",#N/A,TRUE,"GENERAL";"TAB4",#N/A,TRUE,"GENERAL";"TAB5",#N/A,TRUE,"GENERAL"}</definedName>
    <definedName name="_i9" localSheetId="19">{"TAB1",#N/A,TRUE,"GENERAL";"TAB2",#N/A,TRUE,"GENERAL";"TAB3",#N/A,TRUE,"GENERAL";"TAB4",#N/A,TRUE,"GENERAL";"TAB5",#N/A,TRUE,"GENERAL"}</definedName>
    <definedName name="_i9" localSheetId="28">{"TAB1",#N/A,TRUE,"GENERAL";"TAB2",#N/A,TRUE,"GENERAL";"TAB3",#N/A,TRUE,"GENERAL";"TAB4",#N/A,TRUE,"GENERAL";"TAB5",#N/A,TRUE,"GENERAL"}</definedName>
    <definedName name="_i9" localSheetId="29">{"TAB1",#N/A,TRUE,"GENERAL";"TAB2",#N/A,TRUE,"GENERAL";"TAB3",#N/A,TRUE,"GENERAL";"TAB4",#N/A,TRUE,"GENERAL";"TAB5",#N/A,TRUE,"GENERAL"}</definedName>
    <definedName name="_i9">{"TAB1",#N/A,TRUE,"GENERAL";"TAB2",#N/A,TRUE,"GENERAL";"TAB3",#N/A,TRUE,"GENERAL";"TAB4",#N/A,TRUE,"GENERAL";"TAB5",#N/A,TRUE,"GENERAL"}</definedName>
    <definedName name="_INF1">#REF!</definedName>
    <definedName name="_IPC2002">#REF!</definedName>
    <definedName name="_k3" localSheetId="39">{"TAB1",#N/A,TRUE,"GENERAL";"TAB2",#N/A,TRUE,"GENERAL";"TAB3",#N/A,TRUE,"GENERAL";"TAB4",#N/A,TRUE,"GENERAL";"TAB5",#N/A,TRUE,"GENERAL"}</definedName>
    <definedName name="_k3" localSheetId="20">{"TAB1",#N/A,TRUE,"GENERAL";"TAB2",#N/A,TRUE,"GENERAL";"TAB3",#N/A,TRUE,"GENERAL";"TAB4",#N/A,TRUE,"GENERAL";"TAB5",#N/A,TRUE,"GENERAL"}</definedName>
    <definedName name="_k3" localSheetId="21">{"TAB1",#N/A,TRUE,"GENERAL";"TAB2",#N/A,TRUE,"GENERAL";"TAB3",#N/A,TRUE,"GENERAL";"TAB4",#N/A,TRUE,"GENERAL";"TAB5",#N/A,TRUE,"GENERAL"}</definedName>
    <definedName name="_k3" localSheetId="9">{"TAB1",#N/A,TRUE,"GENERAL";"TAB2",#N/A,TRUE,"GENERAL";"TAB3",#N/A,TRUE,"GENERAL";"TAB4",#N/A,TRUE,"GENERAL";"TAB5",#N/A,TRUE,"GENERAL"}</definedName>
    <definedName name="_k3" localSheetId="19">{"TAB1",#N/A,TRUE,"GENERAL";"TAB2",#N/A,TRUE,"GENERAL";"TAB3",#N/A,TRUE,"GENERAL";"TAB4",#N/A,TRUE,"GENERAL";"TAB5",#N/A,TRUE,"GENERAL"}</definedName>
    <definedName name="_k3" localSheetId="28">{"TAB1",#N/A,TRUE,"GENERAL";"TAB2",#N/A,TRUE,"GENERAL";"TAB3",#N/A,TRUE,"GENERAL";"TAB4",#N/A,TRUE,"GENERAL";"TAB5",#N/A,TRUE,"GENERAL"}</definedName>
    <definedName name="_k3" localSheetId="29">{"TAB1",#N/A,TRUE,"GENERAL";"TAB2",#N/A,TRUE,"GENERAL";"TAB3",#N/A,TRUE,"GENERAL";"TAB4",#N/A,TRUE,"GENERAL";"TAB5",#N/A,TRUE,"GENERAL"}</definedName>
    <definedName name="_k3">{"TAB1",#N/A,TRUE,"GENERAL";"TAB2",#N/A,TRUE,"GENERAL";"TAB3",#N/A,TRUE,"GENERAL";"TAB4",#N/A,TRUE,"GENERAL";"TAB5",#N/A,TRUE,"GENERAL"}</definedName>
    <definedName name="_k4" localSheetId="39">{"via1",#N/A,TRUE,"general";"via2",#N/A,TRUE,"general";"via3",#N/A,TRUE,"general"}</definedName>
    <definedName name="_k4" localSheetId="20">{"via1",#N/A,TRUE,"general";"via2",#N/A,TRUE,"general";"via3",#N/A,TRUE,"general"}</definedName>
    <definedName name="_k4" localSheetId="21">{"via1",#N/A,TRUE,"general";"via2",#N/A,TRUE,"general";"via3",#N/A,TRUE,"general"}</definedName>
    <definedName name="_k4" localSheetId="9">{"via1",#N/A,TRUE,"general";"via2",#N/A,TRUE,"general";"via3",#N/A,TRUE,"general"}</definedName>
    <definedName name="_k4" localSheetId="19">{"via1",#N/A,TRUE,"general";"via2",#N/A,TRUE,"general";"via3",#N/A,TRUE,"general"}</definedName>
    <definedName name="_k4" localSheetId="28">{"via1",#N/A,TRUE,"general";"via2",#N/A,TRUE,"general";"via3",#N/A,TRUE,"general"}</definedName>
    <definedName name="_k4" localSheetId="29">{"via1",#N/A,TRUE,"general";"via2",#N/A,TRUE,"general";"via3",#N/A,TRUE,"general"}</definedName>
    <definedName name="_k4">{"via1",#N/A,TRUE,"general";"via2",#N/A,TRUE,"general";"via3",#N/A,TRUE,"general"}</definedName>
    <definedName name="_k5" localSheetId="39">{"via1",#N/A,TRUE,"general";"via2",#N/A,TRUE,"general";"via3",#N/A,TRUE,"general"}</definedName>
    <definedName name="_k5" localSheetId="20">{"via1",#N/A,TRUE,"general";"via2",#N/A,TRUE,"general";"via3",#N/A,TRUE,"general"}</definedName>
    <definedName name="_k5" localSheetId="21">{"via1",#N/A,TRUE,"general";"via2",#N/A,TRUE,"general";"via3",#N/A,TRUE,"general"}</definedName>
    <definedName name="_k5" localSheetId="9">{"via1",#N/A,TRUE,"general";"via2",#N/A,TRUE,"general";"via3",#N/A,TRUE,"general"}</definedName>
    <definedName name="_k5" localSheetId="19">{"via1",#N/A,TRUE,"general";"via2",#N/A,TRUE,"general";"via3",#N/A,TRUE,"general"}</definedName>
    <definedName name="_k5" localSheetId="28">{"via1",#N/A,TRUE,"general";"via2",#N/A,TRUE,"general";"via3",#N/A,TRUE,"general"}</definedName>
    <definedName name="_k5" localSheetId="29">{"via1",#N/A,TRUE,"general";"via2",#N/A,TRUE,"general";"via3",#N/A,TRUE,"general"}</definedName>
    <definedName name="_k5">{"via1",#N/A,TRUE,"general";"via2",#N/A,TRUE,"general";"via3",#N/A,TRUE,"general"}</definedName>
    <definedName name="_k6" localSheetId="39">{"TAB1",#N/A,TRUE,"GENERAL";"TAB2",#N/A,TRUE,"GENERAL";"TAB3",#N/A,TRUE,"GENERAL";"TAB4",#N/A,TRUE,"GENERAL";"TAB5",#N/A,TRUE,"GENERAL"}</definedName>
    <definedName name="_k6" localSheetId="20">{"TAB1",#N/A,TRUE,"GENERAL";"TAB2",#N/A,TRUE,"GENERAL";"TAB3",#N/A,TRUE,"GENERAL";"TAB4",#N/A,TRUE,"GENERAL";"TAB5",#N/A,TRUE,"GENERAL"}</definedName>
    <definedName name="_k6" localSheetId="21">{"TAB1",#N/A,TRUE,"GENERAL";"TAB2",#N/A,TRUE,"GENERAL";"TAB3",#N/A,TRUE,"GENERAL";"TAB4",#N/A,TRUE,"GENERAL";"TAB5",#N/A,TRUE,"GENERAL"}</definedName>
    <definedName name="_k6" localSheetId="9">{"TAB1",#N/A,TRUE,"GENERAL";"TAB2",#N/A,TRUE,"GENERAL";"TAB3",#N/A,TRUE,"GENERAL";"TAB4",#N/A,TRUE,"GENERAL";"TAB5",#N/A,TRUE,"GENERAL"}</definedName>
    <definedName name="_k6" localSheetId="19">{"TAB1",#N/A,TRUE,"GENERAL";"TAB2",#N/A,TRUE,"GENERAL";"TAB3",#N/A,TRUE,"GENERAL";"TAB4",#N/A,TRUE,"GENERAL";"TAB5",#N/A,TRUE,"GENERAL"}</definedName>
    <definedName name="_k6" localSheetId="28">{"TAB1",#N/A,TRUE,"GENERAL";"TAB2",#N/A,TRUE,"GENERAL";"TAB3",#N/A,TRUE,"GENERAL";"TAB4",#N/A,TRUE,"GENERAL";"TAB5",#N/A,TRUE,"GENERAL"}</definedName>
    <definedName name="_k6" localSheetId="29">{"TAB1",#N/A,TRUE,"GENERAL";"TAB2",#N/A,TRUE,"GENERAL";"TAB3",#N/A,TRUE,"GENERAL";"TAB4",#N/A,TRUE,"GENERAL";"TAB5",#N/A,TRUE,"GENERAL"}</definedName>
    <definedName name="_k6">{"TAB1",#N/A,TRUE,"GENERAL";"TAB2",#N/A,TRUE,"GENERAL";"TAB3",#N/A,TRUE,"GENERAL";"TAB4",#N/A,TRUE,"GENERAL";"TAB5",#N/A,TRUE,"GENERAL"}</definedName>
    <definedName name="_k7" localSheetId="39">{"via1",#N/A,TRUE,"general";"via2",#N/A,TRUE,"general";"via3",#N/A,TRUE,"general"}</definedName>
    <definedName name="_k7" localSheetId="20">{"via1",#N/A,TRUE,"general";"via2",#N/A,TRUE,"general";"via3",#N/A,TRUE,"general"}</definedName>
    <definedName name="_k7" localSheetId="21">{"via1",#N/A,TRUE,"general";"via2",#N/A,TRUE,"general";"via3",#N/A,TRUE,"general"}</definedName>
    <definedName name="_k7" localSheetId="9">{"via1",#N/A,TRUE,"general";"via2",#N/A,TRUE,"general";"via3",#N/A,TRUE,"general"}</definedName>
    <definedName name="_k7" localSheetId="19">{"via1",#N/A,TRUE,"general";"via2",#N/A,TRUE,"general";"via3",#N/A,TRUE,"general"}</definedName>
    <definedName name="_k7" localSheetId="28">{"via1",#N/A,TRUE,"general";"via2",#N/A,TRUE,"general";"via3",#N/A,TRUE,"general"}</definedName>
    <definedName name="_k7" localSheetId="29">{"via1",#N/A,TRUE,"general";"via2",#N/A,TRUE,"general";"via3",#N/A,TRUE,"general"}</definedName>
    <definedName name="_k7">{"via1",#N/A,TRUE,"general";"via2",#N/A,TRUE,"general";"via3",#N/A,TRUE,"general"}</definedName>
    <definedName name="_k8" localSheetId="39">{"via1",#N/A,TRUE,"general";"via2",#N/A,TRUE,"general";"via3",#N/A,TRUE,"general"}</definedName>
    <definedName name="_k8" localSheetId="20">{"via1",#N/A,TRUE,"general";"via2",#N/A,TRUE,"general";"via3",#N/A,TRUE,"general"}</definedName>
    <definedName name="_k8" localSheetId="21">{"via1",#N/A,TRUE,"general";"via2",#N/A,TRUE,"general";"via3",#N/A,TRUE,"general"}</definedName>
    <definedName name="_k8" localSheetId="9">{"via1",#N/A,TRUE,"general";"via2",#N/A,TRUE,"general";"via3",#N/A,TRUE,"general"}</definedName>
    <definedName name="_k8" localSheetId="19">{"via1",#N/A,TRUE,"general";"via2",#N/A,TRUE,"general";"via3",#N/A,TRUE,"general"}</definedName>
    <definedName name="_k8" localSheetId="28">{"via1",#N/A,TRUE,"general";"via2",#N/A,TRUE,"general";"via3",#N/A,TRUE,"general"}</definedName>
    <definedName name="_k8" localSheetId="29">{"via1",#N/A,TRUE,"general";"via2",#N/A,TRUE,"general";"via3",#N/A,TRUE,"general"}</definedName>
    <definedName name="_k8">{"via1",#N/A,TRUE,"general";"via2",#N/A,TRUE,"general";"via3",#N/A,TRUE,"general"}</definedName>
    <definedName name="_k9" localSheetId="39">{"TAB1",#N/A,TRUE,"GENERAL";"TAB2",#N/A,TRUE,"GENERAL";"TAB3",#N/A,TRUE,"GENERAL";"TAB4",#N/A,TRUE,"GENERAL";"TAB5",#N/A,TRUE,"GENERAL"}</definedName>
    <definedName name="_k9" localSheetId="20">{"TAB1",#N/A,TRUE,"GENERAL";"TAB2",#N/A,TRUE,"GENERAL";"TAB3",#N/A,TRUE,"GENERAL";"TAB4",#N/A,TRUE,"GENERAL";"TAB5",#N/A,TRUE,"GENERAL"}</definedName>
    <definedName name="_k9" localSheetId="21">{"TAB1",#N/A,TRUE,"GENERAL";"TAB2",#N/A,TRUE,"GENERAL";"TAB3",#N/A,TRUE,"GENERAL";"TAB4",#N/A,TRUE,"GENERAL";"TAB5",#N/A,TRUE,"GENERAL"}</definedName>
    <definedName name="_k9" localSheetId="9">{"TAB1",#N/A,TRUE,"GENERAL";"TAB2",#N/A,TRUE,"GENERAL";"TAB3",#N/A,TRUE,"GENERAL";"TAB4",#N/A,TRUE,"GENERAL";"TAB5",#N/A,TRUE,"GENERAL"}</definedName>
    <definedName name="_k9" localSheetId="19">{"TAB1",#N/A,TRUE,"GENERAL";"TAB2",#N/A,TRUE,"GENERAL";"TAB3",#N/A,TRUE,"GENERAL";"TAB4",#N/A,TRUE,"GENERAL";"TAB5",#N/A,TRUE,"GENERAL"}</definedName>
    <definedName name="_k9" localSheetId="28">{"TAB1",#N/A,TRUE,"GENERAL";"TAB2",#N/A,TRUE,"GENERAL";"TAB3",#N/A,TRUE,"GENERAL";"TAB4",#N/A,TRUE,"GENERAL";"TAB5",#N/A,TRUE,"GENERAL"}</definedName>
    <definedName name="_k9" localSheetId="29">{"TAB1",#N/A,TRUE,"GENERAL";"TAB2",#N/A,TRUE,"GENERAL";"TAB3",#N/A,TRUE,"GENERAL";"TAB4",#N/A,TRUE,"GENERAL";"TAB5",#N/A,TRUE,"GENERAL"}</definedName>
    <definedName name="_k9">{"TAB1",#N/A,TRUE,"GENERAL";"TAB2",#N/A,TRUE,"GENERAL";"TAB3",#N/A,TRUE,"GENERAL";"TAB4",#N/A,TRUE,"GENERAL";"TAB5",#N/A,TRUE,"GENERAL"}</definedName>
    <definedName name="_Key1" localSheetId="20" hidden="1">#REF!</definedName>
    <definedName name="_Key1" localSheetId="21" hidden="1">#REF!</definedName>
    <definedName name="_Key1" localSheetId="13" hidden="1">#REF!</definedName>
    <definedName name="_Key1" hidden="1">#REF!</definedName>
    <definedName name="_Key2" localSheetId="20" hidden="1">#REF!</definedName>
    <definedName name="_Key2" localSheetId="21" hidden="1">#REF!</definedName>
    <definedName name="_Key2" localSheetId="13" hidden="1">#REF!</definedName>
    <definedName name="_Key2" hidden="1">#REF!</definedName>
    <definedName name="_kjk6" localSheetId="39">{"TAB1",#N/A,TRUE,"GENERAL";"TAB2",#N/A,TRUE,"GENERAL";"TAB3",#N/A,TRUE,"GENERAL";"TAB4",#N/A,TRUE,"GENERAL";"TAB5",#N/A,TRUE,"GENERAL"}</definedName>
    <definedName name="_kjk6" localSheetId="20">{"TAB1",#N/A,TRUE,"GENERAL";"TAB2",#N/A,TRUE,"GENERAL";"TAB3",#N/A,TRUE,"GENERAL";"TAB4",#N/A,TRUE,"GENERAL";"TAB5",#N/A,TRUE,"GENERAL"}</definedName>
    <definedName name="_kjk6" localSheetId="21">{"TAB1",#N/A,TRUE,"GENERAL";"TAB2",#N/A,TRUE,"GENERAL";"TAB3",#N/A,TRUE,"GENERAL";"TAB4",#N/A,TRUE,"GENERAL";"TAB5",#N/A,TRUE,"GENERAL"}</definedName>
    <definedName name="_kjk6" localSheetId="9">{"TAB1",#N/A,TRUE,"GENERAL";"TAB2",#N/A,TRUE,"GENERAL";"TAB3",#N/A,TRUE,"GENERAL";"TAB4",#N/A,TRUE,"GENERAL";"TAB5",#N/A,TRUE,"GENERAL"}</definedName>
    <definedName name="_kjk6" localSheetId="19">{"TAB1",#N/A,TRUE,"GENERAL";"TAB2",#N/A,TRUE,"GENERAL";"TAB3",#N/A,TRUE,"GENERAL";"TAB4",#N/A,TRUE,"GENERAL";"TAB5",#N/A,TRUE,"GENERAL"}</definedName>
    <definedName name="_kjk6" localSheetId="28">{"TAB1",#N/A,TRUE,"GENERAL";"TAB2",#N/A,TRUE,"GENERAL";"TAB3",#N/A,TRUE,"GENERAL";"TAB4",#N/A,TRUE,"GENERAL";"TAB5",#N/A,TRUE,"GENERAL"}</definedName>
    <definedName name="_kjk6" localSheetId="29">{"TAB1",#N/A,TRUE,"GENERAL";"TAB2",#N/A,TRUE,"GENERAL";"TAB3",#N/A,TRUE,"GENERAL";"TAB4",#N/A,TRUE,"GENERAL";"TAB5",#N/A,TRUE,"GENERAL"}</definedName>
    <definedName name="_kjk6">{"TAB1",#N/A,TRUE,"GENERAL";"TAB2",#N/A,TRUE,"GENERAL";"TAB3",#N/A,TRUE,"GENERAL";"TAB4",#N/A,TRUE,"GENERAL";"TAB5",#N/A,TRUE,"GENERAL"}</definedName>
    <definedName name="_LMO1">[18]MO!$A$2:$A$188</definedName>
    <definedName name="_m3" localSheetId="39">{"via1",#N/A,TRUE,"general";"via2",#N/A,TRUE,"general";"via3",#N/A,TRUE,"general"}</definedName>
    <definedName name="_m3" localSheetId="20">{"via1",#N/A,TRUE,"general";"via2",#N/A,TRUE,"general";"via3",#N/A,TRUE,"general"}</definedName>
    <definedName name="_m3" localSheetId="21">{"via1",#N/A,TRUE,"general";"via2",#N/A,TRUE,"general";"via3",#N/A,TRUE,"general"}</definedName>
    <definedName name="_m3" localSheetId="9">{"via1",#N/A,TRUE,"general";"via2",#N/A,TRUE,"general";"via3",#N/A,TRUE,"general"}</definedName>
    <definedName name="_m3" localSheetId="19">{"via1",#N/A,TRUE,"general";"via2",#N/A,TRUE,"general";"via3",#N/A,TRUE,"general"}</definedName>
    <definedName name="_m3" localSheetId="28">{"via1",#N/A,TRUE,"general";"via2",#N/A,TRUE,"general";"via3",#N/A,TRUE,"general"}</definedName>
    <definedName name="_m3" localSheetId="29">{"via1",#N/A,TRUE,"general";"via2",#N/A,TRUE,"general";"via3",#N/A,TRUE,"general"}</definedName>
    <definedName name="_m3">{"via1",#N/A,TRUE,"general";"via2",#N/A,TRUE,"general";"via3",#N/A,TRUE,"general"}</definedName>
    <definedName name="_m4" localSheetId="39">{"TAB1",#N/A,TRUE,"GENERAL";"TAB2",#N/A,TRUE,"GENERAL";"TAB3",#N/A,TRUE,"GENERAL";"TAB4",#N/A,TRUE,"GENERAL";"TAB5",#N/A,TRUE,"GENERAL"}</definedName>
    <definedName name="_m4" localSheetId="20">{"TAB1",#N/A,TRUE,"GENERAL";"TAB2",#N/A,TRUE,"GENERAL";"TAB3",#N/A,TRUE,"GENERAL";"TAB4",#N/A,TRUE,"GENERAL";"TAB5",#N/A,TRUE,"GENERAL"}</definedName>
    <definedName name="_m4" localSheetId="21">{"TAB1",#N/A,TRUE,"GENERAL";"TAB2",#N/A,TRUE,"GENERAL";"TAB3",#N/A,TRUE,"GENERAL";"TAB4",#N/A,TRUE,"GENERAL";"TAB5",#N/A,TRUE,"GENERAL"}</definedName>
    <definedName name="_m4" localSheetId="9">{"TAB1",#N/A,TRUE,"GENERAL";"TAB2",#N/A,TRUE,"GENERAL";"TAB3",#N/A,TRUE,"GENERAL";"TAB4",#N/A,TRUE,"GENERAL";"TAB5",#N/A,TRUE,"GENERAL"}</definedName>
    <definedName name="_m4" localSheetId="19">{"TAB1",#N/A,TRUE,"GENERAL";"TAB2",#N/A,TRUE,"GENERAL";"TAB3",#N/A,TRUE,"GENERAL";"TAB4",#N/A,TRUE,"GENERAL";"TAB5",#N/A,TRUE,"GENERAL"}</definedName>
    <definedName name="_m4" localSheetId="28">{"TAB1",#N/A,TRUE,"GENERAL";"TAB2",#N/A,TRUE,"GENERAL";"TAB3",#N/A,TRUE,"GENERAL";"TAB4",#N/A,TRUE,"GENERAL";"TAB5",#N/A,TRUE,"GENERAL"}</definedName>
    <definedName name="_m4" localSheetId="29">{"TAB1",#N/A,TRUE,"GENERAL";"TAB2",#N/A,TRUE,"GENERAL";"TAB3",#N/A,TRUE,"GENERAL";"TAB4",#N/A,TRUE,"GENERAL";"TAB5",#N/A,TRUE,"GENERAL"}</definedName>
    <definedName name="_m4">{"TAB1",#N/A,TRUE,"GENERAL";"TAB2",#N/A,TRUE,"GENERAL";"TAB3",#N/A,TRUE,"GENERAL";"TAB4",#N/A,TRUE,"GENERAL";"TAB5",#N/A,TRUE,"GENERAL"}</definedName>
    <definedName name="_m5" localSheetId="39">{"via1",#N/A,TRUE,"general";"via2",#N/A,TRUE,"general";"via3",#N/A,TRUE,"general"}</definedName>
    <definedName name="_m5" localSheetId="20">{"via1",#N/A,TRUE,"general";"via2",#N/A,TRUE,"general";"via3",#N/A,TRUE,"general"}</definedName>
    <definedName name="_m5" localSheetId="21">{"via1",#N/A,TRUE,"general";"via2",#N/A,TRUE,"general";"via3",#N/A,TRUE,"general"}</definedName>
    <definedName name="_m5" localSheetId="9">{"via1",#N/A,TRUE,"general";"via2",#N/A,TRUE,"general";"via3",#N/A,TRUE,"general"}</definedName>
    <definedName name="_m5" localSheetId="19">{"via1",#N/A,TRUE,"general";"via2",#N/A,TRUE,"general";"via3",#N/A,TRUE,"general"}</definedName>
    <definedName name="_m5" localSheetId="28">{"via1",#N/A,TRUE,"general";"via2",#N/A,TRUE,"general";"via3",#N/A,TRUE,"general"}</definedName>
    <definedName name="_m5" localSheetId="29">{"via1",#N/A,TRUE,"general";"via2",#N/A,TRUE,"general";"via3",#N/A,TRUE,"general"}</definedName>
    <definedName name="_m5">{"via1",#N/A,TRUE,"general";"via2",#N/A,TRUE,"general";"via3",#N/A,TRUE,"general"}</definedName>
    <definedName name="_m6" localSheetId="39">{"TAB1",#N/A,TRUE,"GENERAL";"TAB2",#N/A,TRUE,"GENERAL";"TAB3",#N/A,TRUE,"GENERAL";"TAB4",#N/A,TRUE,"GENERAL";"TAB5",#N/A,TRUE,"GENERAL"}</definedName>
    <definedName name="_m6" localSheetId="20">{"TAB1",#N/A,TRUE,"GENERAL";"TAB2",#N/A,TRUE,"GENERAL";"TAB3",#N/A,TRUE,"GENERAL";"TAB4",#N/A,TRUE,"GENERAL";"TAB5",#N/A,TRUE,"GENERAL"}</definedName>
    <definedName name="_m6" localSheetId="21">{"TAB1",#N/A,TRUE,"GENERAL";"TAB2",#N/A,TRUE,"GENERAL";"TAB3",#N/A,TRUE,"GENERAL";"TAB4",#N/A,TRUE,"GENERAL";"TAB5",#N/A,TRUE,"GENERAL"}</definedName>
    <definedName name="_m6" localSheetId="9">{"TAB1",#N/A,TRUE,"GENERAL";"TAB2",#N/A,TRUE,"GENERAL";"TAB3",#N/A,TRUE,"GENERAL";"TAB4",#N/A,TRUE,"GENERAL";"TAB5",#N/A,TRUE,"GENERAL"}</definedName>
    <definedName name="_m6" localSheetId="19">{"TAB1",#N/A,TRUE,"GENERAL";"TAB2",#N/A,TRUE,"GENERAL";"TAB3",#N/A,TRUE,"GENERAL";"TAB4",#N/A,TRUE,"GENERAL";"TAB5",#N/A,TRUE,"GENERAL"}</definedName>
    <definedName name="_m6" localSheetId="28">{"TAB1",#N/A,TRUE,"GENERAL";"TAB2",#N/A,TRUE,"GENERAL";"TAB3",#N/A,TRUE,"GENERAL";"TAB4",#N/A,TRUE,"GENERAL";"TAB5",#N/A,TRUE,"GENERAL"}</definedName>
    <definedName name="_m6" localSheetId="29">{"TAB1",#N/A,TRUE,"GENERAL";"TAB2",#N/A,TRUE,"GENERAL";"TAB3",#N/A,TRUE,"GENERAL";"TAB4",#N/A,TRUE,"GENERAL";"TAB5",#N/A,TRUE,"GENERAL"}</definedName>
    <definedName name="_m6">{"TAB1",#N/A,TRUE,"GENERAL";"TAB2",#N/A,TRUE,"GENERAL";"TAB3",#N/A,TRUE,"GENERAL";"TAB4",#N/A,TRUE,"GENERAL";"TAB5",#N/A,TRUE,"GENERAL"}</definedName>
    <definedName name="_m7" localSheetId="39">{"TAB1",#N/A,TRUE,"GENERAL";"TAB2",#N/A,TRUE,"GENERAL";"TAB3",#N/A,TRUE,"GENERAL";"TAB4",#N/A,TRUE,"GENERAL";"TAB5",#N/A,TRUE,"GENERAL"}</definedName>
    <definedName name="_m7" localSheetId="20">{"TAB1",#N/A,TRUE,"GENERAL";"TAB2",#N/A,TRUE,"GENERAL";"TAB3",#N/A,TRUE,"GENERAL";"TAB4",#N/A,TRUE,"GENERAL";"TAB5",#N/A,TRUE,"GENERAL"}</definedName>
    <definedName name="_m7" localSheetId="21">{"TAB1",#N/A,TRUE,"GENERAL";"TAB2",#N/A,TRUE,"GENERAL";"TAB3",#N/A,TRUE,"GENERAL";"TAB4",#N/A,TRUE,"GENERAL";"TAB5",#N/A,TRUE,"GENERAL"}</definedName>
    <definedName name="_m7" localSheetId="9">{"TAB1",#N/A,TRUE,"GENERAL";"TAB2",#N/A,TRUE,"GENERAL";"TAB3",#N/A,TRUE,"GENERAL";"TAB4",#N/A,TRUE,"GENERAL";"TAB5",#N/A,TRUE,"GENERAL"}</definedName>
    <definedName name="_m7" localSheetId="19">{"TAB1",#N/A,TRUE,"GENERAL";"TAB2",#N/A,TRUE,"GENERAL";"TAB3",#N/A,TRUE,"GENERAL";"TAB4",#N/A,TRUE,"GENERAL";"TAB5",#N/A,TRUE,"GENERAL"}</definedName>
    <definedName name="_m7" localSheetId="28">{"TAB1",#N/A,TRUE,"GENERAL";"TAB2",#N/A,TRUE,"GENERAL";"TAB3",#N/A,TRUE,"GENERAL";"TAB4",#N/A,TRUE,"GENERAL";"TAB5",#N/A,TRUE,"GENERAL"}</definedName>
    <definedName name="_m7" localSheetId="29">{"TAB1",#N/A,TRUE,"GENERAL";"TAB2",#N/A,TRUE,"GENERAL";"TAB3",#N/A,TRUE,"GENERAL";"TAB4",#N/A,TRUE,"GENERAL";"TAB5",#N/A,TRUE,"GENERAL"}</definedName>
    <definedName name="_m7">{"TAB1",#N/A,TRUE,"GENERAL";"TAB2",#N/A,TRUE,"GENERAL";"TAB3",#N/A,TRUE,"GENERAL";"TAB4",#N/A,TRUE,"GENERAL";"TAB5",#N/A,TRUE,"GENERAL"}</definedName>
    <definedName name="_m8" localSheetId="39">{"via1",#N/A,TRUE,"general";"via2",#N/A,TRUE,"general";"via3",#N/A,TRUE,"general"}</definedName>
    <definedName name="_m8" localSheetId="20">{"via1",#N/A,TRUE,"general";"via2",#N/A,TRUE,"general";"via3",#N/A,TRUE,"general"}</definedName>
    <definedName name="_m8" localSheetId="21">{"via1",#N/A,TRUE,"general";"via2",#N/A,TRUE,"general";"via3",#N/A,TRUE,"general"}</definedName>
    <definedName name="_m8" localSheetId="9">{"via1",#N/A,TRUE,"general";"via2",#N/A,TRUE,"general";"via3",#N/A,TRUE,"general"}</definedName>
    <definedName name="_m8" localSheetId="19">{"via1",#N/A,TRUE,"general";"via2",#N/A,TRUE,"general";"via3",#N/A,TRUE,"general"}</definedName>
    <definedName name="_m8" localSheetId="28">{"via1",#N/A,TRUE,"general";"via2",#N/A,TRUE,"general";"via3",#N/A,TRUE,"general"}</definedName>
    <definedName name="_m8" localSheetId="29">{"via1",#N/A,TRUE,"general";"via2",#N/A,TRUE,"general";"via3",#N/A,TRUE,"general"}</definedName>
    <definedName name="_m8">{"via1",#N/A,TRUE,"general";"via2",#N/A,TRUE,"general";"via3",#N/A,TRUE,"general"}</definedName>
    <definedName name="_m9" localSheetId="39">{"via1",#N/A,TRUE,"general";"via2",#N/A,TRUE,"general";"via3",#N/A,TRUE,"general"}</definedName>
    <definedName name="_m9" localSheetId="20">{"via1",#N/A,TRUE,"general";"via2",#N/A,TRUE,"general";"via3",#N/A,TRUE,"general"}</definedName>
    <definedName name="_m9" localSheetId="21">{"via1",#N/A,TRUE,"general";"via2",#N/A,TRUE,"general";"via3",#N/A,TRUE,"general"}</definedName>
    <definedName name="_m9" localSheetId="9">{"via1",#N/A,TRUE,"general";"via2",#N/A,TRUE,"general";"via3",#N/A,TRUE,"general"}</definedName>
    <definedName name="_m9" localSheetId="19">{"via1",#N/A,TRUE,"general";"via2",#N/A,TRUE,"general";"via3",#N/A,TRUE,"general"}</definedName>
    <definedName name="_m9" localSheetId="28">{"via1",#N/A,TRUE,"general";"via2",#N/A,TRUE,"general";"via3",#N/A,TRUE,"general"}</definedName>
    <definedName name="_m9" localSheetId="29">{"via1",#N/A,TRUE,"general";"via2",#N/A,TRUE,"general";"via3",#N/A,TRUE,"general"}</definedName>
    <definedName name="_m9">{"via1",#N/A,TRUE,"general";"via2",#N/A,TRUE,"general";"via3",#N/A,TRUE,"general"}</definedName>
    <definedName name="_MA2" localSheetId="9">#REF!</definedName>
    <definedName name="_MA2" localSheetId="17">#REF!</definedName>
    <definedName name="_MA2" localSheetId="18">#REF!</definedName>
    <definedName name="_MA2" localSheetId="12">#REF!</definedName>
    <definedName name="_MA2">#REF!</definedName>
    <definedName name="_MAR01">#REF!</definedName>
    <definedName name="_MDC2" localSheetId="9">#REF!</definedName>
    <definedName name="_MDC2">#REF!</definedName>
    <definedName name="_min2">#REF!</definedName>
    <definedName name="_mor15">#REF!</definedName>
    <definedName name="_MSC1">#REF!</definedName>
    <definedName name="_Mux1">[19]CALCULO!$B$19</definedName>
    <definedName name="_Mux2">[19]CALCULO!$E$19</definedName>
    <definedName name="_Mux3">[19]CALCULO!$H$19</definedName>
    <definedName name="_Muy1">[19]CALCULO!$B$20</definedName>
    <definedName name="_Muy2">[19]CALCULO!$E$20</definedName>
    <definedName name="_Muy3">[19]CALCULO!$H$20</definedName>
    <definedName name="_n3" localSheetId="39">{"TAB1",#N/A,TRUE,"GENERAL";"TAB2",#N/A,TRUE,"GENERAL";"TAB3",#N/A,TRUE,"GENERAL";"TAB4",#N/A,TRUE,"GENERAL";"TAB5",#N/A,TRUE,"GENERAL"}</definedName>
    <definedName name="_n3" localSheetId="20">{"TAB1",#N/A,TRUE,"GENERAL";"TAB2",#N/A,TRUE,"GENERAL";"TAB3",#N/A,TRUE,"GENERAL";"TAB4",#N/A,TRUE,"GENERAL";"TAB5",#N/A,TRUE,"GENERAL"}</definedName>
    <definedName name="_n3" localSheetId="21">{"TAB1",#N/A,TRUE,"GENERAL";"TAB2",#N/A,TRUE,"GENERAL";"TAB3",#N/A,TRUE,"GENERAL";"TAB4",#N/A,TRUE,"GENERAL";"TAB5",#N/A,TRUE,"GENERAL"}</definedName>
    <definedName name="_n3" localSheetId="9">{"TAB1",#N/A,TRUE,"GENERAL";"TAB2",#N/A,TRUE,"GENERAL";"TAB3",#N/A,TRUE,"GENERAL";"TAB4",#N/A,TRUE,"GENERAL";"TAB5",#N/A,TRUE,"GENERAL"}</definedName>
    <definedName name="_n3" localSheetId="19">{"TAB1",#N/A,TRUE,"GENERAL";"TAB2",#N/A,TRUE,"GENERAL";"TAB3",#N/A,TRUE,"GENERAL";"TAB4",#N/A,TRUE,"GENERAL";"TAB5",#N/A,TRUE,"GENERAL"}</definedName>
    <definedName name="_n3" localSheetId="28">{"TAB1",#N/A,TRUE,"GENERAL";"TAB2",#N/A,TRUE,"GENERAL";"TAB3",#N/A,TRUE,"GENERAL";"TAB4",#N/A,TRUE,"GENERAL";"TAB5",#N/A,TRUE,"GENERAL"}</definedName>
    <definedName name="_n3" localSheetId="29">{"TAB1",#N/A,TRUE,"GENERAL";"TAB2",#N/A,TRUE,"GENERAL";"TAB3",#N/A,TRUE,"GENERAL";"TAB4",#N/A,TRUE,"GENERAL";"TAB5",#N/A,TRUE,"GENERAL"}</definedName>
    <definedName name="_n3">{"TAB1",#N/A,TRUE,"GENERAL";"TAB2",#N/A,TRUE,"GENERAL";"TAB3",#N/A,TRUE,"GENERAL";"TAB4",#N/A,TRUE,"GENERAL";"TAB5",#N/A,TRUE,"GENERAL"}</definedName>
    <definedName name="_n4" localSheetId="39">{"via1",#N/A,TRUE,"general";"via2",#N/A,TRUE,"general";"via3",#N/A,TRUE,"general"}</definedName>
    <definedName name="_n4" localSheetId="20">{"via1",#N/A,TRUE,"general";"via2",#N/A,TRUE,"general";"via3",#N/A,TRUE,"general"}</definedName>
    <definedName name="_n4" localSheetId="21">{"via1",#N/A,TRUE,"general";"via2",#N/A,TRUE,"general";"via3",#N/A,TRUE,"general"}</definedName>
    <definedName name="_n4" localSheetId="9">{"via1",#N/A,TRUE,"general";"via2",#N/A,TRUE,"general";"via3",#N/A,TRUE,"general"}</definedName>
    <definedName name="_n4" localSheetId="19">{"via1",#N/A,TRUE,"general";"via2",#N/A,TRUE,"general";"via3",#N/A,TRUE,"general"}</definedName>
    <definedName name="_n4" localSheetId="28">{"via1",#N/A,TRUE,"general";"via2",#N/A,TRUE,"general";"via3",#N/A,TRUE,"general"}</definedName>
    <definedName name="_n4" localSheetId="29">{"via1",#N/A,TRUE,"general";"via2",#N/A,TRUE,"general";"via3",#N/A,TRUE,"general"}</definedName>
    <definedName name="_n4">{"via1",#N/A,TRUE,"general";"via2",#N/A,TRUE,"general";"via3",#N/A,TRUE,"general"}</definedName>
    <definedName name="_n5" localSheetId="39">{"TAB1",#N/A,TRUE,"GENERAL";"TAB2",#N/A,TRUE,"GENERAL";"TAB3",#N/A,TRUE,"GENERAL";"TAB4",#N/A,TRUE,"GENERAL";"TAB5",#N/A,TRUE,"GENERAL"}</definedName>
    <definedName name="_n5" localSheetId="20">{"TAB1",#N/A,TRUE,"GENERAL";"TAB2",#N/A,TRUE,"GENERAL";"TAB3",#N/A,TRUE,"GENERAL";"TAB4",#N/A,TRUE,"GENERAL";"TAB5",#N/A,TRUE,"GENERAL"}</definedName>
    <definedName name="_n5" localSheetId="21">{"TAB1",#N/A,TRUE,"GENERAL";"TAB2",#N/A,TRUE,"GENERAL";"TAB3",#N/A,TRUE,"GENERAL";"TAB4",#N/A,TRUE,"GENERAL";"TAB5",#N/A,TRUE,"GENERAL"}</definedName>
    <definedName name="_n5" localSheetId="9">{"TAB1",#N/A,TRUE,"GENERAL";"TAB2",#N/A,TRUE,"GENERAL";"TAB3",#N/A,TRUE,"GENERAL";"TAB4",#N/A,TRUE,"GENERAL";"TAB5",#N/A,TRUE,"GENERAL"}</definedName>
    <definedName name="_n5" localSheetId="19">{"TAB1",#N/A,TRUE,"GENERAL";"TAB2",#N/A,TRUE,"GENERAL";"TAB3",#N/A,TRUE,"GENERAL";"TAB4",#N/A,TRUE,"GENERAL";"TAB5",#N/A,TRUE,"GENERAL"}</definedName>
    <definedName name="_n5" localSheetId="28">{"TAB1",#N/A,TRUE,"GENERAL";"TAB2",#N/A,TRUE,"GENERAL";"TAB3",#N/A,TRUE,"GENERAL";"TAB4",#N/A,TRUE,"GENERAL";"TAB5",#N/A,TRUE,"GENERAL"}</definedName>
    <definedName name="_n5" localSheetId="29">{"TAB1",#N/A,TRUE,"GENERAL";"TAB2",#N/A,TRUE,"GENERAL";"TAB3",#N/A,TRUE,"GENERAL";"TAB4",#N/A,TRUE,"GENERAL";"TAB5",#N/A,TRUE,"GENERAL"}</definedName>
    <definedName name="_n5">{"TAB1",#N/A,TRUE,"GENERAL";"TAB2",#N/A,TRUE,"GENERAL";"TAB3",#N/A,TRUE,"GENERAL";"TAB4",#N/A,TRUE,"GENERAL";"TAB5",#N/A,TRUE,"GENERAL"}</definedName>
    <definedName name="_Nac2002" localSheetId="10">#REF!</definedName>
    <definedName name="_Nac2002" localSheetId="20">#REF!</definedName>
    <definedName name="_Nac2002" localSheetId="21">#REF!</definedName>
    <definedName name="_Nac2002" localSheetId="17">#REF!</definedName>
    <definedName name="_Nac2002" localSheetId="18">#REF!</definedName>
    <definedName name="_Nac2002" localSheetId="12">#REF!</definedName>
    <definedName name="_Nac2002">#REF!</definedName>
    <definedName name="_Nac2003" localSheetId="10">#REF!</definedName>
    <definedName name="_Nac2003" localSheetId="20">#REF!</definedName>
    <definedName name="_Nac2003" localSheetId="21">#REF!</definedName>
    <definedName name="_Nac2003">#REF!</definedName>
    <definedName name="_Nal2002" localSheetId="10">#REF!</definedName>
    <definedName name="_Nal2002" localSheetId="20">#REF!</definedName>
    <definedName name="_Nal2002" localSheetId="21">#REF!</definedName>
    <definedName name="_Nal2002">#REF!</definedName>
    <definedName name="_Nal2003" localSheetId="10">#REF!</definedName>
    <definedName name="_Nal2003" localSheetId="20">#REF!</definedName>
    <definedName name="_Nal2003" localSheetId="21">#REF!</definedName>
    <definedName name="_Nal2003">#REF!</definedName>
    <definedName name="_NNN206" localSheetId="28">[7]MAT!#REF!</definedName>
    <definedName name="_NNN206" localSheetId="29">[7]MAT!#REF!</definedName>
    <definedName name="_NNN206">[8]MAT!#REF!</definedName>
    <definedName name="_NNN208" localSheetId="28">[7]MAT!#REF!</definedName>
    <definedName name="_NNN208" localSheetId="29">[7]MAT!#REF!</definedName>
    <definedName name="_NNN208">[8]MAT!#REF!</definedName>
    <definedName name="_noa2">#REF!</definedName>
    <definedName name="_nyn7" localSheetId="39">{"via1",#N/A,TRUE,"general";"via2",#N/A,TRUE,"general";"via3",#N/A,TRUE,"general"}</definedName>
    <definedName name="_nyn7" localSheetId="20">{"via1",#N/A,TRUE,"general";"via2",#N/A,TRUE,"general";"via3",#N/A,TRUE,"general"}</definedName>
    <definedName name="_nyn7" localSheetId="21">{"via1",#N/A,TRUE,"general";"via2",#N/A,TRUE,"general";"via3",#N/A,TRUE,"general"}</definedName>
    <definedName name="_nyn7" localSheetId="9">{"via1",#N/A,TRUE,"general";"via2",#N/A,TRUE,"general";"via3",#N/A,TRUE,"general"}</definedName>
    <definedName name="_nyn7" localSheetId="19">{"via1",#N/A,TRUE,"general";"via2",#N/A,TRUE,"general";"via3",#N/A,TRUE,"general"}</definedName>
    <definedName name="_nyn7" localSheetId="28">{"via1",#N/A,TRUE,"general";"via2",#N/A,TRUE,"general";"via3",#N/A,TRUE,"general"}</definedName>
    <definedName name="_nyn7" localSheetId="29">{"via1",#N/A,TRUE,"general";"via2",#N/A,TRUE,"general";"via3",#N/A,TRUE,"general"}</definedName>
    <definedName name="_nyn7">{"via1",#N/A,TRUE,"general";"via2",#N/A,TRUE,"general";"via3",#N/A,TRUE,"general"}</definedName>
    <definedName name="_O">'[25]OPS&amp;OMS'!$I$14</definedName>
    <definedName name="_o4" localSheetId="39">{"via1",#N/A,TRUE,"general";"via2",#N/A,TRUE,"general";"via3",#N/A,TRUE,"general"}</definedName>
    <definedName name="_o4" localSheetId="20">{"via1",#N/A,TRUE,"general";"via2",#N/A,TRUE,"general";"via3",#N/A,TRUE,"general"}</definedName>
    <definedName name="_o4" localSheetId="21">{"via1",#N/A,TRUE,"general";"via2",#N/A,TRUE,"general";"via3",#N/A,TRUE,"general"}</definedName>
    <definedName name="_o4" localSheetId="9">{"via1",#N/A,TRUE,"general";"via2",#N/A,TRUE,"general";"via3",#N/A,TRUE,"general"}</definedName>
    <definedName name="_o4" localSheetId="19">{"via1",#N/A,TRUE,"general";"via2",#N/A,TRUE,"general";"via3",#N/A,TRUE,"general"}</definedName>
    <definedName name="_o4" localSheetId="28">{"via1",#N/A,TRUE,"general";"via2",#N/A,TRUE,"general";"via3",#N/A,TRUE,"general"}</definedName>
    <definedName name="_o4" localSheetId="29">{"via1",#N/A,TRUE,"general";"via2",#N/A,TRUE,"general";"via3",#N/A,TRUE,"general"}</definedName>
    <definedName name="_o4">{"via1",#N/A,TRUE,"general";"via2",#N/A,TRUE,"general";"via3",#N/A,TRUE,"general"}</definedName>
    <definedName name="_o5" localSheetId="39">{"TAB1",#N/A,TRUE,"GENERAL";"TAB2",#N/A,TRUE,"GENERAL";"TAB3",#N/A,TRUE,"GENERAL";"TAB4",#N/A,TRUE,"GENERAL";"TAB5",#N/A,TRUE,"GENERAL"}</definedName>
    <definedName name="_o5" localSheetId="20">{"TAB1",#N/A,TRUE,"GENERAL";"TAB2",#N/A,TRUE,"GENERAL";"TAB3",#N/A,TRUE,"GENERAL";"TAB4",#N/A,TRUE,"GENERAL";"TAB5",#N/A,TRUE,"GENERAL"}</definedName>
    <definedName name="_o5" localSheetId="21">{"TAB1",#N/A,TRUE,"GENERAL";"TAB2",#N/A,TRUE,"GENERAL";"TAB3",#N/A,TRUE,"GENERAL";"TAB4",#N/A,TRUE,"GENERAL";"TAB5",#N/A,TRUE,"GENERAL"}</definedName>
    <definedName name="_o5" localSheetId="9">{"TAB1",#N/A,TRUE,"GENERAL";"TAB2",#N/A,TRUE,"GENERAL";"TAB3",#N/A,TRUE,"GENERAL";"TAB4",#N/A,TRUE,"GENERAL";"TAB5",#N/A,TRUE,"GENERAL"}</definedName>
    <definedName name="_o5" localSheetId="19">{"TAB1",#N/A,TRUE,"GENERAL";"TAB2",#N/A,TRUE,"GENERAL";"TAB3",#N/A,TRUE,"GENERAL";"TAB4",#N/A,TRUE,"GENERAL";"TAB5",#N/A,TRUE,"GENERAL"}</definedName>
    <definedName name="_o5" localSheetId="28">{"TAB1",#N/A,TRUE,"GENERAL";"TAB2",#N/A,TRUE,"GENERAL";"TAB3",#N/A,TRUE,"GENERAL";"TAB4",#N/A,TRUE,"GENERAL";"TAB5",#N/A,TRUE,"GENERAL"}</definedName>
    <definedName name="_o5" localSheetId="29">{"TAB1",#N/A,TRUE,"GENERAL";"TAB2",#N/A,TRUE,"GENERAL";"TAB3",#N/A,TRUE,"GENERAL";"TAB4",#N/A,TRUE,"GENERAL";"TAB5",#N/A,TRUE,"GENERAL"}</definedName>
    <definedName name="_o5">{"TAB1",#N/A,TRUE,"GENERAL";"TAB2",#N/A,TRUE,"GENERAL";"TAB3",#N/A,TRUE,"GENERAL";"TAB4",#N/A,TRUE,"GENERAL";"TAB5",#N/A,TRUE,"GENERAL"}</definedName>
    <definedName name="_o6" localSheetId="39">{"TAB1",#N/A,TRUE,"GENERAL";"TAB2",#N/A,TRUE,"GENERAL";"TAB3",#N/A,TRUE,"GENERAL";"TAB4",#N/A,TRUE,"GENERAL";"TAB5",#N/A,TRUE,"GENERAL"}</definedName>
    <definedName name="_o6" localSheetId="20">{"TAB1",#N/A,TRUE,"GENERAL";"TAB2",#N/A,TRUE,"GENERAL";"TAB3",#N/A,TRUE,"GENERAL";"TAB4",#N/A,TRUE,"GENERAL";"TAB5",#N/A,TRUE,"GENERAL"}</definedName>
    <definedName name="_o6" localSheetId="21">{"TAB1",#N/A,TRUE,"GENERAL";"TAB2",#N/A,TRUE,"GENERAL";"TAB3",#N/A,TRUE,"GENERAL";"TAB4",#N/A,TRUE,"GENERAL";"TAB5",#N/A,TRUE,"GENERAL"}</definedName>
    <definedName name="_o6" localSheetId="9">{"TAB1",#N/A,TRUE,"GENERAL";"TAB2",#N/A,TRUE,"GENERAL";"TAB3",#N/A,TRUE,"GENERAL";"TAB4",#N/A,TRUE,"GENERAL";"TAB5",#N/A,TRUE,"GENERAL"}</definedName>
    <definedName name="_o6" localSheetId="19">{"TAB1",#N/A,TRUE,"GENERAL";"TAB2",#N/A,TRUE,"GENERAL";"TAB3",#N/A,TRUE,"GENERAL";"TAB4",#N/A,TRUE,"GENERAL";"TAB5",#N/A,TRUE,"GENERAL"}</definedName>
    <definedName name="_o6" localSheetId="28">{"TAB1",#N/A,TRUE,"GENERAL";"TAB2",#N/A,TRUE,"GENERAL";"TAB3",#N/A,TRUE,"GENERAL";"TAB4",#N/A,TRUE,"GENERAL";"TAB5",#N/A,TRUE,"GENERAL"}</definedName>
    <definedName name="_o6" localSheetId="29">{"TAB1",#N/A,TRUE,"GENERAL";"TAB2",#N/A,TRUE,"GENERAL";"TAB3",#N/A,TRUE,"GENERAL";"TAB4",#N/A,TRUE,"GENERAL";"TAB5",#N/A,TRUE,"GENERAL"}</definedName>
    <definedName name="_o6">{"TAB1",#N/A,TRUE,"GENERAL";"TAB2",#N/A,TRUE,"GENERAL";"TAB3",#N/A,TRUE,"GENERAL";"TAB4",#N/A,TRUE,"GENERAL";"TAB5",#N/A,TRUE,"GENERAL"}</definedName>
    <definedName name="_o7" localSheetId="39">{"TAB1",#N/A,TRUE,"GENERAL";"TAB2",#N/A,TRUE,"GENERAL";"TAB3",#N/A,TRUE,"GENERAL";"TAB4",#N/A,TRUE,"GENERAL";"TAB5",#N/A,TRUE,"GENERAL"}</definedName>
    <definedName name="_o7" localSheetId="20">{"TAB1",#N/A,TRUE,"GENERAL";"TAB2",#N/A,TRUE,"GENERAL";"TAB3",#N/A,TRUE,"GENERAL";"TAB4",#N/A,TRUE,"GENERAL";"TAB5",#N/A,TRUE,"GENERAL"}</definedName>
    <definedName name="_o7" localSheetId="21">{"TAB1",#N/A,TRUE,"GENERAL";"TAB2",#N/A,TRUE,"GENERAL";"TAB3",#N/A,TRUE,"GENERAL";"TAB4",#N/A,TRUE,"GENERAL";"TAB5",#N/A,TRUE,"GENERAL"}</definedName>
    <definedName name="_o7" localSheetId="9">{"TAB1",#N/A,TRUE,"GENERAL";"TAB2",#N/A,TRUE,"GENERAL";"TAB3",#N/A,TRUE,"GENERAL";"TAB4",#N/A,TRUE,"GENERAL";"TAB5",#N/A,TRUE,"GENERAL"}</definedName>
    <definedName name="_o7" localSheetId="19">{"TAB1",#N/A,TRUE,"GENERAL";"TAB2",#N/A,TRUE,"GENERAL";"TAB3",#N/A,TRUE,"GENERAL";"TAB4",#N/A,TRUE,"GENERAL";"TAB5",#N/A,TRUE,"GENERAL"}</definedName>
    <definedName name="_o7" localSheetId="28">{"TAB1",#N/A,TRUE,"GENERAL";"TAB2",#N/A,TRUE,"GENERAL";"TAB3",#N/A,TRUE,"GENERAL";"TAB4",#N/A,TRUE,"GENERAL";"TAB5",#N/A,TRUE,"GENERAL"}</definedName>
    <definedName name="_o7" localSheetId="29">{"TAB1",#N/A,TRUE,"GENERAL";"TAB2",#N/A,TRUE,"GENERAL";"TAB3",#N/A,TRUE,"GENERAL";"TAB4",#N/A,TRUE,"GENERAL";"TAB5",#N/A,TRUE,"GENERAL"}</definedName>
    <definedName name="_o7">{"TAB1",#N/A,TRUE,"GENERAL";"TAB2",#N/A,TRUE,"GENERAL";"TAB3",#N/A,TRUE,"GENERAL";"TAB4",#N/A,TRUE,"GENERAL";"TAB5",#N/A,TRUE,"GENERAL"}</definedName>
    <definedName name="_o8" localSheetId="39">{"via1",#N/A,TRUE,"general";"via2",#N/A,TRUE,"general";"via3",#N/A,TRUE,"general"}</definedName>
    <definedName name="_o8" localSheetId="20">{"via1",#N/A,TRUE,"general";"via2",#N/A,TRUE,"general";"via3",#N/A,TRUE,"general"}</definedName>
    <definedName name="_o8" localSheetId="21">{"via1",#N/A,TRUE,"general";"via2",#N/A,TRUE,"general";"via3",#N/A,TRUE,"general"}</definedName>
    <definedName name="_o8" localSheetId="9">{"via1",#N/A,TRUE,"general";"via2",#N/A,TRUE,"general";"via3",#N/A,TRUE,"general"}</definedName>
    <definedName name="_o8" localSheetId="19">{"via1",#N/A,TRUE,"general";"via2",#N/A,TRUE,"general";"via3",#N/A,TRUE,"general"}</definedName>
    <definedName name="_o8" localSheetId="28">{"via1",#N/A,TRUE,"general";"via2",#N/A,TRUE,"general";"via3",#N/A,TRUE,"general"}</definedName>
    <definedName name="_o8" localSheetId="29">{"via1",#N/A,TRUE,"general";"via2",#N/A,TRUE,"general";"via3",#N/A,TRUE,"general"}</definedName>
    <definedName name="_o8">{"via1",#N/A,TRUE,"general";"via2",#N/A,TRUE,"general";"via3",#N/A,TRUE,"general"}</definedName>
    <definedName name="_o9" localSheetId="39">{"TAB1",#N/A,TRUE,"GENERAL";"TAB2",#N/A,TRUE,"GENERAL";"TAB3",#N/A,TRUE,"GENERAL";"TAB4",#N/A,TRUE,"GENERAL";"TAB5",#N/A,TRUE,"GENERAL"}</definedName>
    <definedName name="_o9" localSheetId="20">{"TAB1",#N/A,TRUE,"GENERAL";"TAB2",#N/A,TRUE,"GENERAL";"TAB3",#N/A,TRUE,"GENERAL";"TAB4",#N/A,TRUE,"GENERAL";"TAB5",#N/A,TRUE,"GENERAL"}</definedName>
    <definedName name="_o9" localSheetId="21">{"TAB1",#N/A,TRUE,"GENERAL";"TAB2",#N/A,TRUE,"GENERAL";"TAB3",#N/A,TRUE,"GENERAL";"TAB4",#N/A,TRUE,"GENERAL";"TAB5",#N/A,TRUE,"GENERAL"}</definedName>
    <definedName name="_o9" localSheetId="9">{"TAB1",#N/A,TRUE,"GENERAL";"TAB2",#N/A,TRUE,"GENERAL";"TAB3",#N/A,TRUE,"GENERAL";"TAB4",#N/A,TRUE,"GENERAL";"TAB5",#N/A,TRUE,"GENERAL"}</definedName>
    <definedName name="_o9" localSheetId="19">{"TAB1",#N/A,TRUE,"GENERAL";"TAB2",#N/A,TRUE,"GENERAL";"TAB3",#N/A,TRUE,"GENERAL";"TAB4",#N/A,TRUE,"GENERAL";"TAB5",#N/A,TRUE,"GENERAL"}</definedName>
    <definedName name="_o9" localSheetId="28">{"TAB1",#N/A,TRUE,"GENERAL";"TAB2",#N/A,TRUE,"GENERAL";"TAB3",#N/A,TRUE,"GENERAL";"TAB4",#N/A,TRUE,"GENERAL";"TAB5",#N/A,TRUE,"GENERAL"}</definedName>
    <definedName name="_o9" localSheetId="29">{"TAB1",#N/A,TRUE,"GENERAL";"TAB2",#N/A,TRUE,"GENERAL";"TAB3",#N/A,TRUE,"GENERAL";"TAB4",#N/A,TRUE,"GENERAL";"TAB5",#N/A,TRUE,"GENERAL"}</definedName>
    <definedName name="_o9">{"TAB1",#N/A,TRUE,"GENERAL";"TAB2",#N/A,TRUE,"GENERAL";"TAB3",#N/A,TRUE,"GENERAL";"TAB4",#N/A,TRUE,"GENERAL";"TAB5",#N/A,TRUE,"GENERAL"}</definedName>
    <definedName name="_Order1" hidden="1">0</definedName>
    <definedName name="_Order2" hidden="1">0</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'[25]OPS&amp;OMS'!$I$7</definedName>
    <definedName name="_p6" localSheetId="39">{"via1",#N/A,TRUE,"general";"via2",#N/A,TRUE,"general";"via3",#N/A,TRUE,"general"}</definedName>
    <definedName name="_p6" localSheetId="20">{"via1",#N/A,TRUE,"general";"via2",#N/A,TRUE,"general";"via3",#N/A,TRUE,"general"}</definedName>
    <definedName name="_p6" localSheetId="21">{"via1",#N/A,TRUE,"general";"via2",#N/A,TRUE,"general";"via3",#N/A,TRUE,"general"}</definedName>
    <definedName name="_p6" localSheetId="9">{"via1",#N/A,TRUE,"general";"via2",#N/A,TRUE,"general";"via3",#N/A,TRUE,"general"}</definedName>
    <definedName name="_p6" localSheetId="19">{"via1",#N/A,TRUE,"general";"via2",#N/A,TRUE,"general";"via3",#N/A,TRUE,"general"}</definedName>
    <definedName name="_p6" localSheetId="28">{"via1",#N/A,TRUE,"general";"via2",#N/A,TRUE,"general";"via3",#N/A,TRUE,"general"}</definedName>
    <definedName name="_p6" localSheetId="29">{"via1",#N/A,TRUE,"general";"via2",#N/A,TRUE,"general";"via3",#N/A,TRUE,"general"}</definedName>
    <definedName name="_p6">{"via1",#N/A,TRUE,"general";"via2",#N/A,TRUE,"general";"via3",#N/A,TRUE,"general"}</definedName>
    <definedName name="_p7" localSheetId="39">{"via1",#N/A,TRUE,"general";"via2",#N/A,TRUE,"general";"via3",#N/A,TRUE,"general"}</definedName>
    <definedName name="_p7" localSheetId="20">{"via1",#N/A,TRUE,"general";"via2",#N/A,TRUE,"general";"via3",#N/A,TRUE,"general"}</definedName>
    <definedName name="_p7" localSheetId="21">{"via1",#N/A,TRUE,"general";"via2",#N/A,TRUE,"general";"via3",#N/A,TRUE,"general"}</definedName>
    <definedName name="_p7" localSheetId="9">{"via1",#N/A,TRUE,"general";"via2",#N/A,TRUE,"general";"via3",#N/A,TRUE,"general"}</definedName>
    <definedName name="_p7" localSheetId="19">{"via1",#N/A,TRUE,"general";"via2",#N/A,TRUE,"general";"via3",#N/A,TRUE,"general"}</definedName>
    <definedName name="_p7" localSheetId="28">{"via1",#N/A,TRUE,"general";"via2",#N/A,TRUE,"general";"via3",#N/A,TRUE,"general"}</definedName>
    <definedName name="_p7" localSheetId="29">{"via1",#N/A,TRUE,"general";"via2",#N/A,TRUE,"general";"via3",#N/A,TRUE,"general"}</definedName>
    <definedName name="_p7">{"via1",#N/A,TRUE,"general";"via2",#N/A,TRUE,"general";"via3",#N/A,TRUE,"general"}</definedName>
    <definedName name="_p8" localSheetId="39">{"TAB1",#N/A,TRUE,"GENERAL";"TAB2",#N/A,TRUE,"GENERAL";"TAB3",#N/A,TRUE,"GENERAL";"TAB4",#N/A,TRUE,"GENERAL";"TAB5",#N/A,TRUE,"GENERAL"}</definedName>
    <definedName name="_p8" localSheetId="20">{"TAB1",#N/A,TRUE,"GENERAL";"TAB2",#N/A,TRUE,"GENERAL";"TAB3",#N/A,TRUE,"GENERAL";"TAB4",#N/A,TRUE,"GENERAL";"TAB5",#N/A,TRUE,"GENERAL"}</definedName>
    <definedName name="_p8" localSheetId="21">{"TAB1",#N/A,TRUE,"GENERAL";"TAB2",#N/A,TRUE,"GENERAL";"TAB3",#N/A,TRUE,"GENERAL";"TAB4",#N/A,TRUE,"GENERAL";"TAB5",#N/A,TRUE,"GENERAL"}</definedName>
    <definedName name="_p8" localSheetId="9">{"TAB1",#N/A,TRUE,"GENERAL";"TAB2",#N/A,TRUE,"GENERAL";"TAB3",#N/A,TRUE,"GENERAL";"TAB4",#N/A,TRUE,"GENERAL";"TAB5",#N/A,TRUE,"GENERAL"}</definedName>
    <definedName name="_p8" localSheetId="19">{"TAB1",#N/A,TRUE,"GENERAL";"TAB2",#N/A,TRUE,"GENERAL";"TAB3",#N/A,TRUE,"GENERAL";"TAB4",#N/A,TRUE,"GENERAL";"TAB5",#N/A,TRUE,"GENERAL"}</definedName>
    <definedName name="_p8" localSheetId="28">{"TAB1",#N/A,TRUE,"GENERAL";"TAB2",#N/A,TRUE,"GENERAL";"TAB3",#N/A,TRUE,"GENERAL";"TAB4",#N/A,TRUE,"GENERAL";"TAB5",#N/A,TRUE,"GENERAL"}</definedName>
    <definedName name="_p8" localSheetId="29">{"TAB1",#N/A,TRUE,"GENERAL";"TAB2",#N/A,TRUE,"GENERAL";"TAB3",#N/A,TRUE,"GENERAL";"TAB4",#N/A,TRUE,"GENERAL";"TAB5",#N/A,TRUE,"GENERAL"}</definedName>
    <definedName name="_p8">{"TAB1",#N/A,TRUE,"GENERAL";"TAB2",#N/A,TRUE,"GENERAL";"TAB3",#N/A,TRUE,"GENERAL";"TAB4",#N/A,TRUE,"GENERAL";"TAB5",#N/A,TRUE,"GENERAL"}</definedName>
    <definedName name="_PAG1">'[25]OPS&amp;OMS'!$A$1:$D$26</definedName>
    <definedName name="_PAG2">'[25]OPS&amp;OMS'!$D$1:$E$68</definedName>
    <definedName name="_PAG3">'[25]OPS&amp;OMS'!$A$70:$D$115</definedName>
    <definedName name="_PAG4">'[25]OPS&amp;OMS'!$A$117:$IV$8194</definedName>
    <definedName name="_PAG5">'[25]OPS&amp;OMS'!$A$186:$D$236</definedName>
    <definedName name="_PJ50">#REF!</definedName>
    <definedName name="_pj51">#REF!</definedName>
    <definedName name="_pl1" localSheetId="9">'[26]Gabinetes ctrol, prot. y med. '!#REF!</definedName>
    <definedName name="_pl1">'[26]Gabinetes ctrol, prot. y med. '!#REF!</definedName>
    <definedName name="_pl2" localSheetId="9">'[26]Gabinetes ctrol, prot. y med. '!#REF!</definedName>
    <definedName name="_pl2">'[26]Gabinetes ctrol, prot. y med. '!#REF!</definedName>
    <definedName name="_PMT5671">[4]MEMORIAS!#REF!</definedName>
    <definedName name="_PMT5805">[4]MEMORIAS!#REF!</definedName>
    <definedName name="_PMT5806">[4]MEMORIAS!#REF!</definedName>
    <definedName name="_PMT5815">[4]MEMORIAS!#REF!</definedName>
    <definedName name="_PMT5820">[4]MEMORIAS!#REF!</definedName>
    <definedName name="_PRE1" localSheetId="39">#REF!</definedName>
    <definedName name="_PRE1" localSheetId="20">#REF!</definedName>
    <definedName name="_PRE1" localSheetId="21">#REF!</definedName>
    <definedName name="_PRE1" localSheetId="9">#REF!</definedName>
    <definedName name="_PRE1" localSheetId="19">#REF!</definedName>
    <definedName name="_PRE1">#REF!</definedName>
    <definedName name="_PRE12">#REF!</definedName>
    <definedName name="_Pu1">[19]CALCULO!$B$18</definedName>
    <definedName name="_Pu2">[19]CALCULO!$E$18</definedName>
    <definedName name="_Pu3">[19]CALCULO!$H$18</definedName>
    <definedName name="_r" localSheetId="39">{"TAB1",#N/A,TRUE,"GENERAL";"TAB2",#N/A,TRUE,"GENERAL";"TAB3",#N/A,TRUE,"GENERAL";"TAB4",#N/A,TRUE,"GENERAL";"TAB5",#N/A,TRUE,"GENERAL"}</definedName>
    <definedName name="_r" localSheetId="20">{"TAB1",#N/A,TRUE,"GENERAL";"TAB2",#N/A,TRUE,"GENERAL";"TAB3",#N/A,TRUE,"GENERAL";"TAB4",#N/A,TRUE,"GENERAL";"TAB5",#N/A,TRUE,"GENERAL"}</definedName>
    <definedName name="_r" localSheetId="21">{"TAB1",#N/A,TRUE,"GENERAL";"TAB2",#N/A,TRUE,"GENERAL";"TAB3",#N/A,TRUE,"GENERAL";"TAB4",#N/A,TRUE,"GENERAL";"TAB5",#N/A,TRUE,"GENERAL"}</definedName>
    <definedName name="_r" localSheetId="9">{"TAB1",#N/A,TRUE,"GENERAL";"TAB2",#N/A,TRUE,"GENERAL";"TAB3",#N/A,TRUE,"GENERAL";"TAB4",#N/A,TRUE,"GENERAL";"TAB5",#N/A,TRUE,"GENERAL"}</definedName>
    <definedName name="_r" localSheetId="19">{"TAB1",#N/A,TRUE,"GENERAL";"TAB2",#N/A,TRUE,"GENERAL";"TAB3",#N/A,TRUE,"GENERAL";"TAB4",#N/A,TRUE,"GENERAL";"TAB5",#N/A,TRUE,"GENERAL"}</definedName>
    <definedName name="_r" localSheetId="17">#REF!</definedName>
    <definedName name="_r" localSheetId="18">#REF!</definedName>
    <definedName name="_r" localSheetId="28">{"TAB1",#N/A,TRUE,"GENERAL";"TAB2",#N/A,TRUE,"GENERAL";"TAB3",#N/A,TRUE,"GENERAL";"TAB4",#N/A,TRUE,"GENERAL";"TAB5",#N/A,TRUE,"GENERAL"}</definedName>
    <definedName name="_r" localSheetId="29">{"TAB1",#N/A,TRUE,"GENERAL";"TAB2",#N/A,TRUE,"GENERAL";"TAB3",#N/A,TRUE,"GENERAL";"TAB4",#N/A,TRUE,"GENERAL";"TAB5",#N/A,TRUE,"GENERAL"}</definedName>
    <definedName name="_r" localSheetId="12">#REF!</definedName>
    <definedName name="_r">{"TAB1",#N/A,TRUE,"GENERAL";"TAB2",#N/A,TRUE,"GENERAL";"TAB3",#N/A,TRUE,"GENERAL";"TAB4",#N/A,TRUE,"GENERAL";"TAB5",#N/A,TRUE,"GENERAL"}</definedName>
    <definedName name="_r4r" localSheetId="39">{"via1",#N/A,TRUE,"general";"via2",#N/A,TRUE,"general";"via3",#N/A,TRUE,"general"}</definedName>
    <definedName name="_r4r" localSheetId="20">{"via1",#N/A,TRUE,"general";"via2",#N/A,TRUE,"general";"via3",#N/A,TRUE,"general"}</definedName>
    <definedName name="_r4r" localSheetId="21">{"via1",#N/A,TRUE,"general";"via2",#N/A,TRUE,"general";"via3",#N/A,TRUE,"general"}</definedName>
    <definedName name="_r4r" localSheetId="9">{"via1",#N/A,TRUE,"general";"via2",#N/A,TRUE,"general";"via3",#N/A,TRUE,"general"}</definedName>
    <definedName name="_r4r" localSheetId="19">{"via1",#N/A,TRUE,"general";"via2",#N/A,TRUE,"general";"via3",#N/A,TRUE,"general"}</definedName>
    <definedName name="_r4r" localSheetId="28">{"via1",#N/A,TRUE,"general";"via2",#N/A,TRUE,"general";"via3",#N/A,TRUE,"general"}</definedName>
    <definedName name="_r4r" localSheetId="29">{"via1",#N/A,TRUE,"general";"via2",#N/A,TRUE,"general";"via3",#N/A,TRUE,"general"}</definedName>
    <definedName name="_r4r">{"via1",#N/A,TRUE,"general";"via2",#N/A,TRUE,"general";"via3",#N/A,TRUE,"general"}</definedName>
    <definedName name="_Rc">#REF!</definedName>
    <definedName name="_Regression_Out" localSheetId="13" hidden="1">#REF!</definedName>
    <definedName name="_Regression_Out" localSheetId="17" hidden="1">#REF!</definedName>
    <definedName name="_Regression_Out" localSheetId="18" hidden="1">#REF!</definedName>
    <definedName name="_Regression_Out" localSheetId="12" hidden="1">#REF!</definedName>
    <definedName name="_Regression_Out" hidden="1">#REF!</definedName>
    <definedName name="_Regression_X" localSheetId="13" hidden="1">#REF!</definedName>
    <definedName name="_Regression_X" hidden="1">#REF!</definedName>
    <definedName name="_Regression_Y" localSheetId="13" hidden="1">#REF!</definedName>
    <definedName name="_Regression_Y" hidden="1">#REF!</definedName>
    <definedName name="_REWQ">#REF!</definedName>
    <definedName name="_rtu6" localSheetId="39">{"via1",#N/A,TRUE,"general";"via2",#N/A,TRUE,"general";"via3",#N/A,TRUE,"general"}</definedName>
    <definedName name="_rtu6" localSheetId="20">{"via1",#N/A,TRUE,"general";"via2",#N/A,TRUE,"general";"via3",#N/A,TRUE,"general"}</definedName>
    <definedName name="_rtu6" localSheetId="21">{"via1",#N/A,TRUE,"general";"via2",#N/A,TRUE,"general";"via3",#N/A,TRUE,"general"}</definedName>
    <definedName name="_rtu6" localSheetId="9">{"via1",#N/A,TRUE,"general";"via2",#N/A,TRUE,"general";"via3",#N/A,TRUE,"general"}</definedName>
    <definedName name="_rtu6" localSheetId="19">{"via1",#N/A,TRUE,"general";"via2",#N/A,TRUE,"general";"via3",#N/A,TRUE,"general"}</definedName>
    <definedName name="_rtu6" localSheetId="28">{"via1",#N/A,TRUE,"general";"via2",#N/A,TRUE,"general";"via3",#N/A,TRUE,"general"}</definedName>
    <definedName name="_rtu6" localSheetId="29">{"via1",#N/A,TRUE,"general";"via2",#N/A,TRUE,"general";"via3",#N/A,TRUE,"general"}</definedName>
    <definedName name="_rtu6">{"via1",#N/A,TRUE,"general";"via2",#N/A,TRUE,"general";"via3",#N/A,TRUE,"general"}</definedName>
    <definedName name="_s1" localSheetId="39">{"via1",#N/A,TRUE,"general";"via2",#N/A,TRUE,"general";"via3",#N/A,TRUE,"general"}</definedName>
    <definedName name="_s1" localSheetId="20">{"via1",#N/A,TRUE,"general";"via2",#N/A,TRUE,"general";"via3",#N/A,TRUE,"general"}</definedName>
    <definedName name="_s1" localSheetId="21">{"via1",#N/A,TRUE,"general";"via2",#N/A,TRUE,"general";"via3",#N/A,TRUE,"general"}</definedName>
    <definedName name="_s1" localSheetId="9">{"via1",#N/A,TRUE,"general";"via2",#N/A,TRUE,"general";"via3",#N/A,TRUE,"general"}</definedName>
    <definedName name="_s1" localSheetId="19">{"via1",#N/A,TRUE,"general";"via2",#N/A,TRUE,"general";"via3",#N/A,TRUE,"general"}</definedName>
    <definedName name="_s1" localSheetId="28">{"via1",#N/A,TRUE,"general";"via2",#N/A,TRUE,"general";"via3",#N/A,TRUE,"general"}</definedName>
    <definedName name="_s1" localSheetId="29">{"via1",#N/A,TRUE,"general";"via2",#N/A,TRUE,"general";"via3",#N/A,TRUE,"general"}</definedName>
    <definedName name="_s1">{"via1",#N/A,TRUE,"general";"via2",#N/A,TRUE,"general";"via3",#N/A,TRUE,"general"}</definedName>
    <definedName name="_s2" localSheetId="39">{"TAB1",#N/A,TRUE,"GENERAL";"TAB2",#N/A,TRUE,"GENERAL";"TAB3",#N/A,TRUE,"GENERAL";"TAB4",#N/A,TRUE,"GENERAL";"TAB5",#N/A,TRUE,"GENERAL"}</definedName>
    <definedName name="_s2" localSheetId="20">{"TAB1",#N/A,TRUE,"GENERAL";"TAB2",#N/A,TRUE,"GENERAL";"TAB3",#N/A,TRUE,"GENERAL";"TAB4",#N/A,TRUE,"GENERAL";"TAB5",#N/A,TRUE,"GENERAL"}</definedName>
    <definedName name="_s2" localSheetId="21">{"TAB1",#N/A,TRUE,"GENERAL";"TAB2",#N/A,TRUE,"GENERAL";"TAB3",#N/A,TRUE,"GENERAL";"TAB4",#N/A,TRUE,"GENERAL";"TAB5",#N/A,TRUE,"GENERAL"}</definedName>
    <definedName name="_s2" localSheetId="9">{"TAB1",#N/A,TRUE,"GENERAL";"TAB2",#N/A,TRUE,"GENERAL";"TAB3",#N/A,TRUE,"GENERAL";"TAB4",#N/A,TRUE,"GENERAL";"TAB5",#N/A,TRUE,"GENERAL"}</definedName>
    <definedName name="_s2" localSheetId="19">{"TAB1",#N/A,TRUE,"GENERAL";"TAB2",#N/A,TRUE,"GENERAL";"TAB3",#N/A,TRUE,"GENERAL";"TAB4",#N/A,TRUE,"GENERAL";"TAB5",#N/A,TRUE,"GENERAL"}</definedName>
    <definedName name="_s2" localSheetId="28">{"TAB1",#N/A,TRUE,"GENERAL";"TAB2",#N/A,TRUE,"GENERAL";"TAB3",#N/A,TRUE,"GENERAL";"TAB4",#N/A,TRUE,"GENERAL";"TAB5",#N/A,TRUE,"GENERAL"}</definedName>
    <definedName name="_s2" localSheetId="29">{"TAB1",#N/A,TRUE,"GENERAL";"TAB2",#N/A,TRUE,"GENERAL";"TAB3",#N/A,TRUE,"GENERAL";"TAB4",#N/A,TRUE,"GENERAL";"TAB5",#N/A,TRUE,"GENERAL"}</definedName>
    <definedName name="_s2">{"TAB1",#N/A,TRUE,"GENERAL";"TAB2",#N/A,TRUE,"GENERAL";"TAB3",#N/A,TRUE,"GENERAL";"TAB4",#N/A,TRUE,"GENERAL";"TAB5",#N/A,TRUE,"GENERAL"}</definedName>
    <definedName name="_s3" localSheetId="39">{"TAB1",#N/A,TRUE,"GENERAL";"TAB2",#N/A,TRUE,"GENERAL";"TAB3",#N/A,TRUE,"GENERAL";"TAB4",#N/A,TRUE,"GENERAL";"TAB5",#N/A,TRUE,"GENERAL"}</definedName>
    <definedName name="_s3" localSheetId="20">{"TAB1",#N/A,TRUE,"GENERAL";"TAB2",#N/A,TRUE,"GENERAL";"TAB3",#N/A,TRUE,"GENERAL";"TAB4",#N/A,TRUE,"GENERAL";"TAB5",#N/A,TRUE,"GENERAL"}</definedName>
    <definedName name="_s3" localSheetId="21">{"TAB1",#N/A,TRUE,"GENERAL";"TAB2",#N/A,TRUE,"GENERAL";"TAB3",#N/A,TRUE,"GENERAL";"TAB4",#N/A,TRUE,"GENERAL";"TAB5",#N/A,TRUE,"GENERAL"}</definedName>
    <definedName name="_s3" localSheetId="9">{"TAB1",#N/A,TRUE,"GENERAL";"TAB2",#N/A,TRUE,"GENERAL";"TAB3",#N/A,TRUE,"GENERAL";"TAB4",#N/A,TRUE,"GENERAL";"TAB5",#N/A,TRUE,"GENERAL"}</definedName>
    <definedName name="_s3" localSheetId="19">{"TAB1",#N/A,TRUE,"GENERAL";"TAB2",#N/A,TRUE,"GENERAL";"TAB3",#N/A,TRUE,"GENERAL";"TAB4",#N/A,TRUE,"GENERAL";"TAB5",#N/A,TRUE,"GENERAL"}</definedName>
    <definedName name="_s3" localSheetId="28">{"TAB1",#N/A,TRUE,"GENERAL";"TAB2",#N/A,TRUE,"GENERAL";"TAB3",#N/A,TRUE,"GENERAL";"TAB4",#N/A,TRUE,"GENERAL";"TAB5",#N/A,TRUE,"GENERAL"}</definedName>
    <definedName name="_s3" localSheetId="29">{"TAB1",#N/A,TRUE,"GENERAL";"TAB2",#N/A,TRUE,"GENERAL";"TAB3",#N/A,TRUE,"GENERAL";"TAB4",#N/A,TRUE,"GENERAL";"TAB5",#N/A,TRUE,"GENERAL"}</definedName>
    <definedName name="_s3">{"TAB1",#N/A,TRUE,"GENERAL";"TAB2",#N/A,TRUE,"GENERAL";"TAB3",#N/A,TRUE,"GENERAL";"TAB4",#N/A,TRUE,"GENERAL";"TAB5",#N/A,TRUE,"GENERAL"}</definedName>
    <definedName name="_s4" localSheetId="39">{"via1",#N/A,TRUE,"general";"via2",#N/A,TRUE,"general";"via3",#N/A,TRUE,"general"}</definedName>
    <definedName name="_s4" localSheetId="20">{"via1",#N/A,TRUE,"general";"via2",#N/A,TRUE,"general";"via3",#N/A,TRUE,"general"}</definedName>
    <definedName name="_s4" localSheetId="21">{"via1",#N/A,TRUE,"general";"via2",#N/A,TRUE,"general";"via3",#N/A,TRUE,"general"}</definedName>
    <definedName name="_s4" localSheetId="9">{"via1",#N/A,TRUE,"general";"via2",#N/A,TRUE,"general";"via3",#N/A,TRUE,"general"}</definedName>
    <definedName name="_s4" localSheetId="19">{"via1",#N/A,TRUE,"general";"via2",#N/A,TRUE,"general";"via3",#N/A,TRUE,"general"}</definedName>
    <definedName name="_s4" localSheetId="28">{"via1",#N/A,TRUE,"general";"via2",#N/A,TRUE,"general";"via3",#N/A,TRUE,"general"}</definedName>
    <definedName name="_s4" localSheetId="29">{"via1",#N/A,TRUE,"general";"via2",#N/A,TRUE,"general";"via3",#N/A,TRUE,"general"}</definedName>
    <definedName name="_s4">{"via1",#N/A,TRUE,"general";"via2",#N/A,TRUE,"general";"via3",#N/A,TRUE,"general"}</definedName>
    <definedName name="_s5" localSheetId="39">{"via1",#N/A,TRUE,"general";"via2",#N/A,TRUE,"general";"via3",#N/A,TRUE,"general"}</definedName>
    <definedName name="_s5" localSheetId="20">{"via1",#N/A,TRUE,"general";"via2",#N/A,TRUE,"general";"via3",#N/A,TRUE,"general"}</definedName>
    <definedName name="_s5" localSheetId="21">{"via1",#N/A,TRUE,"general";"via2",#N/A,TRUE,"general";"via3",#N/A,TRUE,"general"}</definedName>
    <definedName name="_s5" localSheetId="9">{"via1",#N/A,TRUE,"general";"via2",#N/A,TRUE,"general";"via3",#N/A,TRUE,"general"}</definedName>
    <definedName name="_s5" localSheetId="19">{"via1",#N/A,TRUE,"general";"via2",#N/A,TRUE,"general";"via3",#N/A,TRUE,"general"}</definedName>
    <definedName name="_s5" localSheetId="28">{"via1",#N/A,TRUE,"general";"via2",#N/A,TRUE,"general";"via3",#N/A,TRUE,"general"}</definedName>
    <definedName name="_s5" localSheetId="29">{"via1",#N/A,TRUE,"general";"via2",#N/A,TRUE,"general";"via3",#N/A,TRUE,"general"}</definedName>
    <definedName name="_s5">{"via1",#N/A,TRUE,"general";"via2",#N/A,TRUE,"general";"via3",#N/A,TRUE,"general"}</definedName>
    <definedName name="_s6" localSheetId="39">{"TAB1",#N/A,TRUE,"GENERAL";"TAB2",#N/A,TRUE,"GENERAL";"TAB3",#N/A,TRUE,"GENERAL";"TAB4",#N/A,TRUE,"GENERAL";"TAB5",#N/A,TRUE,"GENERAL"}</definedName>
    <definedName name="_s6" localSheetId="20">{"TAB1",#N/A,TRUE,"GENERAL";"TAB2",#N/A,TRUE,"GENERAL";"TAB3",#N/A,TRUE,"GENERAL";"TAB4",#N/A,TRUE,"GENERAL";"TAB5",#N/A,TRUE,"GENERAL"}</definedName>
    <definedName name="_s6" localSheetId="21">{"TAB1",#N/A,TRUE,"GENERAL";"TAB2",#N/A,TRUE,"GENERAL";"TAB3",#N/A,TRUE,"GENERAL";"TAB4",#N/A,TRUE,"GENERAL";"TAB5",#N/A,TRUE,"GENERAL"}</definedName>
    <definedName name="_s6" localSheetId="9">{"TAB1",#N/A,TRUE,"GENERAL";"TAB2",#N/A,TRUE,"GENERAL";"TAB3",#N/A,TRUE,"GENERAL";"TAB4",#N/A,TRUE,"GENERAL";"TAB5",#N/A,TRUE,"GENERAL"}</definedName>
    <definedName name="_s6" localSheetId="19">{"TAB1",#N/A,TRUE,"GENERAL";"TAB2",#N/A,TRUE,"GENERAL";"TAB3",#N/A,TRUE,"GENERAL";"TAB4",#N/A,TRUE,"GENERAL";"TAB5",#N/A,TRUE,"GENERAL"}</definedName>
    <definedName name="_s6" localSheetId="28">{"TAB1",#N/A,TRUE,"GENERAL";"TAB2",#N/A,TRUE,"GENERAL";"TAB3",#N/A,TRUE,"GENERAL";"TAB4",#N/A,TRUE,"GENERAL";"TAB5",#N/A,TRUE,"GENERAL"}</definedName>
    <definedName name="_s6" localSheetId="29">{"TAB1",#N/A,TRUE,"GENERAL";"TAB2",#N/A,TRUE,"GENERAL";"TAB3",#N/A,TRUE,"GENERAL";"TAB4",#N/A,TRUE,"GENERAL";"TAB5",#N/A,TRUE,"GENERAL"}</definedName>
    <definedName name="_s6">{"TAB1",#N/A,TRUE,"GENERAL";"TAB2",#N/A,TRUE,"GENERAL";"TAB3",#N/A,TRUE,"GENERAL";"TAB4",#N/A,TRUE,"GENERAL";"TAB5",#N/A,TRUE,"GENERAL"}</definedName>
    <definedName name="_s7" localSheetId="39">{"via1",#N/A,TRUE,"general";"via2",#N/A,TRUE,"general";"via3",#N/A,TRUE,"general"}</definedName>
    <definedName name="_s7" localSheetId="20">{"via1",#N/A,TRUE,"general";"via2",#N/A,TRUE,"general";"via3",#N/A,TRUE,"general"}</definedName>
    <definedName name="_s7" localSheetId="21">{"via1",#N/A,TRUE,"general";"via2",#N/A,TRUE,"general";"via3",#N/A,TRUE,"general"}</definedName>
    <definedName name="_s7" localSheetId="9">{"via1",#N/A,TRUE,"general";"via2",#N/A,TRUE,"general";"via3",#N/A,TRUE,"general"}</definedName>
    <definedName name="_s7" localSheetId="19">{"via1",#N/A,TRUE,"general";"via2",#N/A,TRUE,"general";"via3",#N/A,TRUE,"general"}</definedName>
    <definedName name="_s7" localSheetId="28">{"via1",#N/A,TRUE,"general";"via2",#N/A,TRUE,"general";"via3",#N/A,TRUE,"general"}</definedName>
    <definedName name="_s7" localSheetId="29">{"via1",#N/A,TRUE,"general";"via2",#N/A,TRUE,"general";"via3",#N/A,TRUE,"general"}</definedName>
    <definedName name="_s7">{"via1",#N/A,TRUE,"general";"via2",#N/A,TRUE,"general";"via3",#N/A,TRUE,"general"}</definedName>
    <definedName name="_SAL1">#REF!</definedName>
    <definedName name="_SBC1">[9]INV!$A$12:$D$15</definedName>
    <definedName name="_SBC3">[9]INV!$F$12:$I$15</definedName>
    <definedName name="_SBC5">[9]INV!$K$12:$N$15</definedName>
    <definedName name="_Sort" localSheetId="13" hidden="1">#REF!</definedName>
    <definedName name="_Sort" localSheetId="17" hidden="1">#REF!</definedName>
    <definedName name="_Sort" localSheetId="18" hidden="1">#REF!</definedName>
    <definedName name="_Sort" localSheetId="12" hidden="1">#REF!</definedName>
    <definedName name="_Sort" hidden="1">#REF!</definedName>
    <definedName name="_t3" localSheetId="39">{"TAB1",#N/A,TRUE,"GENERAL";"TAB2",#N/A,TRUE,"GENERAL";"TAB3",#N/A,TRUE,"GENERAL";"TAB4",#N/A,TRUE,"GENERAL";"TAB5",#N/A,TRUE,"GENERAL"}</definedName>
    <definedName name="_t3" localSheetId="20">{"TAB1",#N/A,TRUE,"GENERAL";"TAB2",#N/A,TRUE,"GENERAL";"TAB3",#N/A,TRUE,"GENERAL";"TAB4",#N/A,TRUE,"GENERAL";"TAB5",#N/A,TRUE,"GENERAL"}</definedName>
    <definedName name="_t3" localSheetId="21">{"TAB1",#N/A,TRUE,"GENERAL";"TAB2",#N/A,TRUE,"GENERAL";"TAB3",#N/A,TRUE,"GENERAL";"TAB4",#N/A,TRUE,"GENERAL";"TAB5",#N/A,TRUE,"GENERAL"}</definedName>
    <definedName name="_t3" localSheetId="9">{"TAB1",#N/A,TRUE,"GENERAL";"TAB2",#N/A,TRUE,"GENERAL";"TAB3",#N/A,TRUE,"GENERAL";"TAB4",#N/A,TRUE,"GENERAL";"TAB5",#N/A,TRUE,"GENERAL"}</definedName>
    <definedName name="_t3" localSheetId="19">{"TAB1",#N/A,TRUE,"GENERAL";"TAB2",#N/A,TRUE,"GENERAL";"TAB3",#N/A,TRUE,"GENERAL";"TAB4",#N/A,TRUE,"GENERAL";"TAB5",#N/A,TRUE,"GENERAL"}</definedName>
    <definedName name="_t3" localSheetId="28">{"TAB1",#N/A,TRUE,"GENERAL";"TAB2",#N/A,TRUE,"GENERAL";"TAB3",#N/A,TRUE,"GENERAL";"TAB4",#N/A,TRUE,"GENERAL";"TAB5",#N/A,TRUE,"GENERAL"}</definedName>
    <definedName name="_t3" localSheetId="29">{"TAB1",#N/A,TRUE,"GENERAL";"TAB2",#N/A,TRUE,"GENERAL";"TAB3",#N/A,TRUE,"GENERAL";"TAB4",#N/A,TRUE,"GENERAL";"TAB5",#N/A,TRUE,"GENERAL"}</definedName>
    <definedName name="_t3">{"TAB1",#N/A,TRUE,"GENERAL";"TAB2",#N/A,TRUE,"GENERAL";"TAB3",#N/A,TRUE,"GENERAL";"TAB4",#N/A,TRUE,"GENERAL";"TAB5",#N/A,TRUE,"GENERAL"}</definedName>
    <definedName name="_t4" localSheetId="39">{"via1",#N/A,TRUE,"general";"via2",#N/A,TRUE,"general";"via3",#N/A,TRUE,"general"}</definedName>
    <definedName name="_t4" localSheetId="20">{"via1",#N/A,TRUE,"general";"via2",#N/A,TRUE,"general";"via3",#N/A,TRUE,"general"}</definedName>
    <definedName name="_t4" localSheetId="21">{"via1",#N/A,TRUE,"general";"via2",#N/A,TRUE,"general";"via3",#N/A,TRUE,"general"}</definedName>
    <definedName name="_t4" localSheetId="9">{"via1",#N/A,TRUE,"general";"via2",#N/A,TRUE,"general";"via3",#N/A,TRUE,"general"}</definedName>
    <definedName name="_t4" localSheetId="19">{"via1",#N/A,TRUE,"general";"via2",#N/A,TRUE,"general";"via3",#N/A,TRUE,"general"}</definedName>
    <definedName name="_t4" localSheetId="28">{"via1",#N/A,TRUE,"general";"via2",#N/A,TRUE,"general";"via3",#N/A,TRUE,"general"}</definedName>
    <definedName name="_t4" localSheetId="29">{"via1",#N/A,TRUE,"general";"via2",#N/A,TRUE,"general";"via3",#N/A,TRUE,"general"}</definedName>
    <definedName name="_t4">{"via1",#N/A,TRUE,"general";"via2",#N/A,TRUE,"general";"via3",#N/A,TRUE,"general"}</definedName>
    <definedName name="_t5" localSheetId="39">{"TAB1",#N/A,TRUE,"GENERAL";"TAB2",#N/A,TRUE,"GENERAL";"TAB3",#N/A,TRUE,"GENERAL";"TAB4",#N/A,TRUE,"GENERAL";"TAB5",#N/A,TRUE,"GENERAL"}</definedName>
    <definedName name="_t5" localSheetId="20">{"TAB1",#N/A,TRUE,"GENERAL";"TAB2",#N/A,TRUE,"GENERAL";"TAB3",#N/A,TRUE,"GENERAL";"TAB4",#N/A,TRUE,"GENERAL";"TAB5",#N/A,TRUE,"GENERAL"}</definedName>
    <definedName name="_t5" localSheetId="21">{"TAB1",#N/A,TRUE,"GENERAL";"TAB2",#N/A,TRUE,"GENERAL";"TAB3",#N/A,TRUE,"GENERAL";"TAB4",#N/A,TRUE,"GENERAL";"TAB5",#N/A,TRUE,"GENERAL"}</definedName>
    <definedName name="_t5" localSheetId="9">{"TAB1",#N/A,TRUE,"GENERAL";"TAB2",#N/A,TRUE,"GENERAL";"TAB3",#N/A,TRUE,"GENERAL";"TAB4",#N/A,TRUE,"GENERAL";"TAB5",#N/A,TRUE,"GENERAL"}</definedName>
    <definedName name="_t5" localSheetId="19">{"TAB1",#N/A,TRUE,"GENERAL";"TAB2",#N/A,TRUE,"GENERAL";"TAB3",#N/A,TRUE,"GENERAL";"TAB4",#N/A,TRUE,"GENERAL";"TAB5",#N/A,TRUE,"GENERAL"}</definedName>
    <definedName name="_t5" localSheetId="28">{"TAB1",#N/A,TRUE,"GENERAL";"TAB2",#N/A,TRUE,"GENERAL";"TAB3",#N/A,TRUE,"GENERAL";"TAB4",#N/A,TRUE,"GENERAL";"TAB5",#N/A,TRUE,"GENERAL"}</definedName>
    <definedName name="_t5" localSheetId="29">{"TAB1",#N/A,TRUE,"GENERAL";"TAB2",#N/A,TRUE,"GENERAL";"TAB3",#N/A,TRUE,"GENERAL";"TAB4",#N/A,TRUE,"GENERAL";"TAB5",#N/A,TRUE,"GENERAL"}</definedName>
    <definedName name="_t5">{"TAB1",#N/A,TRUE,"GENERAL";"TAB2",#N/A,TRUE,"GENERAL";"TAB3",#N/A,TRUE,"GENERAL";"TAB4",#N/A,TRUE,"GENERAL";"TAB5",#N/A,TRUE,"GENERAL"}</definedName>
    <definedName name="_t6" localSheetId="39">{"via1",#N/A,TRUE,"general";"via2",#N/A,TRUE,"general";"via3",#N/A,TRUE,"general"}</definedName>
    <definedName name="_t6" localSheetId="20">{"via1",#N/A,TRUE,"general";"via2",#N/A,TRUE,"general";"via3",#N/A,TRUE,"general"}</definedName>
    <definedName name="_t6" localSheetId="21">{"via1",#N/A,TRUE,"general";"via2",#N/A,TRUE,"general";"via3",#N/A,TRUE,"general"}</definedName>
    <definedName name="_t6" localSheetId="9">{"via1",#N/A,TRUE,"general";"via2",#N/A,TRUE,"general";"via3",#N/A,TRUE,"general"}</definedName>
    <definedName name="_t6" localSheetId="19">{"via1",#N/A,TRUE,"general";"via2",#N/A,TRUE,"general";"via3",#N/A,TRUE,"general"}</definedName>
    <definedName name="_t6" localSheetId="28">{"via1",#N/A,TRUE,"general";"via2",#N/A,TRUE,"general";"via3",#N/A,TRUE,"general"}</definedName>
    <definedName name="_t6" localSheetId="29">{"via1",#N/A,TRUE,"general";"via2",#N/A,TRUE,"general";"via3",#N/A,TRUE,"general"}</definedName>
    <definedName name="_t6">{"via1",#N/A,TRUE,"general";"via2",#N/A,TRUE,"general";"via3",#N/A,TRUE,"general"}</definedName>
    <definedName name="_t66" localSheetId="39">{"TAB1",#N/A,TRUE,"GENERAL";"TAB2",#N/A,TRUE,"GENERAL";"TAB3",#N/A,TRUE,"GENERAL";"TAB4",#N/A,TRUE,"GENERAL";"TAB5",#N/A,TRUE,"GENERAL"}</definedName>
    <definedName name="_t66" localSheetId="20">{"TAB1",#N/A,TRUE,"GENERAL";"TAB2",#N/A,TRUE,"GENERAL";"TAB3",#N/A,TRUE,"GENERAL";"TAB4",#N/A,TRUE,"GENERAL";"TAB5",#N/A,TRUE,"GENERAL"}</definedName>
    <definedName name="_t66" localSheetId="21">{"TAB1",#N/A,TRUE,"GENERAL";"TAB2",#N/A,TRUE,"GENERAL";"TAB3",#N/A,TRUE,"GENERAL";"TAB4",#N/A,TRUE,"GENERAL";"TAB5",#N/A,TRUE,"GENERAL"}</definedName>
    <definedName name="_t66" localSheetId="9">{"TAB1",#N/A,TRUE,"GENERAL";"TAB2",#N/A,TRUE,"GENERAL";"TAB3",#N/A,TRUE,"GENERAL";"TAB4",#N/A,TRUE,"GENERAL";"TAB5",#N/A,TRUE,"GENERAL"}</definedName>
    <definedName name="_t66" localSheetId="19">{"TAB1",#N/A,TRUE,"GENERAL";"TAB2",#N/A,TRUE,"GENERAL";"TAB3",#N/A,TRUE,"GENERAL";"TAB4",#N/A,TRUE,"GENERAL";"TAB5",#N/A,TRUE,"GENERAL"}</definedName>
    <definedName name="_t66" localSheetId="28">{"TAB1",#N/A,TRUE,"GENERAL";"TAB2",#N/A,TRUE,"GENERAL";"TAB3",#N/A,TRUE,"GENERAL";"TAB4",#N/A,TRUE,"GENERAL";"TAB5",#N/A,TRUE,"GENERAL"}</definedName>
    <definedName name="_t66" localSheetId="29">{"TAB1",#N/A,TRUE,"GENERAL";"TAB2",#N/A,TRUE,"GENERAL";"TAB3",#N/A,TRUE,"GENERAL";"TAB4",#N/A,TRUE,"GENERAL";"TAB5",#N/A,TRUE,"GENERAL"}</definedName>
    <definedName name="_t66">{"TAB1",#N/A,TRUE,"GENERAL";"TAB2",#N/A,TRUE,"GENERAL";"TAB3",#N/A,TRUE,"GENERAL";"TAB4",#N/A,TRUE,"GENERAL";"TAB5",#N/A,TRUE,"GENERAL"}</definedName>
    <definedName name="_t7" localSheetId="39">{"via1",#N/A,TRUE,"general";"via2",#N/A,TRUE,"general";"via3",#N/A,TRUE,"general"}</definedName>
    <definedName name="_t7" localSheetId="20">{"via1",#N/A,TRUE,"general";"via2",#N/A,TRUE,"general";"via3",#N/A,TRUE,"general"}</definedName>
    <definedName name="_t7" localSheetId="21">{"via1",#N/A,TRUE,"general";"via2",#N/A,TRUE,"general";"via3",#N/A,TRUE,"general"}</definedName>
    <definedName name="_t7" localSheetId="9">{"via1",#N/A,TRUE,"general";"via2",#N/A,TRUE,"general";"via3",#N/A,TRUE,"general"}</definedName>
    <definedName name="_t7" localSheetId="19">{"via1",#N/A,TRUE,"general";"via2",#N/A,TRUE,"general";"via3",#N/A,TRUE,"general"}</definedName>
    <definedName name="_t7" localSheetId="28">{"via1",#N/A,TRUE,"general";"via2",#N/A,TRUE,"general";"via3",#N/A,TRUE,"general"}</definedName>
    <definedName name="_t7" localSheetId="29">{"via1",#N/A,TRUE,"general";"via2",#N/A,TRUE,"general";"via3",#N/A,TRUE,"general"}</definedName>
    <definedName name="_t7">{"via1",#N/A,TRUE,"general";"via2",#N/A,TRUE,"general";"via3",#N/A,TRUE,"general"}</definedName>
    <definedName name="_t77" localSheetId="39">{"TAB1",#N/A,TRUE,"GENERAL";"TAB2",#N/A,TRUE,"GENERAL";"TAB3",#N/A,TRUE,"GENERAL";"TAB4",#N/A,TRUE,"GENERAL";"TAB5",#N/A,TRUE,"GENERAL"}</definedName>
    <definedName name="_t77" localSheetId="20">{"TAB1",#N/A,TRUE,"GENERAL";"TAB2",#N/A,TRUE,"GENERAL";"TAB3",#N/A,TRUE,"GENERAL";"TAB4",#N/A,TRUE,"GENERAL";"TAB5",#N/A,TRUE,"GENERAL"}</definedName>
    <definedName name="_t77" localSheetId="21">{"TAB1",#N/A,TRUE,"GENERAL";"TAB2",#N/A,TRUE,"GENERAL";"TAB3",#N/A,TRUE,"GENERAL";"TAB4",#N/A,TRUE,"GENERAL";"TAB5",#N/A,TRUE,"GENERAL"}</definedName>
    <definedName name="_t77" localSheetId="9">{"TAB1",#N/A,TRUE,"GENERAL";"TAB2",#N/A,TRUE,"GENERAL";"TAB3",#N/A,TRUE,"GENERAL";"TAB4",#N/A,TRUE,"GENERAL";"TAB5",#N/A,TRUE,"GENERAL"}</definedName>
    <definedName name="_t77" localSheetId="19">{"TAB1",#N/A,TRUE,"GENERAL";"TAB2",#N/A,TRUE,"GENERAL";"TAB3",#N/A,TRUE,"GENERAL";"TAB4",#N/A,TRUE,"GENERAL";"TAB5",#N/A,TRUE,"GENERAL"}</definedName>
    <definedName name="_t77" localSheetId="28">{"TAB1",#N/A,TRUE,"GENERAL";"TAB2",#N/A,TRUE,"GENERAL";"TAB3",#N/A,TRUE,"GENERAL";"TAB4",#N/A,TRUE,"GENERAL";"TAB5",#N/A,TRUE,"GENERAL"}</definedName>
    <definedName name="_t77" localSheetId="29">{"TAB1",#N/A,TRUE,"GENERAL";"TAB2",#N/A,TRUE,"GENERAL";"TAB3",#N/A,TRUE,"GENERAL";"TAB4",#N/A,TRUE,"GENERAL";"TAB5",#N/A,TRUE,"GENERAL"}</definedName>
    <definedName name="_t77">{"TAB1",#N/A,TRUE,"GENERAL";"TAB2",#N/A,TRUE,"GENERAL";"TAB3",#N/A,TRUE,"GENERAL";"TAB4",#N/A,TRUE,"GENERAL";"TAB5",#N/A,TRUE,"GENERAL"}</definedName>
    <definedName name="_t8" localSheetId="39">{"TAB1",#N/A,TRUE,"GENERAL";"TAB2",#N/A,TRUE,"GENERAL";"TAB3",#N/A,TRUE,"GENERAL";"TAB4",#N/A,TRUE,"GENERAL";"TAB5",#N/A,TRUE,"GENERAL"}</definedName>
    <definedName name="_t8" localSheetId="20">{"TAB1",#N/A,TRUE,"GENERAL";"TAB2",#N/A,TRUE,"GENERAL";"TAB3",#N/A,TRUE,"GENERAL";"TAB4",#N/A,TRUE,"GENERAL";"TAB5",#N/A,TRUE,"GENERAL"}</definedName>
    <definedName name="_t8" localSheetId="21">{"TAB1",#N/A,TRUE,"GENERAL";"TAB2",#N/A,TRUE,"GENERAL";"TAB3",#N/A,TRUE,"GENERAL";"TAB4",#N/A,TRUE,"GENERAL";"TAB5",#N/A,TRUE,"GENERAL"}</definedName>
    <definedName name="_t8" localSheetId="9">{"TAB1",#N/A,TRUE,"GENERAL";"TAB2",#N/A,TRUE,"GENERAL";"TAB3",#N/A,TRUE,"GENERAL";"TAB4",#N/A,TRUE,"GENERAL";"TAB5",#N/A,TRUE,"GENERAL"}</definedName>
    <definedName name="_t8" localSheetId="19">{"TAB1",#N/A,TRUE,"GENERAL";"TAB2",#N/A,TRUE,"GENERAL";"TAB3",#N/A,TRUE,"GENERAL";"TAB4",#N/A,TRUE,"GENERAL";"TAB5",#N/A,TRUE,"GENERAL"}</definedName>
    <definedName name="_t8" localSheetId="28">{"TAB1",#N/A,TRUE,"GENERAL";"TAB2",#N/A,TRUE,"GENERAL";"TAB3",#N/A,TRUE,"GENERAL";"TAB4",#N/A,TRUE,"GENERAL";"TAB5",#N/A,TRUE,"GENERAL"}</definedName>
    <definedName name="_t8" localSheetId="29">{"TAB1",#N/A,TRUE,"GENERAL";"TAB2",#N/A,TRUE,"GENERAL";"TAB3",#N/A,TRUE,"GENERAL";"TAB4",#N/A,TRUE,"GENERAL";"TAB5",#N/A,TRUE,"GENERAL"}</definedName>
    <definedName name="_t8">{"TAB1",#N/A,TRUE,"GENERAL";"TAB2",#N/A,TRUE,"GENERAL";"TAB3",#N/A,TRUE,"GENERAL";"TAB4",#N/A,TRUE,"GENERAL";"TAB5",#N/A,TRUE,"GENERAL"}</definedName>
    <definedName name="_t88" localSheetId="39">{"via1",#N/A,TRUE,"general";"via2",#N/A,TRUE,"general";"via3",#N/A,TRUE,"general"}</definedName>
    <definedName name="_t88" localSheetId="20">{"via1",#N/A,TRUE,"general";"via2",#N/A,TRUE,"general";"via3",#N/A,TRUE,"general"}</definedName>
    <definedName name="_t88" localSheetId="21">{"via1",#N/A,TRUE,"general";"via2",#N/A,TRUE,"general";"via3",#N/A,TRUE,"general"}</definedName>
    <definedName name="_t88" localSheetId="9">{"via1",#N/A,TRUE,"general";"via2",#N/A,TRUE,"general";"via3",#N/A,TRUE,"general"}</definedName>
    <definedName name="_t88" localSheetId="19">{"via1",#N/A,TRUE,"general";"via2",#N/A,TRUE,"general";"via3",#N/A,TRUE,"general"}</definedName>
    <definedName name="_t88" localSheetId="28">{"via1",#N/A,TRUE,"general";"via2",#N/A,TRUE,"general";"via3",#N/A,TRUE,"general"}</definedName>
    <definedName name="_t88" localSheetId="29">{"via1",#N/A,TRUE,"general";"via2",#N/A,TRUE,"general";"via3",#N/A,TRUE,"general"}</definedName>
    <definedName name="_t88">{"via1",#N/A,TRUE,"general";"via2",#N/A,TRUE,"general";"via3",#N/A,TRUE,"general"}</definedName>
    <definedName name="_t9" localSheetId="39">{"TAB1",#N/A,TRUE,"GENERAL";"TAB2",#N/A,TRUE,"GENERAL";"TAB3",#N/A,TRUE,"GENERAL";"TAB4",#N/A,TRUE,"GENERAL";"TAB5",#N/A,TRUE,"GENERAL"}</definedName>
    <definedName name="_t9" localSheetId="20">{"TAB1",#N/A,TRUE,"GENERAL";"TAB2",#N/A,TRUE,"GENERAL";"TAB3",#N/A,TRUE,"GENERAL";"TAB4",#N/A,TRUE,"GENERAL";"TAB5",#N/A,TRUE,"GENERAL"}</definedName>
    <definedName name="_t9" localSheetId="21">{"TAB1",#N/A,TRUE,"GENERAL";"TAB2",#N/A,TRUE,"GENERAL";"TAB3",#N/A,TRUE,"GENERAL";"TAB4",#N/A,TRUE,"GENERAL";"TAB5",#N/A,TRUE,"GENERAL"}</definedName>
    <definedName name="_t9" localSheetId="9">{"TAB1",#N/A,TRUE,"GENERAL";"TAB2",#N/A,TRUE,"GENERAL";"TAB3",#N/A,TRUE,"GENERAL";"TAB4",#N/A,TRUE,"GENERAL";"TAB5",#N/A,TRUE,"GENERAL"}</definedName>
    <definedName name="_t9" localSheetId="19">{"TAB1",#N/A,TRUE,"GENERAL";"TAB2",#N/A,TRUE,"GENERAL";"TAB3",#N/A,TRUE,"GENERAL";"TAB4",#N/A,TRUE,"GENERAL";"TAB5",#N/A,TRUE,"GENERAL"}</definedName>
    <definedName name="_t9" localSheetId="28">{"TAB1",#N/A,TRUE,"GENERAL";"TAB2",#N/A,TRUE,"GENERAL";"TAB3",#N/A,TRUE,"GENERAL";"TAB4",#N/A,TRUE,"GENERAL";"TAB5",#N/A,TRUE,"GENERAL"}</definedName>
    <definedName name="_t9" localSheetId="29">{"TAB1",#N/A,TRUE,"GENERAL";"TAB2",#N/A,TRUE,"GENERAL";"TAB3",#N/A,TRUE,"GENERAL";"TAB4",#N/A,TRUE,"GENERAL";"TAB5",#N/A,TRUE,"GENERAL"}</definedName>
    <definedName name="_t9">{"TAB1",#N/A,TRUE,"GENERAL";"TAB2",#N/A,TRUE,"GENERAL";"TAB3",#N/A,TRUE,"GENERAL";"TAB4",#N/A,TRUE,"GENERAL";"TAB5",#N/A,TRUE,"GENERAL"}</definedName>
    <definedName name="_t99" localSheetId="39">{"via1",#N/A,TRUE,"general";"via2",#N/A,TRUE,"general";"via3",#N/A,TRUE,"general"}</definedName>
    <definedName name="_t99" localSheetId="20">{"via1",#N/A,TRUE,"general";"via2",#N/A,TRUE,"general";"via3",#N/A,TRUE,"general"}</definedName>
    <definedName name="_t99" localSheetId="21">{"via1",#N/A,TRUE,"general";"via2",#N/A,TRUE,"general";"via3",#N/A,TRUE,"general"}</definedName>
    <definedName name="_t99" localSheetId="9">{"via1",#N/A,TRUE,"general";"via2",#N/A,TRUE,"general";"via3",#N/A,TRUE,"general"}</definedName>
    <definedName name="_t99" localSheetId="19">{"via1",#N/A,TRUE,"general";"via2",#N/A,TRUE,"general";"via3",#N/A,TRUE,"general"}</definedName>
    <definedName name="_t99" localSheetId="28">{"via1",#N/A,TRUE,"general";"via2",#N/A,TRUE,"general";"via3",#N/A,TRUE,"general"}</definedName>
    <definedName name="_t99" localSheetId="29">{"via1",#N/A,TRUE,"general";"via2",#N/A,TRUE,"general";"via3",#N/A,TRUE,"general"}</definedName>
    <definedName name="_t99">{"via1",#N/A,TRUE,"general";"via2",#N/A,TRUE,"general";"via3",#N/A,TRUE,"general"}</definedName>
    <definedName name="_tab1">#REF!</definedName>
    <definedName name="_tab2">#REF!</definedName>
    <definedName name="_tab3">#REF!</definedName>
    <definedName name="_TAB4">#REF!</definedName>
    <definedName name="_Table2_Out" localSheetId="13" hidden="1">#REF!</definedName>
    <definedName name="_Table2_Out" localSheetId="17" hidden="1">#REF!</definedName>
    <definedName name="_Table2_Out" localSheetId="18" hidden="1">#REF!</definedName>
    <definedName name="_Table2_Out" localSheetId="12" hidden="1">#REF!</definedName>
    <definedName name="_Table2_Out" hidden="1">#REF!</definedName>
    <definedName name="_TBV1">#REF!</definedName>
    <definedName name="_TBV1606">#REF!</definedName>
    <definedName name="_TBV3">#REF!</definedName>
    <definedName name="_TC212">'[3]Presupuesto del Proyecto'!#REF!</definedName>
    <definedName name="_TCN1">#REF!</definedName>
    <definedName name="_TCN2">#REF!</definedName>
    <definedName name="_tf3813">#REF!</definedName>
    <definedName name="_TLL3">#REF!</definedName>
    <definedName name="_TRM2">#REF!</definedName>
    <definedName name="_u4" localSheetId="39">{"TAB1",#N/A,TRUE,"GENERAL";"TAB2",#N/A,TRUE,"GENERAL";"TAB3",#N/A,TRUE,"GENERAL";"TAB4",#N/A,TRUE,"GENERAL";"TAB5",#N/A,TRUE,"GENERAL"}</definedName>
    <definedName name="_u4" localSheetId="20">{"TAB1",#N/A,TRUE,"GENERAL";"TAB2",#N/A,TRUE,"GENERAL";"TAB3",#N/A,TRUE,"GENERAL";"TAB4",#N/A,TRUE,"GENERAL";"TAB5",#N/A,TRUE,"GENERAL"}</definedName>
    <definedName name="_u4" localSheetId="21">{"TAB1",#N/A,TRUE,"GENERAL";"TAB2",#N/A,TRUE,"GENERAL";"TAB3",#N/A,TRUE,"GENERAL";"TAB4",#N/A,TRUE,"GENERAL";"TAB5",#N/A,TRUE,"GENERAL"}</definedName>
    <definedName name="_u4" localSheetId="9">{"TAB1",#N/A,TRUE,"GENERAL";"TAB2",#N/A,TRUE,"GENERAL";"TAB3",#N/A,TRUE,"GENERAL";"TAB4",#N/A,TRUE,"GENERAL";"TAB5",#N/A,TRUE,"GENERAL"}</definedName>
    <definedName name="_u4" localSheetId="19">{"TAB1",#N/A,TRUE,"GENERAL";"TAB2",#N/A,TRUE,"GENERAL";"TAB3",#N/A,TRUE,"GENERAL";"TAB4",#N/A,TRUE,"GENERAL";"TAB5",#N/A,TRUE,"GENERAL"}</definedName>
    <definedName name="_u4" localSheetId="28">{"TAB1",#N/A,TRUE,"GENERAL";"TAB2",#N/A,TRUE,"GENERAL";"TAB3",#N/A,TRUE,"GENERAL";"TAB4",#N/A,TRUE,"GENERAL";"TAB5",#N/A,TRUE,"GENERAL"}</definedName>
    <definedName name="_u4" localSheetId="29">{"TAB1",#N/A,TRUE,"GENERAL";"TAB2",#N/A,TRUE,"GENERAL";"TAB3",#N/A,TRUE,"GENERAL";"TAB4",#N/A,TRUE,"GENERAL";"TAB5",#N/A,TRUE,"GENERAL"}</definedName>
    <definedName name="_u4">{"TAB1",#N/A,TRUE,"GENERAL";"TAB2",#N/A,TRUE,"GENERAL";"TAB3",#N/A,TRUE,"GENERAL";"TAB4",#N/A,TRUE,"GENERAL";"TAB5",#N/A,TRUE,"GENERAL"}</definedName>
    <definedName name="_u5" localSheetId="39">{"TAB1",#N/A,TRUE,"GENERAL";"TAB2",#N/A,TRUE,"GENERAL";"TAB3",#N/A,TRUE,"GENERAL";"TAB4",#N/A,TRUE,"GENERAL";"TAB5",#N/A,TRUE,"GENERAL"}</definedName>
    <definedName name="_u5" localSheetId="20">{"TAB1",#N/A,TRUE,"GENERAL";"TAB2",#N/A,TRUE,"GENERAL";"TAB3",#N/A,TRUE,"GENERAL";"TAB4",#N/A,TRUE,"GENERAL";"TAB5",#N/A,TRUE,"GENERAL"}</definedName>
    <definedName name="_u5" localSheetId="21">{"TAB1",#N/A,TRUE,"GENERAL";"TAB2",#N/A,TRUE,"GENERAL";"TAB3",#N/A,TRUE,"GENERAL";"TAB4",#N/A,TRUE,"GENERAL";"TAB5",#N/A,TRUE,"GENERAL"}</definedName>
    <definedName name="_u5" localSheetId="9">{"TAB1",#N/A,TRUE,"GENERAL";"TAB2",#N/A,TRUE,"GENERAL";"TAB3",#N/A,TRUE,"GENERAL";"TAB4",#N/A,TRUE,"GENERAL";"TAB5",#N/A,TRUE,"GENERAL"}</definedName>
    <definedName name="_u5" localSheetId="19">{"TAB1",#N/A,TRUE,"GENERAL";"TAB2",#N/A,TRUE,"GENERAL";"TAB3",#N/A,TRUE,"GENERAL";"TAB4",#N/A,TRUE,"GENERAL";"TAB5",#N/A,TRUE,"GENERAL"}</definedName>
    <definedName name="_u5" localSheetId="28">{"TAB1",#N/A,TRUE,"GENERAL";"TAB2",#N/A,TRUE,"GENERAL";"TAB3",#N/A,TRUE,"GENERAL";"TAB4",#N/A,TRUE,"GENERAL";"TAB5",#N/A,TRUE,"GENERAL"}</definedName>
    <definedName name="_u5" localSheetId="29">{"TAB1",#N/A,TRUE,"GENERAL";"TAB2",#N/A,TRUE,"GENERAL";"TAB3",#N/A,TRUE,"GENERAL";"TAB4",#N/A,TRUE,"GENERAL";"TAB5",#N/A,TRUE,"GENERAL"}</definedName>
    <definedName name="_u5">{"TAB1",#N/A,TRUE,"GENERAL";"TAB2",#N/A,TRUE,"GENERAL";"TAB3",#N/A,TRUE,"GENERAL";"TAB4",#N/A,TRUE,"GENERAL";"TAB5",#N/A,TRUE,"GENERAL"}</definedName>
    <definedName name="_u6" localSheetId="39">{"TAB1",#N/A,TRUE,"GENERAL";"TAB2",#N/A,TRUE,"GENERAL";"TAB3",#N/A,TRUE,"GENERAL";"TAB4",#N/A,TRUE,"GENERAL";"TAB5",#N/A,TRUE,"GENERAL"}</definedName>
    <definedName name="_u6" localSheetId="20">{"TAB1",#N/A,TRUE,"GENERAL";"TAB2",#N/A,TRUE,"GENERAL";"TAB3",#N/A,TRUE,"GENERAL";"TAB4",#N/A,TRUE,"GENERAL";"TAB5",#N/A,TRUE,"GENERAL"}</definedName>
    <definedName name="_u6" localSheetId="21">{"TAB1",#N/A,TRUE,"GENERAL";"TAB2",#N/A,TRUE,"GENERAL";"TAB3",#N/A,TRUE,"GENERAL";"TAB4",#N/A,TRUE,"GENERAL";"TAB5",#N/A,TRUE,"GENERAL"}</definedName>
    <definedName name="_u6" localSheetId="9">{"TAB1",#N/A,TRUE,"GENERAL";"TAB2",#N/A,TRUE,"GENERAL";"TAB3",#N/A,TRUE,"GENERAL";"TAB4",#N/A,TRUE,"GENERAL";"TAB5",#N/A,TRUE,"GENERAL"}</definedName>
    <definedName name="_u6" localSheetId="19">{"TAB1",#N/A,TRUE,"GENERAL";"TAB2",#N/A,TRUE,"GENERAL";"TAB3",#N/A,TRUE,"GENERAL";"TAB4",#N/A,TRUE,"GENERAL";"TAB5",#N/A,TRUE,"GENERAL"}</definedName>
    <definedName name="_u6" localSheetId="28">{"TAB1",#N/A,TRUE,"GENERAL";"TAB2",#N/A,TRUE,"GENERAL";"TAB3",#N/A,TRUE,"GENERAL";"TAB4",#N/A,TRUE,"GENERAL";"TAB5",#N/A,TRUE,"GENERAL"}</definedName>
    <definedName name="_u6" localSheetId="29">{"TAB1",#N/A,TRUE,"GENERAL";"TAB2",#N/A,TRUE,"GENERAL";"TAB3",#N/A,TRUE,"GENERAL";"TAB4",#N/A,TRUE,"GENERAL";"TAB5",#N/A,TRUE,"GENERAL"}</definedName>
    <definedName name="_u6">{"TAB1",#N/A,TRUE,"GENERAL";"TAB2",#N/A,TRUE,"GENERAL";"TAB3",#N/A,TRUE,"GENERAL";"TAB4",#N/A,TRUE,"GENERAL";"TAB5",#N/A,TRUE,"GENERAL"}</definedName>
    <definedName name="_u7" localSheetId="39">{"via1",#N/A,TRUE,"general";"via2",#N/A,TRUE,"general";"via3",#N/A,TRUE,"general"}</definedName>
    <definedName name="_u7" localSheetId="20">{"via1",#N/A,TRUE,"general";"via2",#N/A,TRUE,"general";"via3",#N/A,TRUE,"general"}</definedName>
    <definedName name="_u7" localSheetId="21">{"via1",#N/A,TRUE,"general";"via2",#N/A,TRUE,"general";"via3",#N/A,TRUE,"general"}</definedName>
    <definedName name="_u7" localSheetId="9">{"via1",#N/A,TRUE,"general";"via2",#N/A,TRUE,"general";"via3",#N/A,TRUE,"general"}</definedName>
    <definedName name="_u7" localSheetId="19">{"via1",#N/A,TRUE,"general";"via2",#N/A,TRUE,"general";"via3",#N/A,TRUE,"general"}</definedName>
    <definedName name="_u7" localSheetId="28">{"via1",#N/A,TRUE,"general";"via2",#N/A,TRUE,"general";"via3",#N/A,TRUE,"general"}</definedName>
    <definedName name="_u7" localSheetId="29">{"via1",#N/A,TRUE,"general";"via2",#N/A,TRUE,"general";"via3",#N/A,TRUE,"general"}</definedName>
    <definedName name="_u7">{"via1",#N/A,TRUE,"general";"via2",#N/A,TRUE,"general";"via3",#N/A,TRUE,"general"}</definedName>
    <definedName name="_u8" localSheetId="39">{"TAB1",#N/A,TRUE,"GENERAL";"TAB2",#N/A,TRUE,"GENERAL";"TAB3",#N/A,TRUE,"GENERAL";"TAB4",#N/A,TRUE,"GENERAL";"TAB5",#N/A,TRUE,"GENERAL"}</definedName>
    <definedName name="_u8" localSheetId="20">{"TAB1",#N/A,TRUE,"GENERAL";"TAB2",#N/A,TRUE,"GENERAL";"TAB3",#N/A,TRUE,"GENERAL";"TAB4",#N/A,TRUE,"GENERAL";"TAB5",#N/A,TRUE,"GENERAL"}</definedName>
    <definedName name="_u8" localSheetId="21">{"TAB1",#N/A,TRUE,"GENERAL";"TAB2",#N/A,TRUE,"GENERAL";"TAB3",#N/A,TRUE,"GENERAL";"TAB4",#N/A,TRUE,"GENERAL";"TAB5",#N/A,TRUE,"GENERAL"}</definedName>
    <definedName name="_u8" localSheetId="9">{"TAB1",#N/A,TRUE,"GENERAL";"TAB2",#N/A,TRUE,"GENERAL";"TAB3",#N/A,TRUE,"GENERAL";"TAB4",#N/A,TRUE,"GENERAL";"TAB5",#N/A,TRUE,"GENERAL"}</definedName>
    <definedName name="_u8" localSheetId="19">{"TAB1",#N/A,TRUE,"GENERAL";"TAB2",#N/A,TRUE,"GENERAL";"TAB3",#N/A,TRUE,"GENERAL";"TAB4",#N/A,TRUE,"GENERAL";"TAB5",#N/A,TRUE,"GENERAL"}</definedName>
    <definedName name="_u8" localSheetId="28">{"TAB1",#N/A,TRUE,"GENERAL";"TAB2",#N/A,TRUE,"GENERAL";"TAB3",#N/A,TRUE,"GENERAL";"TAB4",#N/A,TRUE,"GENERAL";"TAB5",#N/A,TRUE,"GENERAL"}</definedName>
    <definedName name="_u8" localSheetId="29">{"TAB1",#N/A,TRUE,"GENERAL";"TAB2",#N/A,TRUE,"GENERAL";"TAB3",#N/A,TRUE,"GENERAL";"TAB4",#N/A,TRUE,"GENERAL";"TAB5",#N/A,TRUE,"GENERAL"}</definedName>
    <definedName name="_u8">{"TAB1",#N/A,TRUE,"GENERAL";"TAB2",#N/A,TRUE,"GENERAL";"TAB3",#N/A,TRUE,"GENERAL";"TAB4",#N/A,TRUE,"GENERAL";"TAB5",#N/A,TRUE,"GENERAL"}</definedName>
    <definedName name="_u9" localSheetId="39">{"TAB1",#N/A,TRUE,"GENERAL";"TAB2",#N/A,TRUE,"GENERAL";"TAB3",#N/A,TRUE,"GENERAL";"TAB4",#N/A,TRUE,"GENERAL";"TAB5",#N/A,TRUE,"GENERAL"}</definedName>
    <definedName name="_u9" localSheetId="20">{"TAB1",#N/A,TRUE,"GENERAL";"TAB2",#N/A,TRUE,"GENERAL";"TAB3",#N/A,TRUE,"GENERAL";"TAB4",#N/A,TRUE,"GENERAL";"TAB5",#N/A,TRUE,"GENERAL"}</definedName>
    <definedName name="_u9" localSheetId="21">{"TAB1",#N/A,TRUE,"GENERAL";"TAB2",#N/A,TRUE,"GENERAL";"TAB3",#N/A,TRUE,"GENERAL";"TAB4",#N/A,TRUE,"GENERAL";"TAB5",#N/A,TRUE,"GENERAL"}</definedName>
    <definedName name="_u9" localSheetId="9">{"TAB1",#N/A,TRUE,"GENERAL";"TAB2",#N/A,TRUE,"GENERAL";"TAB3",#N/A,TRUE,"GENERAL";"TAB4",#N/A,TRUE,"GENERAL";"TAB5",#N/A,TRUE,"GENERAL"}</definedName>
    <definedName name="_u9" localSheetId="19">{"TAB1",#N/A,TRUE,"GENERAL";"TAB2",#N/A,TRUE,"GENERAL";"TAB3",#N/A,TRUE,"GENERAL";"TAB4",#N/A,TRUE,"GENERAL";"TAB5",#N/A,TRUE,"GENERAL"}</definedName>
    <definedName name="_u9" localSheetId="28">{"TAB1",#N/A,TRUE,"GENERAL";"TAB2",#N/A,TRUE,"GENERAL";"TAB3",#N/A,TRUE,"GENERAL";"TAB4",#N/A,TRUE,"GENERAL";"TAB5",#N/A,TRUE,"GENERAL"}</definedName>
    <definedName name="_u9" localSheetId="29">{"TAB1",#N/A,TRUE,"GENERAL";"TAB2",#N/A,TRUE,"GENERAL";"TAB3",#N/A,TRUE,"GENERAL";"TAB4",#N/A,TRUE,"GENERAL";"TAB5",#N/A,TRUE,"GENERAL"}</definedName>
    <definedName name="_u9">{"TAB1",#N/A,TRUE,"GENERAL";"TAB2",#N/A,TRUE,"GENERAL";"TAB3",#N/A,TRUE,"GENERAL";"TAB4",#N/A,TRUE,"GENERAL";"TAB5",#N/A,TRUE,"GENERAL"}</definedName>
    <definedName name="_ur7" localSheetId="39">{"TAB1",#N/A,TRUE,"GENERAL";"TAB2",#N/A,TRUE,"GENERAL";"TAB3",#N/A,TRUE,"GENERAL";"TAB4",#N/A,TRUE,"GENERAL";"TAB5",#N/A,TRUE,"GENERAL"}</definedName>
    <definedName name="_ur7" localSheetId="20">{"TAB1",#N/A,TRUE,"GENERAL";"TAB2",#N/A,TRUE,"GENERAL";"TAB3",#N/A,TRUE,"GENERAL";"TAB4",#N/A,TRUE,"GENERAL";"TAB5",#N/A,TRUE,"GENERAL"}</definedName>
    <definedName name="_ur7" localSheetId="21">{"TAB1",#N/A,TRUE,"GENERAL";"TAB2",#N/A,TRUE,"GENERAL";"TAB3",#N/A,TRUE,"GENERAL";"TAB4",#N/A,TRUE,"GENERAL";"TAB5",#N/A,TRUE,"GENERAL"}</definedName>
    <definedName name="_ur7" localSheetId="9">{"TAB1",#N/A,TRUE,"GENERAL";"TAB2",#N/A,TRUE,"GENERAL";"TAB3",#N/A,TRUE,"GENERAL";"TAB4",#N/A,TRUE,"GENERAL";"TAB5",#N/A,TRUE,"GENERAL"}</definedName>
    <definedName name="_ur7" localSheetId="19">{"TAB1",#N/A,TRUE,"GENERAL";"TAB2",#N/A,TRUE,"GENERAL";"TAB3",#N/A,TRUE,"GENERAL";"TAB4",#N/A,TRUE,"GENERAL";"TAB5",#N/A,TRUE,"GENERAL"}</definedName>
    <definedName name="_ur7" localSheetId="28">{"TAB1",#N/A,TRUE,"GENERAL";"TAB2",#N/A,TRUE,"GENERAL";"TAB3",#N/A,TRUE,"GENERAL";"TAB4",#N/A,TRUE,"GENERAL";"TAB5",#N/A,TRUE,"GENERAL"}</definedName>
    <definedName name="_ur7" localSheetId="29">{"TAB1",#N/A,TRUE,"GENERAL";"TAB2",#N/A,TRUE,"GENERAL";"TAB3",#N/A,TRUE,"GENERAL";"TAB4",#N/A,TRUE,"GENERAL";"TAB5",#N/A,TRUE,"GENERAL"}</definedName>
    <definedName name="_ur7">{"TAB1",#N/A,TRUE,"GENERAL";"TAB2",#N/A,TRUE,"GENERAL";"TAB3",#N/A,TRUE,"GENERAL";"TAB4",#N/A,TRUE,"GENERAL";"TAB5",#N/A,TRUE,"GENERAL"}</definedName>
    <definedName name="_V1">#REF!</definedName>
    <definedName name="_v2" localSheetId="39">{"via1",#N/A,TRUE,"general";"via2",#N/A,TRUE,"general";"via3",#N/A,TRUE,"general"}</definedName>
    <definedName name="_v2" localSheetId="20">{"via1",#N/A,TRUE,"general";"via2",#N/A,TRUE,"general";"via3",#N/A,TRUE,"general"}</definedName>
    <definedName name="_v2" localSheetId="21">{"via1",#N/A,TRUE,"general";"via2",#N/A,TRUE,"general";"via3",#N/A,TRUE,"general"}</definedName>
    <definedName name="_v2" localSheetId="9">{"via1",#N/A,TRUE,"general";"via2",#N/A,TRUE,"general";"via3",#N/A,TRUE,"general"}</definedName>
    <definedName name="_v2" localSheetId="19">{"via1",#N/A,TRUE,"general";"via2",#N/A,TRUE,"general";"via3",#N/A,TRUE,"general"}</definedName>
    <definedName name="_v2" localSheetId="28">{"via1",#N/A,TRUE,"general";"via2",#N/A,TRUE,"general";"via3",#N/A,TRUE,"general"}</definedName>
    <definedName name="_v2" localSheetId="29">{"via1",#N/A,TRUE,"general";"via2",#N/A,TRUE,"general";"via3",#N/A,TRUE,"general"}</definedName>
    <definedName name="_v2">{"via1",#N/A,TRUE,"general";"via2",#N/A,TRUE,"general";"via3",#N/A,TRUE,"general"}</definedName>
    <definedName name="_v3" localSheetId="39">{"TAB1",#N/A,TRUE,"GENERAL";"TAB2",#N/A,TRUE,"GENERAL";"TAB3",#N/A,TRUE,"GENERAL";"TAB4",#N/A,TRUE,"GENERAL";"TAB5",#N/A,TRUE,"GENERAL"}</definedName>
    <definedName name="_v3" localSheetId="20">{"TAB1",#N/A,TRUE,"GENERAL";"TAB2",#N/A,TRUE,"GENERAL";"TAB3",#N/A,TRUE,"GENERAL";"TAB4",#N/A,TRUE,"GENERAL";"TAB5",#N/A,TRUE,"GENERAL"}</definedName>
    <definedName name="_v3" localSheetId="21">{"TAB1",#N/A,TRUE,"GENERAL";"TAB2",#N/A,TRUE,"GENERAL";"TAB3",#N/A,TRUE,"GENERAL";"TAB4",#N/A,TRUE,"GENERAL";"TAB5",#N/A,TRUE,"GENERAL"}</definedName>
    <definedName name="_v3" localSheetId="9">{"TAB1",#N/A,TRUE,"GENERAL";"TAB2",#N/A,TRUE,"GENERAL";"TAB3",#N/A,TRUE,"GENERAL";"TAB4",#N/A,TRUE,"GENERAL";"TAB5",#N/A,TRUE,"GENERAL"}</definedName>
    <definedName name="_v3" localSheetId="19">{"TAB1",#N/A,TRUE,"GENERAL";"TAB2",#N/A,TRUE,"GENERAL";"TAB3",#N/A,TRUE,"GENERAL";"TAB4",#N/A,TRUE,"GENERAL";"TAB5",#N/A,TRUE,"GENERAL"}</definedName>
    <definedName name="_v3" localSheetId="28">{"TAB1",#N/A,TRUE,"GENERAL";"TAB2",#N/A,TRUE,"GENERAL";"TAB3",#N/A,TRUE,"GENERAL";"TAB4",#N/A,TRUE,"GENERAL";"TAB5",#N/A,TRUE,"GENERAL"}</definedName>
    <definedName name="_v3" localSheetId="29">{"TAB1",#N/A,TRUE,"GENERAL";"TAB2",#N/A,TRUE,"GENERAL";"TAB3",#N/A,TRUE,"GENERAL";"TAB4",#N/A,TRUE,"GENERAL";"TAB5",#N/A,TRUE,"GENERAL"}</definedName>
    <definedName name="_v3">{"TAB1",#N/A,TRUE,"GENERAL";"TAB2",#N/A,TRUE,"GENERAL";"TAB3",#N/A,TRUE,"GENERAL";"TAB4",#N/A,TRUE,"GENERAL";"TAB5",#N/A,TRUE,"GENERAL"}</definedName>
    <definedName name="_v4" localSheetId="39">{"TAB1",#N/A,TRUE,"GENERAL";"TAB2",#N/A,TRUE,"GENERAL";"TAB3",#N/A,TRUE,"GENERAL";"TAB4",#N/A,TRUE,"GENERAL";"TAB5",#N/A,TRUE,"GENERAL"}</definedName>
    <definedName name="_v4" localSheetId="20">{"TAB1",#N/A,TRUE,"GENERAL";"TAB2",#N/A,TRUE,"GENERAL";"TAB3",#N/A,TRUE,"GENERAL";"TAB4",#N/A,TRUE,"GENERAL";"TAB5",#N/A,TRUE,"GENERAL"}</definedName>
    <definedName name="_v4" localSheetId="21">{"TAB1",#N/A,TRUE,"GENERAL";"TAB2",#N/A,TRUE,"GENERAL";"TAB3",#N/A,TRUE,"GENERAL";"TAB4",#N/A,TRUE,"GENERAL";"TAB5",#N/A,TRUE,"GENERAL"}</definedName>
    <definedName name="_v4" localSheetId="9">{"TAB1",#N/A,TRUE,"GENERAL";"TAB2",#N/A,TRUE,"GENERAL";"TAB3",#N/A,TRUE,"GENERAL";"TAB4",#N/A,TRUE,"GENERAL";"TAB5",#N/A,TRUE,"GENERAL"}</definedName>
    <definedName name="_v4" localSheetId="19">{"TAB1",#N/A,TRUE,"GENERAL";"TAB2",#N/A,TRUE,"GENERAL";"TAB3",#N/A,TRUE,"GENERAL";"TAB4",#N/A,TRUE,"GENERAL";"TAB5",#N/A,TRUE,"GENERAL"}</definedName>
    <definedName name="_v4" localSheetId="28">{"TAB1",#N/A,TRUE,"GENERAL";"TAB2",#N/A,TRUE,"GENERAL";"TAB3",#N/A,TRUE,"GENERAL";"TAB4",#N/A,TRUE,"GENERAL";"TAB5",#N/A,TRUE,"GENERAL"}</definedName>
    <definedName name="_v4" localSheetId="29">{"TAB1",#N/A,TRUE,"GENERAL";"TAB2",#N/A,TRUE,"GENERAL";"TAB3",#N/A,TRUE,"GENERAL";"TAB4",#N/A,TRUE,"GENERAL";"TAB5",#N/A,TRUE,"GENERAL"}</definedName>
    <definedName name="_v4">{"TAB1",#N/A,TRUE,"GENERAL";"TAB2",#N/A,TRUE,"GENERAL";"TAB3",#N/A,TRUE,"GENERAL";"TAB4",#N/A,TRUE,"GENERAL";"TAB5",#N/A,TRUE,"GENERAL"}</definedName>
    <definedName name="_v5" localSheetId="39">{"TAB1",#N/A,TRUE,"GENERAL";"TAB2",#N/A,TRUE,"GENERAL";"TAB3",#N/A,TRUE,"GENERAL";"TAB4",#N/A,TRUE,"GENERAL";"TAB5",#N/A,TRUE,"GENERAL"}</definedName>
    <definedName name="_v5" localSheetId="20">{"TAB1",#N/A,TRUE,"GENERAL";"TAB2",#N/A,TRUE,"GENERAL";"TAB3",#N/A,TRUE,"GENERAL";"TAB4",#N/A,TRUE,"GENERAL";"TAB5",#N/A,TRUE,"GENERAL"}</definedName>
    <definedName name="_v5" localSheetId="21">{"TAB1",#N/A,TRUE,"GENERAL";"TAB2",#N/A,TRUE,"GENERAL";"TAB3",#N/A,TRUE,"GENERAL";"TAB4",#N/A,TRUE,"GENERAL";"TAB5",#N/A,TRUE,"GENERAL"}</definedName>
    <definedName name="_v5" localSheetId="9">{"TAB1",#N/A,TRUE,"GENERAL";"TAB2",#N/A,TRUE,"GENERAL";"TAB3",#N/A,TRUE,"GENERAL";"TAB4",#N/A,TRUE,"GENERAL";"TAB5",#N/A,TRUE,"GENERAL"}</definedName>
    <definedName name="_v5" localSheetId="19">{"TAB1",#N/A,TRUE,"GENERAL";"TAB2",#N/A,TRUE,"GENERAL";"TAB3",#N/A,TRUE,"GENERAL";"TAB4",#N/A,TRUE,"GENERAL";"TAB5",#N/A,TRUE,"GENERAL"}</definedName>
    <definedName name="_v5" localSheetId="28">{"TAB1",#N/A,TRUE,"GENERAL";"TAB2",#N/A,TRUE,"GENERAL";"TAB3",#N/A,TRUE,"GENERAL";"TAB4",#N/A,TRUE,"GENERAL";"TAB5",#N/A,TRUE,"GENERAL"}</definedName>
    <definedName name="_v5" localSheetId="29">{"TAB1",#N/A,TRUE,"GENERAL";"TAB2",#N/A,TRUE,"GENERAL";"TAB3",#N/A,TRUE,"GENERAL";"TAB4",#N/A,TRUE,"GENERAL";"TAB5",#N/A,TRUE,"GENERAL"}</definedName>
    <definedName name="_v5">{"TAB1",#N/A,TRUE,"GENERAL";"TAB2",#N/A,TRUE,"GENERAL";"TAB3",#N/A,TRUE,"GENERAL";"TAB4",#N/A,TRUE,"GENERAL";"TAB5",#N/A,TRUE,"GENERAL"}</definedName>
    <definedName name="_v6" localSheetId="39">{"TAB1",#N/A,TRUE,"GENERAL";"TAB2",#N/A,TRUE,"GENERAL";"TAB3",#N/A,TRUE,"GENERAL";"TAB4",#N/A,TRUE,"GENERAL";"TAB5",#N/A,TRUE,"GENERAL"}</definedName>
    <definedName name="_v6" localSheetId="20">{"TAB1",#N/A,TRUE,"GENERAL";"TAB2",#N/A,TRUE,"GENERAL";"TAB3",#N/A,TRUE,"GENERAL";"TAB4",#N/A,TRUE,"GENERAL";"TAB5",#N/A,TRUE,"GENERAL"}</definedName>
    <definedName name="_v6" localSheetId="21">{"TAB1",#N/A,TRUE,"GENERAL";"TAB2",#N/A,TRUE,"GENERAL";"TAB3",#N/A,TRUE,"GENERAL";"TAB4",#N/A,TRUE,"GENERAL";"TAB5",#N/A,TRUE,"GENERAL"}</definedName>
    <definedName name="_v6" localSheetId="9">{"TAB1",#N/A,TRUE,"GENERAL";"TAB2",#N/A,TRUE,"GENERAL";"TAB3",#N/A,TRUE,"GENERAL";"TAB4",#N/A,TRUE,"GENERAL";"TAB5",#N/A,TRUE,"GENERAL"}</definedName>
    <definedName name="_v6" localSheetId="19">{"TAB1",#N/A,TRUE,"GENERAL";"TAB2",#N/A,TRUE,"GENERAL";"TAB3",#N/A,TRUE,"GENERAL";"TAB4",#N/A,TRUE,"GENERAL";"TAB5",#N/A,TRUE,"GENERAL"}</definedName>
    <definedName name="_v6" localSheetId="28">{"TAB1",#N/A,TRUE,"GENERAL";"TAB2",#N/A,TRUE,"GENERAL";"TAB3",#N/A,TRUE,"GENERAL";"TAB4",#N/A,TRUE,"GENERAL";"TAB5",#N/A,TRUE,"GENERAL"}</definedName>
    <definedName name="_v6" localSheetId="29">{"TAB1",#N/A,TRUE,"GENERAL";"TAB2",#N/A,TRUE,"GENERAL";"TAB3",#N/A,TRUE,"GENERAL";"TAB4",#N/A,TRUE,"GENERAL";"TAB5",#N/A,TRUE,"GENERAL"}</definedName>
    <definedName name="_v6">{"TAB1",#N/A,TRUE,"GENERAL";"TAB2",#N/A,TRUE,"GENERAL";"TAB3",#N/A,TRUE,"GENERAL";"TAB4",#N/A,TRUE,"GENERAL";"TAB5",#N/A,TRUE,"GENERAL"}</definedName>
    <definedName name="_v7" localSheetId="39">{"via1",#N/A,TRUE,"general";"via2",#N/A,TRUE,"general";"via3",#N/A,TRUE,"general"}</definedName>
    <definedName name="_v7" localSheetId="20">{"via1",#N/A,TRUE,"general";"via2",#N/A,TRUE,"general";"via3",#N/A,TRUE,"general"}</definedName>
    <definedName name="_v7" localSheetId="21">{"via1",#N/A,TRUE,"general";"via2",#N/A,TRUE,"general";"via3",#N/A,TRUE,"general"}</definedName>
    <definedName name="_v7" localSheetId="9">{"via1",#N/A,TRUE,"general";"via2",#N/A,TRUE,"general";"via3",#N/A,TRUE,"general"}</definedName>
    <definedName name="_v7" localSheetId="19">{"via1",#N/A,TRUE,"general";"via2",#N/A,TRUE,"general";"via3",#N/A,TRUE,"general"}</definedName>
    <definedName name="_v7" localSheetId="28">{"via1",#N/A,TRUE,"general";"via2",#N/A,TRUE,"general";"via3",#N/A,TRUE,"general"}</definedName>
    <definedName name="_v7" localSheetId="29">{"via1",#N/A,TRUE,"general";"via2",#N/A,TRUE,"general";"via3",#N/A,TRUE,"general"}</definedName>
    <definedName name="_v7">{"via1",#N/A,TRUE,"general";"via2",#N/A,TRUE,"general";"via3",#N/A,TRUE,"general"}</definedName>
    <definedName name="_v8" localSheetId="39">{"TAB1",#N/A,TRUE,"GENERAL";"TAB2",#N/A,TRUE,"GENERAL";"TAB3",#N/A,TRUE,"GENERAL";"TAB4",#N/A,TRUE,"GENERAL";"TAB5",#N/A,TRUE,"GENERAL"}</definedName>
    <definedName name="_v8" localSheetId="20">{"TAB1",#N/A,TRUE,"GENERAL";"TAB2",#N/A,TRUE,"GENERAL";"TAB3",#N/A,TRUE,"GENERAL";"TAB4",#N/A,TRUE,"GENERAL";"TAB5",#N/A,TRUE,"GENERAL"}</definedName>
    <definedName name="_v8" localSheetId="21">{"TAB1",#N/A,TRUE,"GENERAL";"TAB2",#N/A,TRUE,"GENERAL";"TAB3",#N/A,TRUE,"GENERAL";"TAB4",#N/A,TRUE,"GENERAL";"TAB5",#N/A,TRUE,"GENERAL"}</definedName>
    <definedName name="_v8" localSheetId="9">{"TAB1",#N/A,TRUE,"GENERAL";"TAB2",#N/A,TRUE,"GENERAL";"TAB3",#N/A,TRUE,"GENERAL";"TAB4",#N/A,TRUE,"GENERAL";"TAB5",#N/A,TRUE,"GENERAL"}</definedName>
    <definedName name="_v8" localSheetId="19">{"TAB1",#N/A,TRUE,"GENERAL";"TAB2",#N/A,TRUE,"GENERAL";"TAB3",#N/A,TRUE,"GENERAL";"TAB4",#N/A,TRUE,"GENERAL";"TAB5",#N/A,TRUE,"GENERAL"}</definedName>
    <definedName name="_v8" localSheetId="28">{"TAB1",#N/A,TRUE,"GENERAL";"TAB2",#N/A,TRUE,"GENERAL";"TAB3",#N/A,TRUE,"GENERAL";"TAB4",#N/A,TRUE,"GENERAL";"TAB5",#N/A,TRUE,"GENERAL"}</definedName>
    <definedName name="_v8" localSheetId="29">{"TAB1",#N/A,TRUE,"GENERAL";"TAB2",#N/A,TRUE,"GENERAL";"TAB3",#N/A,TRUE,"GENERAL";"TAB4",#N/A,TRUE,"GENERAL";"TAB5",#N/A,TRUE,"GENERAL"}</definedName>
    <definedName name="_v8">{"TAB1",#N/A,TRUE,"GENERAL";"TAB2",#N/A,TRUE,"GENERAL";"TAB3",#N/A,TRUE,"GENERAL";"TAB4",#N/A,TRUE,"GENERAL";"TAB5",#N/A,TRUE,"GENERAL"}</definedName>
    <definedName name="_v9" localSheetId="39">{"TAB1",#N/A,TRUE,"GENERAL";"TAB2",#N/A,TRUE,"GENERAL";"TAB3",#N/A,TRUE,"GENERAL";"TAB4",#N/A,TRUE,"GENERAL";"TAB5",#N/A,TRUE,"GENERAL"}</definedName>
    <definedName name="_v9" localSheetId="20">{"TAB1",#N/A,TRUE,"GENERAL";"TAB2",#N/A,TRUE,"GENERAL";"TAB3",#N/A,TRUE,"GENERAL";"TAB4",#N/A,TRUE,"GENERAL";"TAB5",#N/A,TRUE,"GENERAL"}</definedName>
    <definedName name="_v9" localSheetId="21">{"TAB1",#N/A,TRUE,"GENERAL";"TAB2",#N/A,TRUE,"GENERAL";"TAB3",#N/A,TRUE,"GENERAL";"TAB4",#N/A,TRUE,"GENERAL";"TAB5",#N/A,TRUE,"GENERAL"}</definedName>
    <definedName name="_v9" localSheetId="9">{"TAB1",#N/A,TRUE,"GENERAL";"TAB2",#N/A,TRUE,"GENERAL";"TAB3",#N/A,TRUE,"GENERAL";"TAB4",#N/A,TRUE,"GENERAL";"TAB5",#N/A,TRUE,"GENERAL"}</definedName>
    <definedName name="_v9" localSheetId="19">{"TAB1",#N/A,TRUE,"GENERAL";"TAB2",#N/A,TRUE,"GENERAL";"TAB3",#N/A,TRUE,"GENERAL";"TAB4",#N/A,TRUE,"GENERAL";"TAB5",#N/A,TRUE,"GENERAL"}</definedName>
    <definedName name="_v9" localSheetId="28">{"TAB1",#N/A,TRUE,"GENERAL";"TAB2",#N/A,TRUE,"GENERAL";"TAB3",#N/A,TRUE,"GENERAL";"TAB4",#N/A,TRUE,"GENERAL";"TAB5",#N/A,TRUE,"GENERAL"}</definedName>
    <definedName name="_v9" localSheetId="29">{"TAB1",#N/A,TRUE,"GENERAL";"TAB2",#N/A,TRUE,"GENERAL";"TAB3",#N/A,TRUE,"GENERAL";"TAB4",#N/A,TRUE,"GENERAL";"TAB5",#N/A,TRUE,"GENERAL"}</definedName>
    <definedName name="_v9">{"TAB1",#N/A,TRUE,"GENERAL";"TAB2",#N/A,TRUE,"GENERAL";"TAB3",#N/A,TRUE,"GENERAL";"TAB4",#N/A,TRUE,"GENERAL";"TAB5",#N/A,TRUE,"GENERAL"}</definedName>
    <definedName name="_vfv4" localSheetId="39">{"via1",#N/A,TRUE,"general";"via2",#N/A,TRUE,"general";"via3",#N/A,TRUE,"general"}</definedName>
    <definedName name="_vfv4" localSheetId="20">{"via1",#N/A,TRUE,"general";"via2",#N/A,TRUE,"general";"via3",#N/A,TRUE,"general"}</definedName>
    <definedName name="_vfv4" localSheetId="21">{"via1",#N/A,TRUE,"general";"via2",#N/A,TRUE,"general";"via3",#N/A,TRUE,"general"}</definedName>
    <definedName name="_vfv4" localSheetId="9">{"via1",#N/A,TRUE,"general";"via2",#N/A,TRUE,"general";"via3",#N/A,TRUE,"general"}</definedName>
    <definedName name="_vfv4" localSheetId="19">{"via1",#N/A,TRUE,"general";"via2",#N/A,TRUE,"general";"via3",#N/A,TRUE,"general"}</definedName>
    <definedName name="_vfv4" localSheetId="28">{"via1",#N/A,TRUE,"general";"via2",#N/A,TRUE,"general";"via3",#N/A,TRUE,"general"}</definedName>
    <definedName name="_vfv4" localSheetId="29">{"via1",#N/A,TRUE,"general";"via2",#N/A,TRUE,"general";"via3",#N/A,TRUE,"general"}</definedName>
    <definedName name="_vfv4">{"via1",#N/A,TRUE,"general";"via2",#N/A,TRUE,"general";"via3",#N/A,TRUE,"general"}</definedName>
    <definedName name="_VM10">#REF!</definedName>
    <definedName name="_VM11">#REF!</definedName>
    <definedName name="_VM7">#REF!</definedName>
    <definedName name="_VM8">#REF!</definedName>
    <definedName name="_VM9">#REF!</definedName>
    <definedName name="_Vol1">[13]Item!$A:$D</definedName>
    <definedName name="_VPD1">[11]TARIFAS!$C$582</definedName>
    <definedName name="_VPI1">[11]TARIFAS!$C$580</definedName>
    <definedName name="_VRA1">[11]TARIFAS!$C$579</definedName>
    <definedName name="_Vu1">[19]CALCULO!$B$23</definedName>
    <definedName name="_Vu2">[19]CALCULO!$E$23</definedName>
    <definedName name="_Vu3">[19]CALCULO!$H$23</definedName>
    <definedName name="_x1" localSheetId="39">{"TAB1",#N/A,TRUE,"GENERAL";"TAB2",#N/A,TRUE,"GENERAL";"TAB3",#N/A,TRUE,"GENERAL";"TAB4",#N/A,TRUE,"GENERAL";"TAB5",#N/A,TRUE,"GENERAL"}</definedName>
    <definedName name="_x1" localSheetId="20">{"TAB1",#N/A,TRUE,"GENERAL";"TAB2",#N/A,TRUE,"GENERAL";"TAB3",#N/A,TRUE,"GENERAL";"TAB4",#N/A,TRUE,"GENERAL";"TAB5",#N/A,TRUE,"GENERAL"}</definedName>
    <definedName name="_x1" localSheetId="21">{"TAB1",#N/A,TRUE,"GENERAL";"TAB2",#N/A,TRUE,"GENERAL";"TAB3",#N/A,TRUE,"GENERAL";"TAB4",#N/A,TRUE,"GENERAL";"TAB5",#N/A,TRUE,"GENERAL"}</definedName>
    <definedName name="_x1" localSheetId="9">{"TAB1",#N/A,TRUE,"GENERAL";"TAB2",#N/A,TRUE,"GENERAL";"TAB3",#N/A,TRUE,"GENERAL";"TAB4",#N/A,TRUE,"GENERAL";"TAB5",#N/A,TRUE,"GENERAL"}</definedName>
    <definedName name="_x1" localSheetId="19">{"TAB1",#N/A,TRUE,"GENERAL";"TAB2",#N/A,TRUE,"GENERAL";"TAB3",#N/A,TRUE,"GENERAL";"TAB4",#N/A,TRUE,"GENERAL";"TAB5",#N/A,TRUE,"GENERAL"}</definedName>
    <definedName name="_x1" localSheetId="28">{"TAB1",#N/A,TRUE,"GENERAL";"TAB2",#N/A,TRUE,"GENERAL";"TAB3",#N/A,TRUE,"GENERAL";"TAB4",#N/A,TRUE,"GENERAL";"TAB5",#N/A,TRUE,"GENERAL"}</definedName>
    <definedName name="_x1" localSheetId="29">{"TAB1",#N/A,TRUE,"GENERAL";"TAB2",#N/A,TRUE,"GENERAL";"TAB3",#N/A,TRUE,"GENERAL";"TAB4",#N/A,TRUE,"GENERAL";"TAB5",#N/A,TRUE,"GENERAL"}</definedName>
    <definedName name="_x1">{"TAB1",#N/A,TRUE,"GENERAL";"TAB2",#N/A,TRUE,"GENERAL";"TAB3",#N/A,TRUE,"GENERAL";"TAB4",#N/A,TRUE,"GENERAL";"TAB5",#N/A,TRUE,"GENERAL"}</definedName>
    <definedName name="_x2" localSheetId="39">{"via1",#N/A,TRUE,"general";"via2",#N/A,TRUE,"general";"via3",#N/A,TRUE,"general"}</definedName>
    <definedName name="_x2" localSheetId="20">{"via1",#N/A,TRUE,"general";"via2",#N/A,TRUE,"general";"via3",#N/A,TRUE,"general"}</definedName>
    <definedName name="_x2" localSheetId="21">{"via1",#N/A,TRUE,"general";"via2",#N/A,TRUE,"general";"via3",#N/A,TRUE,"general"}</definedName>
    <definedName name="_x2" localSheetId="9">{"via1",#N/A,TRUE,"general";"via2",#N/A,TRUE,"general";"via3",#N/A,TRUE,"general"}</definedName>
    <definedName name="_x2" localSheetId="19">{"via1",#N/A,TRUE,"general";"via2",#N/A,TRUE,"general";"via3",#N/A,TRUE,"general"}</definedName>
    <definedName name="_x2" localSheetId="28">{"via1",#N/A,TRUE,"general";"via2",#N/A,TRUE,"general";"via3",#N/A,TRUE,"general"}</definedName>
    <definedName name="_x2" localSheetId="29">{"via1",#N/A,TRUE,"general";"via2",#N/A,TRUE,"general";"via3",#N/A,TRUE,"general"}</definedName>
    <definedName name="_x2">{"via1",#N/A,TRUE,"general";"via2",#N/A,TRUE,"general";"via3",#N/A,TRUE,"general"}</definedName>
    <definedName name="_x3" localSheetId="39">{"via1",#N/A,TRUE,"general";"via2",#N/A,TRUE,"general";"via3",#N/A,TRUE,"general"}</definedName>
    <definedName name="_x3" localSheetId="20">{"via1",#N/A,TRUE,"general";"via2",#N/A,TRUE,"general";"via3",#N/A,TRUE,"general"}</definedName>
    <definedName name="_x3" localSheetId="21">{"via1",#N/A,TRUE,"general";"via2",#N/A,TRUE,"general";"via3",#N/A,TRUE,"general"}</definedName>
    <definedName name="_x3" localSheetId="9">{"via1",#N/A,TRUE,"general";"via2",#N/A,TRUE,"general";"via3",#N/A,TRUE,"general"}</definedName>
    <definedName name="_x3" localSheetId="19">{"via1",#N/A,TRUE,"general";"via2",#N/A,TRUE,"general";"via3",#N/A,TRUE,"general"}</definedName>
    <definedName name="_x3" localSheetId="28">{"via1",#N/A,TRUE,"general";"via2",#N/A,TRUE,"general";"via3",#N/A,TRUE,"general"}</definedName>
    <definedName name="_x3" localSheetId="29">{"via1",#N/A,TRUE,"general";"via2",#N/A,TRUE,"general";"via3",#N/A,TRUE,"general"}</definedName>
    <definedName name="_x3">{"via1",#N/A,TRUE,"general";"via2",#N/A,TRUE,"general";"via3",#N/A,TRUE,"general"}</definedName>
    <definedName name="_x4" localSheetId="39">{"via1",#N/A,TRUE,"general";"via2",#N/A,TRUE,"general";"via3",#N/A,TRUE,"general"}</definedName>
    <definedName name="_x4" localSheetId="20">{"via1",#N/A,TRUE,"general";"via2",#N/A,TRUE,"general";"via3",#N/A,TRUE,"general"}</definedName>
    <definedName name="_x4" localSheetId="21">{"via1",#N/A,TRUE,"general";"via2",#N/A,TRUE,"general";"via3",#N/A,TRUE,"general"}</definedName>
    <definedName name="_x4" localSheetId="9">{"via1",#N/A,TRUE,"general";"via2",#N/A,TRUE,"general";"via3",#N/A,TRUE,"general"}</definedName>
    <definedName name="_x4" localSheetId="19">{"via1",#N/A,TRUE,"general";"via2",#N/A,TRUE,"general";"via3",#N/A,TRUE,"general"}</definedName>
    <definedName name="_x4" localSheetId="28">{"via1",#N/A,TRUE,"general";"via2",#N/A,TRUE,"general";"via3",#N/A,TRUE,"general"}</definedName>
    <definedName name="_x4" localSheetId="29">{"via1",#N/A,TRUE,"general";"via2",#N/A,TRUE,"general";"via3",#N/A,TRUE,"general"}</definedName>
    <definedName name="_x4">{"via1",#N/A,TRUE,"general";"via2",#N/A,TRUE,"general";"via3",#N/A,TRUE,"general"}</definedName>
    <definedName name="_x5" localSheetId="39">{"TAB1",#N/A,TRUE,"GENERAL";"TAB2",#N/A,TRUE,"GENERAL";"TAB3",#N/A,TRUE,"GENERAL";"TAB4",#N/A,TRUE,"GENERAL";"TAB5",#N/A,TRUE,"GENERAL"}</definedName>
    <definedName name="_x5" localSheetId="20">{"TAB1",#N/A,TRUE,"GENERAL";"TAB2",#N/A,TRUE,"GENERAL";"TAB3",#N/A,TRUE,"GENERAL";"TAB4",#N/A,TRUE,"GENERAL";"TAB5",#N/A,TRUE,"GENERAL"}</definedName>
    <definedName name="_x5" localSheetId="21">{"TAB1",#N/A,TRUE,"GENERAL";"TAB2",#N/A,TRUE,"GENERAL";"TAB3",#N/A,TRUE,"GENERAL";"TAB4",#N/A,TRUE,"GENERAL";"TAB5",#N/A,TRUE,"GENERAL"}</definedName>
    <definedName name="_x5" localSheetId="9">{"TAB1",#N/A,TRUE,"GENERAL";"TAB2",#N/A,TRUE,"GENERAL";"TAB3",#N/A,TRUE,"GENERAL";"TAB4",#N/A,TRUE,"GENERAL";"TAB5",#N/A,TRUE,"GENERAL"}</definedName>
    <definedName name="_x5" localSheetId="19">{"TAB1",#N/A,TRUE,"GENERAL";"TAB2",#N/A,TRUE,"GENERAL";"TAB3",#N/A,TRUE,"GENERAL";"TAB4",#N/A,TRUE,"GENERAL";"TAB5",#N/A,TRUE,"GENERAL"}</definedName>
    <definedName name="_x5" localSheetId="28">{"TAB1",#N/A,TRUE,"GENERAL";"TAB2",#N/A,TRUE,"GENERAL";"TAB3",#N/A,TRUE,"GENERAL";"TAB4",#N/A,TRUE,"GENERAL";"TAB5",#N/A,TRUE,"GENERAL"}</definedName>
    <definedName name="_x5" localSheetId="29">{"TAB1",#N/A,TRUE,"GENERAL";"TAB2",#N/A,TRUE,"GENERAL";"TAB3",#N/A,TRUE,"GENERAL";"TAB4",#N/A,TRUE,"GENERAL";"TAB5",#N/A,TRUE,"GENERAL"}</definedName>
    <definedName name="_x5">{"TAB1",#N/A,TRUE,"GENERAL";"TAB2",#N/A,TRUE,"GENERAL";"TAB3",#N/A,TRUE,"GENERAL";"TAB4",#N/A,TRUE,"GENERAL";"TAB5",#N/A,TRUE,"GENERAL"}</definedName>
    <definedName name="_x6" localSheetId="39">{"TAB1",#N/A,TRUE,"GENERAL";"TAB2",#N/A,TRUE,"GENERAL";"TAB3",#N/A,TRUE,"GENERAL";"TAB4",#N/A,TRUE,"GENERAL";"TAB5",#N/A,TRUE,"GENERAL"}</definedName>
    <definedName name="_x6" localSheetId="20">{"TAB1",#N/A,TRUE,"GENERAL";"TAB2",#N/A,TRUE,"GENERAL";"TAB3",#N/A,TRUE,"GENERAL";"TAB4",#N/A,TRUE,"GENERAL";"TAB5",#N/A,TRUE,"GENERAL"}</definedName>
    <definedName name="_x6" localSheetId="21">{"TAB1",#N/A,TRUE,"GENERAL";"TAB2",#N/A,TRUE,"GENERAL";"TAB3",#N/A,TRUE,"GENERAL";"TAB4",#N/A,TRUE,"GENERAL";"TAB5",#N/A,TRUE,"GENERAL"}</definedName>
    <definedName name="_x6" localSheetId="9">{"TAB1",#N/A,TRUE,"GENERAL";"TAB2",#N/A,TRUE,"GENERAL";"TAB3",#N/A,TRUE,"GENERAL";"TAB4",#N/A,TRUE,"GENERAL";"TAB5",#N/A,TRUE,"GENERAL"}</definedName>
    <definedName name="_x6" localSheetId="19">{"TAB1",#N/A,TRUE,"GENERAL";"TAB2",#N/A,TRUE,"GENERAL";"TAB3",#N/A,TRUE,"GENERAL";"TAB4",#N/A,TRUE,"GENERAL";"TAB5",#N/A,TRUE,"GENERAL"}</definedName>
    <definedName name="_x6" localSheetId="28">{"TAB1",#N/A,TRUE,"GENERAL";"TAB2",#N/A,TRUE,"GENERAL";"TAB3",#N/A,TRUE,"GENERAL";"TAB4",#N/A,TRUE,"GENERAL";"TAB5",#N/A,TRUE,"GENERAL"}</definedName>
    <definedName name="_x6" localSheetId="29">{"TAB1",#N/A,TRUE,"GENERAL";"TAB2",#N/A,TRUE,"GENERAL";"TAB3",#N/A,TRUE,"GENERAL";"TAB4",#N/A,TRUE,"GENERAL";"TAB5",#N/A,TRUE,"GENERAL"}</definedName>
    <definedName name="_x6">{"TAB1",#N/A,TRUE,"GENERAL";"TAB2",#N/A,TRUE,"GENERAL";"TAB3",#N/A,TRUE,"GENERAL";"TAB4",#N/A,TRUE,"GENERAL";"TAB5",#N/A,TRUE,"GENERAL"}</definedName>
    <definedName name="_x7" localSheetId="39">{"TAB1",#N/A,TRUE,"GENERAL";"TAB2",#N/A,TRUE,"GENERAL";"TAB3",#N/A,TRUE,"GENERAL";"TAB4",#N/A,TRUE,"GENERAL";"TAB5",#N/A,TRUE,"GENERAL"}</definedName>
    <definedName name="_x7" localSheetId="20">{"TAB1",#N/A,TRUE,"GENERAL";"TAB2",#N/A,TRUE,"GENERAL";"TAB3",#N/A,TRUE,"GENERAL";"TAB4",#N/A,TRUE,"GENERAL";"TAB5",#N/A,TRUE,"GENERAL"}</definedName>
    <definedName name="_x7" localSheetId="21">{"TAB1",#N/A,TRUE,"GENERAL";"TAB2",#N/A,TRUE,"GENERAL";"TAB3",#N/A,TRUE,"GENERAL";"TAB4",#N/A,TRUE,"GENERAL";"TAB5",#N/A,TRUE,"GENERAL"}</definedName>
    <definedName name="_x7" localSheetId="9">{"TAB1",#N/A,TRUE,"GENERAL";"TAB2",#N/A,TRUE,"GENERAL";"TAB3",#N/A,TRUE,"GENERAL";"TAB4",#N/A,TRUE,"GENERAL";"TAB5",#N/A,TRUE,"GENERAL"}</definedName>
    <definedName name="_x7" localSheetId="19">{"TAB1",#N/A,TRUE,"GENERAL";"TAB2",#N/A,TRUE,"GENERAL";"TAB3",#N/A,TRUE,"GENERAL";"TAB4",#N/A,TRUE,"GENERAL";"TAB5",#N/A,TRUE,"GENERAL"}</definedName>
    <definedName name="_x7" localSheetId="28">{"TAB1",#N/A,TRUE,"GENERAL";"TAB2",#N/A,TRUE,"GENERAL";"TAB3",#N/A,TRUE,"GENERAL";"TAB4",#N/A,TRUE,"GENERAL";"TAB5",#N/A,TRUE,"GENERAL"}</definedName>
    <definedName name="_x7" localSheetId="29">{"TAB1",#N/A,TRUE,"GENERAL";"TAB2",#N/A,TRUE,"GENERAL";"TAB3",#N/A,TRUE,"GENERAL";"TAB4",#N/A,TRUE,"GENERAL";"TAB5",#N/A,TRUE,"GENERAL"}</definedName>
    <definedName name="_x7">{"TAB1",#N/A,TRUE,"GENERAL";"TAB2",#N/A,TRUE,"GENERAL";"TAB3",#N/A,TRUE,"GENERAL";"TAB4",#N/A,TRUE,"GENERAL";"TAB5",#N/A,TRUE,"GENERAL"}</definedName>
    <definedName name="_x8" localSheetId="39">{"via1",#N/A,TRUE,"general";"via2",#N/A,TRUE,"general";"via3",#N/A,TRUE,"general"}</definedName>
    <definedName name="_x8" localSheetId="20">{"via1",#N/A,TRUE,"general";"via2",#N/A,TRUE,"general";"via3",#N/A,TRUE,"general"}</definedName>
    <definedName name="_x8" localSheetId="21">{"via1",#N/A,TRUE,"general";"via2",#N/A,TRUE,"general";"via3",#N/A,TRUE,"general"}</definedName>
    <definedName name="_x8" localSheetId="9">{"via1",#N/A,TRUE,"general";"via2",#N/A,TRUE,"general";"via3",#N/A,TRUE,"general"}</definedName>
    <definedName name="_x8" localSheetId="19">{"via1",#N/A,TRUE,"general";"via2",#N/A,TRUE,"general";"via3",#N/A,TRUE,"general"}</definedName>
    <definedName name="_x8" localSheetId="28">{"via1",#N/A,TRUE,"general";"via2",#N/A,TRUE,"general";"via3",#N/A,TRUE,"general"}</definedName>
    <definedName name="_x8" localSheetId="29">{"via1",#N/A,TRUE,"general";"via2",#N/A,TRUE,"general";"via3",#N/A,TRUE,"general"}</definedName>
    <definedName name="_x8">{"via1",#N/A,TRUE,"general";"via2",#N/A,TRUE,"general";"via3",#N/A,TRUE,"general"}</definedName>
    <definedName name="_x9" localSheetId="39">{"TAB1",#N/A,TRUE,"GENERAL";"TAB2",#N/A,TRUE,"GENERAL";"TAB3",#N/A,TRUE,"GENERAL";"TAB4",#N/A,TRUE,"GENERAL";"TAB5",#N/A,TRUE,"GENERAL"}</definedName>
    <definedName name="_x9" localSheetId="20">{"TAB1",#N/A,TRUE,"GENERAL";"TAB2",#N/A,TRUE,"GENERAL";"TAB3",#N/A,TRUE,"GENERAL";"TAB4",#N/A,TRUE,"GENERAL";"TAB5",#N/A,TRUE,"GENERAL"}</definedName>
    <definedName name="_x9" localSheetId="21">{"TAB1",#N/A,TRUE,"GENERAL";"TAB2",#N/A,TRUE,"GENERAL";"TAB3",#N/A,TRUE,"GENERAL";"TAB4",#N/A,TRUE,"GENERAL";"TAB5",#N/A,TRUE,"GENERAL"}</definedName>
    <definedName name="_x9" localSheetId="9">{"TAB1",#N/A,TRUE,"GENERAL";"TAB2",#N/A,TRUE,"GENERAL";"TAB3",#N/A,TRUE,"GENERAL";"TAB4",#N/A,TRUE,"GENERAL";"TAB5",#N/A,TRUE,"GENERAL"}</definedName>
    <definedName name="_x9" localSheetId="19">{"TAB1",#N/A,TRUE,"GENERAL";"TAB2",#N/A,TRUE,"GENERAL";"TAB3",#N/A,TRUE,"GENERAL";"TAB4",#N/A,TRUE,"GENERAL";"TAB5",#N/A,TRUE,"GENERAL"}</definedName>
    <definedName name="_x9" localSheetId="28">{"TAB1",#N/A,TRUE,"GENERAL";"TAB2",#N/A,TRUE,"GENERAL";"TAB3",#N/A,TRUE,"GENERAL";"TAB4",#N/A,TRUE,"GENERAL";"TAB5",#N/A,TRUE,"GENERAL"}</definedName>
    <definedName name="_x9" localSheetId="29">{"TAB1",#N/A,TRUE,"GENERAL";"TAB2",#N/A,TRUE,"GENERAL";"TAB3",#N/A,TRUE,"GENERAL";"TAB4",#N/A,TRUE,"GENERAL";"TAB5",#N/A,TRUE,"GENERAL"}</definedName>
    <definedName name="_x9">{"TAB1",#N/A,TRUE,"GENERAL";"TAB2",#N/A,TRUE,"GENERAL";"TAB3",#N/A,TRUE,"GENERAL";"TAB4",#N/A,TRUE,"GENERAL";"TAB5",#N/A,TRUE,"GENERAL"}</definedName>
    <definedName name="_y2" localSheetId="39">{"TAB1",#N/A,TRUE,"GENERAL";"TAB2",#N/A,TRUE,"GENERAL";"TAB3",#N/A,TRUE,"GENERAL";"TAB4",#N/A,TRUE,"GENERAL";"TAB5",#N/A,TRUE,"GENERAL"}</definedName>
    <definedName name="_y2" localSheetId="20">{"TAB1",#N/A,TRUE,"GENERAL";"TAB2",#N/A,TRUE,"GENERAL";"TAB3",#N/A,TRUE,"GENERAL";"TAB4",#N/A,TRUE,"GENERAL";"TAB5",#N/A,TRUE,"GENERAL"}</definedName>
    <definedName name="_y2" localSheetId="21">{"TAB1",#N/A,TRUE,"GENERAL";"TAB2",#N/A,TRUE,"GENERAL";"TAB3",#N/A,TRUE,"GENERAL";"TAB4",#N/A,TRUE,"GENERAL";"TAB5",#N/A,TRUE,"GENERAL"}</definedName>
    <definedName name="_y2" localSheetId="9">{"TAB1",#N/A,TRUE,"GENERAL";"TAB2",#N/A,TRUE,"GENERAL";"TAB3",#N/A,TRUE,"GENERAL";"TAB4",#N/A,TRUE,"GENERAL";"TAB5",#N/A,TRUE,"GENERAL"}</definedName>
    <definedName name="_y2" localSheetId="19">{"TAB1",#N/A,TRUE,"GENERAL";"TAB2",#N/A,TRUE,"GENERAL";"TAB3",#N/A,TRUE,"GENERAL";"TAB4",#N/A,TRUE,"GENERAL";"TAB5",#N/A,TRUE,"GENERAL"}</definedName>
    <definedName name="_y2" localSheetId="28">{"TAB1",#N/A,TRUE,"GENERAL";"TAB2",#N/A,TRUE,"GENERAL";"TAB3",#N/A,TRUE,"GENERAL";"TAB4",#N/A,TRUE,"GENERAL";"TAB5",#N/A,TRUE,"GENERAL"}</definedName>
    <definedName name="_y2" localSheetId="29">{"TAB1",#N/A,TRUE,"GENERAL";"TAB2",#N/A,TRUE,"GENERAL";"TAB3",#N/A,TRUE,"GENERAL";"TAB4",#N/A,TRUE,"GENERAL";"TAB5",#N/A,TRUE,"GENERAL"}</definedName>
    <definedName name="_y2">{"TAB1",#N/A,TRUE,"GENERAL";"TAB2",#N/A,TRUE,"GENERAL";"TAB3",#N/A,TRUE,"GENERAL";"TAB4",#N/A,TRUE,"GENERAL";"TAB5",#N/A,TRUE,"GENERAL"}</definedName>
    <definedName name="_y3" localSheetId="39">{"via1",#N/A,TRUE,"general";"via2",#N/A,TRUE,"general";"via3",#N/A,TRUE,"general"}</definedName>
    <definedName name="_y3" localSheetId="20">{"via1",#N/A,TRUE,"general";"via2",#N/A,TRUE,"general";"via3",#N/A,TRUE,"general"}</definedName>
    <definedName name="_y3" localSheetId="21">{"via1",#N/A,TRUE,"general";"via2",#N/A,TRUE,"general";"via3",#N/A,TRUE,"general"}</definedName>
    <definedName name="_y3" localSheetId="9">{"via1",#N/A,TRUE,"general";"via2",#N/A,TRUE,"general";"via3",#N/A,TRUE,"general"}</definedName>
    <definedName name="_y3" localSheetId="19">{"via1",#N/A,TRUE,"general";"via2",#N/A,TRUE,"general";"via3",#N/A,TRUE,"general"}</definedName>
    <definedName name="_y3" localSheetId="28">{"via1",#N/A,TRUE,"general";"via2",#N/A,TRUE,"general";"via3",#N/A,TRUE,"general"}</definedName>
    <definedName name="_y3" localSheetId="29">{"via1",#N/A,TRUE,"general";"via2",#N/A,TRUE,"general";"via3",#N/A,TRUE,"general"}</definedName>
    <definedName name="_y3">{"via1",#N/A,TRUE,"general";"via2",#N/A,TRUE,"general";"via3",#N/A,TRUE,"general"}</definedName>
    <definedName name="_y4" localSheetId="39">{"via1",#N/A,TRUE,"general";"via2",#N/A,TRUE,"general";"via3",#N/A,TRUE,"general"}</definedName>
    <definedName name="_y4" localSheetId="20">{"via1",#N/A,TRUE,"general";"via2",#N/A,TRUE,"general";"via3",#N/A,TRUE,"general"}</definedName>
    <definedName name="_y4" localSheetId="21">{"via1",#N/A,TRUE,"general";"via2",#N/A,TRUE,"general";"via3",#N/A,TRUE,"general"}</definedName>
    <definedName name="_y4" localSheetId="9">{"via1",#N/A,TRUE,"general";"via2",#N/A,TRUE,"general";"via3",#N/A,TRUE,"general"}</definedName>
    <definedName name="_y4" localSheetId="19">{"via1",#N/A,TRUE,"general";"via2",#N/A,TRUE,"general";"via3",#N/A,TRUE,"general"}</definedName>
    <definedName name="_y4" localSheetId="28">{"via1",#N/A,TRUE,"general";"via2",#N/A,TRUE,"general";"via3",#N/A,TRUE,"general"}</definedName>
    <definedName name="_y4" localSheetId="29">{"via1",#N/A,TRUE,"general";"via2",#N/A,TRUE,"general";"via3",#N/A,TRUE,"general"}</definedName>
    <definedName name="_y4">{"via1",#N/A,TRUE,"general";"via2",#N/A,TRUE,"general";"via3",#N/A,TRUE,"general"}</definedName>
    <definedName name="_y5" localSheetId="39">{"TAB1",#N/A,TRUE,"GENERAL";"TAB2",#N/A,TRUE,"GENERAL";"TAB3",#N/A,TRUE,"GENERAL";"TAB4",#N/A,TRUE,"GENERAL";"TAB5",#N/A,TRUE,"GENERAL"}</definedName>
    <definedName name="_y5" localSheetId="20">{"TAB1",#N/A,TRUE,"GENERAL";"TAB2",#N/A,TRUE,"GENERAL";"TAB3",#N/A,TRUE,"GENERAL";"TAB4",#N/A,TRUE,"GENERAL";"TAB5",#N/A,TRUE,"GENERAL"}</definedName>
    <definedName name="_y5" localSheetId="21">{"TAB1",#N/A,TRUE,"GENERAL";"TAB2",#N/A,TRUE,"GENERAL";"TAB3",#N/A,TRUE,"GENERAL";"TAB4",#N/A,TRUE,"GENERAL";"TAB5",#N/A,TRUE,"GENERAL"}</definedName>
    <definedName name="_y5" localSheetId="9">{"TAB1",#N/A,TRUE,"GENERAL";"TAB2",#N/A,TRUE,"GENERAL";"TAB3",#N/A,TRUE,"GENERAL";"TAB4",#N/A,TRUE,"GENERAL";"TAB5",#N/A,TRUE,"GENERAL"}</definedName>
    <definedName name="_y5" localSheetId="19">{"TAB1",#N/A,TRUE,"GENERAL";"TAB2",#N/A,TRUE,"GENERAL";"TAB3",#N/A,TRUE,"GENERAL";"TAB4",#N/A,TRUE,"GENERAL";"TAB5",#N/A,TRUE,"GENERAL"}</definedName>
    <definedName name="_y5" localSheetId="28">{"TAB1",#N/A,TRUE,"GENERAL";"TAB2",#N/A,TRUE,"GENERAL";"TAB3",#N/A,TRUE,"GENERAL";"TAB4",#N/A,TRUE,"GENERAL";"TAB5",#N/A,TRUE,"GENERAL"}</definedName>
    <definedName name="_y5" localSheetId="29">{"TAB1",#N/A,TRUE,"GENERAL";"TAB2",#N/A,TRUE,"GENERAL";"TAB3",#N/A,TRUE,"GENERAL";"TAB4",#N/A,TRUE,"GENERAL";"TAB5",#N/A,TRUE,"GENERAL"}</definedName>
    <definedName name="_y5">{"TAB1",#N/A,TRUE,"GENERAL";"TAB2",#N/A,TRUE,"GENERAL";"TAB3",#N/A,TRUE,"GENERAL";"TAB4",#N/A,TRUE,"GENERAL";"TAB5",#N/A,TRUE,"GENERAL"}</definedName>
    <definedName name="_y6" localSheetId="39">{"via1",#N/A,TRUE,"general";"via2",#N/A,TRUE,"general";"via3",#N/A,TRUE,"general"}</definedName>
    <definedName name="_y6" localSheetId="20">{"via1",#N/A,TRUE,"general";"via2",#N/A,TRUE,"general";"via3",#N/A,TRUE,"general"}</definedName>
    <definedName name="_y6" localSheetId="21">{"via1",#N/A,TRUE,"general";"via2",#N/A,TRUE,"general";"via3",#N/A,TRUE,"general"}</definedName>
    <definedName name="_y6" localSheetId="9">{"via1",#N/A,TRUE,"general";"via2",#N/A,TRUE,"general";"via3",#N/A,TRUE,"general"}</definedName>
    <definedName name="_y6" localSheetId="19">{"via1",#N/A,TRUE,"general";"via2",#N/A,TRUE,"general";"via3",#N/A,TRUE,"general"}</definedName>
    <definedName name="_y6" localSheetId="28">{"via1",#N/A,TRUE,"general";"via2",#N/A,TRUE,"general";"via3",#N/A,TRUE,"general"}</definedName>
    <definedName name="_y6" localSheetId="29">{"via1",#N/A,TRUE,"general";"via2",#N/A,TRUE,"general";"via3",#N/A,TRUE,"general"}</definedName>
    <definedName name="_y6">{"via1",#N/A,TRUE,"general";"via2",#N/A,TRUE,"general";"via3",#N/A,TRUE,"general"}</definedName>
    <definedName name="_y7" localSheetId="39">{"via1",#N/A,TRUE,"general";"via2",#N/A,TRUE,"general";"via3",#N/A,TRUE,"general"}</definedName>
    <definedName name="_y7" localSheetId="20">{"via1",#N/A,TRUE,"general";"via2",#N/A,TRUE,"general";"via3",#N/A,TRUE,"general"}</definedName>
    <definedName name="_y7" localSheetId="21">{"via1",#N/A,TRUE,"general";"via2",#N/A,TRUE,"general";"via3",#N/A,TRUE,"general"}</definedName>
    <definedName name="_y7" localSheetId="9">{"via1",#N/A,TRUE,"general";"via2",#N/A,TRUE,"general";"via3",#N/A,TRUE,"general"}</definedName>
    <definedName name="_y7" localSheetId="19">{"via1",#N/A,TRUE,"general";"via2",#N/A,TRUE,"general";"via3",#N/A,TRUE,"general"}</definedName>
    <definedName name="_y7" localSheetId="28">{"via1",#N/A,TRUE,"general";"via2",#N/A,TRUE,"general";"via3",#N/A,TRUE,"general"}</definedName>
    <definedName name="_y7" localSheetId="29">{"via1",#N/A,TRUE,"general";"via2",#N/A,TRUE,"general";"via3",#N/A,TRUE,"general"}</definedName>
    <definedName name="_y7">{"via1",#N/A,TRUE,"general";"via2",#N/A,TRUE,"general";"via3",#N/A,TRUE,"general"}</definedName>
    <definedName name="_y8" localSheetId="39">{"via1",#N/A,TRUE,"general";"via2",#N/A,TRUE,"general";"via3",#N/A,TRUE,"general"}</definedName>
    <definedName name="_y8" localSheetId="20">{"via1",#N/A,TRUE,"general";"via2",#N/A,TRUE,"general";"via3",#N/A,TRUE,"general"}</definedName>
    <definedName name="_y8" localSheetId="21">{"via1",#N/A,TRUE,"general";"via2",#N/A,TRUE,"general";"via3",#N/A,TRUE,"general"}</definedName>
    <definedName name="_y8" localSheetId="9">{"via1",#N/A,TRUE,"general";"via2",#N/A,TRUE,"general";"via3",#N/A,TRUE,"general"}</definedName>
    <definedName name="_y8" localSheetId="19">{"via1",#N/A,TRUE,"general";"via2",#N/A,TRUE,"general";"via3",#N/A,TRUE,"general"}</definedName>
    <definedName name="_y8" localSheetId="28">{"via1",#N/A,TRUE,"general";"via2",#N/A,TRUE,"general";"via3",#N/A,TRUE,"general"}</definedName>
    <definedName name="_y8" localSheetId="29">{"via1",#N/A,TRUE,"general";"via2",#N/A,TRUE,"general";"via3",#N/A,TRUE,"general"}</definedName>
    <definedName name="_y8">{"via1",#N/A,TRUE,"general";"via2",#N/A,TRUE,"general";"via3",#N/A,TRUE,"general"}</definedName>
    <definedName name="_y9" localSheetId="39">{"TAB1",#N/A,TRUE,"GENERAL";"TAB2",#N/A,TRUE,"GENERAL";"TAB3",#N/A,TRUE,"GENERAL";"TAB4",#N/A,TRUE,"GENERAL";"TAB5",#N/A,TRUE,"GENERAL"}</definedName>
    <definedName name="_y9" localSheetId="20">{"TAB1",#N/A,TRUE,"GENERAL";"TAB2",#N/A,TRUE,"GENERAL";"TAB3",#N/A,TRUE,"GENERAL";"TAB4",#N/A,TRUE,"GENERAL";"TAB5",#N/A,TRUE,"GENERAL"}</definedName>
    <definedName name="_y9" localSheetId="21">{"TAB1",#N/A,TRUE,"GENERAL";"TAB2",#N/A,TRUE,"GENERAL";"TAB3",#N/A,TRUE,"GENERAL";"TAB4",#N/A,TRUE,"GENERAL";"TAB5",#N/A,TRUE,"GENERAL"}</definedName>
    <definedName name="_y9" localSheetId="9">{"TAB1",#N/A,TRUE,"GENERAL";"TAB2",#N/A,TRUE,"GENERAL";"TAB3",#N/A,TRUE,"GENERAL";"TAB4",#N/A,TRUE,"GENERAL";"TAB5",#N/A,TRUE,"GENERAL"}</definedName>
    <definedName name="_y9" localSheetId="19">{"TAB1",#N/A,TRUE,"GENERAL";"TAB2",#N/A,TRUE,"GENERAL";"TAB3",#N/A,TRUE,"GENERAL";"TAB4",#N/A,TRUE,"GENERAL";"TAB5",#N/A,TRUE,"GENERAL"}</definedName>
    <definedName name="_y9" localSheetId="28">{"TAB1",#N/A,TRUE,"GENERAL";"TAB2",#N/A,TRUE,"GENERAL";"TAB3",#N/A,TRUE,"GENERAL";"TAB4",#N/A,TRUE,"GENERAL";"TAB5",#N/A,TRUE,"GENERAL"}</definedName>
    <definedName name="_y9" localSheetId="29">{"TAB1",#N/A,TRUE,"GENERAL";"TAB2",#N/A,TRUE,"GENERAL";"TAB3",#N/A,TRUE,"GENERAL";"TAB4",#N/A,TRUE,"GENERAL";"TAB5",#N/A,TRUE,"GENERAL"}</definedName>
    <definedName name="_y9">{"TAB1",#N/A,TRUE,"GENERAL";"TAB2",#N/A,TRUE,"GENERAL";"TAB3",#N/A,TRUE,"GENERAL";"TAB4",#N/A,TRUE,"GENERAL";"TAB5",#N/A,TRUE,"GENERAL"}</definedName>
    <definedName name="_z1" localSheetId="39">{"TAB1",#N/A,TRUE,"GENERAL";"TAB2",#N/A,TRUE,"GENERAL";"TAB3",#N/A,TRUE,"GENERAL";"TAB4",#N/A,TRUE,"GENERAL";"TAB5",#N/A,TRUE,"GENERAL"}</definedName>
    <definedName name="_z1" localSheetId="20">{"TAB1",#N/A,TRUE,"GENERAL";"TAB2",#N/A,TRUE,"GENERAL";"TAB3",#N/A,TRUE,"GENERAL";"TAB4",#N/A,TRUE,"GENERAL";"TAB5",#N/A,TRUE,"GENERAL"}</definedName>
    <definedName name="_z1" localSheetId="21">{"TAB1",#N/A,TRUE,"GENERAL";"TAB2",#N/A,TRUE,"GENERAL";"TAB3",#N/A,TRUE,"GENERAL";"TAB4",#N/A,TRUE,"GENERAL";"TAB5",#N/A,TRUE,"GENERAL"}</definedName>
    <definedName name="_z1" localSheetId="9">{"TAB1",#N/A,TRUE,"GENERAL";"TAB2",#N/A,TRUE,"GENERAL";"TAB3",#N/A,TRUE,"GENERAL";"TAB4",#N/A,TRUE,"GENERAL";"TAB5",#N/A,TRUE,"GENERAL"}</definedName>
    <definedName name="_z1" localSheetId="19">{"TAB1",#N/A,TRUE,"GENERAL";"TAB2",#N/A,TRUE,"GENERAL";"TAB3",#N/A,TRUE,"GENERAL";"TAB4",#N/A,TRUE,"GENERAL";"TAB5",#N/A,TRUE,"GENERAL"}</definedName>
    <definedName name="_z1" localSheetId="28">{"TAB1",#N/A,TRUE,"GENERAL";"TAB2",#N/A,TRUE,"GENERAL";"TAB3",#N/A,TRUE,"GENERAL";"TAB4",#N/A,TRUE,"GENERAL";"TAB5",#N/A,TRUE,"GENERAL"}</definedName>
    <definedName name="_z1" localSheetId="29">{"TAB1",#N/A,TRUE,"GENERAL";"TAB2",#N/A,TRUE,"GENERAL";"TAB3",#N/A,TRUE,"GENERAL";"TAB4",#N/A,TRUE,"GENERAL";"TAB5",#N/A,TRUE,"GENERAL"}</definedName>
    <definedName name="_z1">{"TAB1",#N/A,TRUE,"GENERAL";"TAB2",#N/A,TRUE,"GENERAL";"TAB3",#N/A,TRUE,"GENERAL";"TAB4",#N/A,TRUE,"GENERAL";"TAB5",#N/A,TRUE,"GENERAL"}</definedName>
    <definedName name="_z2" localSheetId="39">{"via1",#N/A,TRUE,"general";"via2",#N/A,TRUE,"general";"via3",#N/A,TRUE,"general"}</definedName>
    <definedName name="_z2" localSheetId="20">{"via1",#N/A,TRUE,"general";"via2",#N/A,TRUE,"general";"via3",#N/A,TRUE,"general"}</definedName>
    <definedName name="_z2" localSheetId="21">{"via1",#N/A,TRUE,"general";"via2",#N/A,TRUE,"general";"via3",#N/A,TRUE,"general"}</definedName>
    <definedName name="_z2" localSheetId="9">{"via1",#N/A,TRUE,"general";"via2",#N/A,TRUE,"general";"via3",#N/A,TRUE,"general"}</definedName>
    <definedName name="_z2" localSheetId="19">{"via1",#N/A,TRUE,"general";"via2",#N/A,TRUE,"general";"via3",#N/A,TRUE,"general"}</definedName>
    <definedName name="_z2" localSheetId="28">{"via1",#N/A,TRUE,"general";"via2",#N/A,TRUE,"general";"via3",#N/A,TRUE,"general"}</definedName>
    <definedName name="_z2" localSheetId="29">{"via1",#N/A,TRUE,"general";"via2",#N/A,TRUE,"general";"via3",#N/A,TRUE,"general"}</definedName>
    <definedName name="_z2">{"via1",#N/A,TRUE,"general";"via2",#N/A,TRUE,"general";"via3",#N/A,TRUE,"general"}</definedName>
    <definedName name="_z3" localSheetId="39">{"via1",#N/A,TRUE,"general";"via2",#N/A,TRUE,"general";"via3",#N/A,TRUE,"general"}</definedName>
    <definedName name="_z3" localSheetId="20">{"via1",#N/A,TRUE,"general";"via2",#N/A,TRUE,"general";"via3",#N/A,TRUE,"general"}</definedName>
    <definedName name="_z3" localSheetId="21">{"via1",#N/A,TRUE,"general";"via2",#N/A,TRUE,"general";"via3",#N/A,TRUE,"general"}</definedName>
    <definedName name="_z3" localSheetId="9">{"via1",#N/A,TRUE,"general";"via2",#N/A,TRUE,"general";"via3",#N/A,TRUE,"general"}</definedName>
    <definedName name="_z3" localSheetId="19">{"via1",#N/A,TRUE,"general";"via2",#N/A,TRUE,"general";"via3",#N/A,TRUE,"general"}</definedName>
    <definedName name="_z3" localSheetId="28">{"via1",#N/A,TRUE,"general";"via2",#N/A,TRUE,"general";"via3",#N/A,TRUE,"general"}</definedName>
    <definedName name="_z3" localSheetId="29">{"via1",#N/A,TRUE,"general";"via2",#N/A,TRUE,"general";"via3",#N/A,TRUE,"general"}</definedName>
    <definedName name="_z3">{"via1",#N/A,TRUE,"general";"via2",#N/A,TRUE,"general";"via3",#N/A,TRUE,"general"}</definedName>
    <definedName name="_z4" localSheetId="39">{"TAB1",#N/A,TRUE,"GENERAL";"TAB2",#N/A,TRUE,"GENERAL";"TAB3",#N/A,TRUE,"GENERAL";"TAB4",#N/A,TRUE,"GENERAL";"TAB5",#N/A,TRUE,"GENERAL"}</definedName>
    <definedName name="_z4" localSheetId="20">{"TAB1",#N/A,TRUE,"GENERAL";"TAB2",#N/A,TRUE,"GENERAL";"TAB3",#N/A,TRUE,"GENERAL";"TAB4",#N/A,TRUE,"GENERAL";"TAB5",#N/A,TRUE,"GENERAL"}</definedName>
    <definedName name="_z4" localSheetId="21">{"TAB1",#N/A,TRUE,"GENERAL";"TAB2",#N/A,TRUE,"GENERAL";"TAB3",#N/A,TRUE,"GENERAL";"TAB4",#N/A,TRUE,"GENERAL";"TAB5",#N/A,TRUE,"GENERAL"}</definedName>
    <definedName name="_z4" localSheetId="9">{"TAB1",#N/A,TRUE,"GENERAL";"TAB2",#N/A,TRUE,"GENERAL";"TAB3",#N/A,TRUE,"GENERAL";"TAB4",#N/A,TRUE,"GENERAL";"TAB5",#N/A,TRUE,"GENERAL"}</definedName>
    <definedName name="_z4" localSheetId="19">{"TAB1",#N/A,TRUE,"GENERAL";"TAB2",#N/A,TRUE,"GENERAL";"TAB3",#N/A,TRUE,"GENERAL";"TAB4",#N/A,TRUE,"GENERAL";"TAB5",#N/A,TRUE,"GENERAL"}</definedName>
    <definedName name="_z4" localSheetId="28">{"TAB1",#N/A,TRUE,"GENERAL";"TAB2",#N/A,TRUE,"GENERAL";"TAB3",#N/A,TRUE,"GENERAL";"TAB4",#N/A,TRUE,"GENERAL";"TAB5",#N/A,TRUE,"GENERAL"}</definedName>
    <definedName name="_z4" localSheetId="29">{"TAB1",#N/A,TRUE,"GENERAL";"TAB2",#N/A,TRUE,"GENERAL";"TAB3",#N/A,TRUE,"GENERAL";"TAB4",#N/A,TRUE,"GENERAL";"TAB5",#N/A,TRUE,"GENERAL"}</definedName>
    <definedName name="_z4">{"TAB1",#N/A,TRUE,"GENERAL";"TAB2",#N/A,TRUE,"GENERAL";"TAB3",#N/A,TRUE,"GENERAL";"TAB4",#N/A,TRUE,"GENERAL";"TAB5",#N/A,TRUE,"GENERAL"}</definedName>
    <definedName name="_z5" localSheetId="39">{"via1",#N/A,TRUE,"general";"via2",#N/A,TRUE,"general";"via3",#N/A,TRUE,"general"}</definedName>
    <definedName name="_z5" localSheetId="20">{"via1",#N/A,TRUE,"general";"via2",#N/A,TRUE,"general";"via3",#N/A,TRUE,"general"}</definedName>
    <definedName name="_z5" localSheetId="21">{"via1",#N/A,TRUE,"general";"via2",#N/A,TRUE,"general";"via3",#N/A,TRUE,"general"}</definedName>
    <definedName name="_z5" localSheetId="9">{"via1",#N/A,TRUE,"general";"via2",#N/A,TRUE,"general";"via3",#N/A,TRUE,"general"}</definedName>
    <definedName name="_z5" localSheetId="19">{"via1",#N/A,TRUE,"general";"via2",#N/A,TRUE,"general";"via3",#N/A,TRUE,"general"}</definedName>
    <definedName name="_z5" localSheetId="28">{"via1",#N/A,TRUE,"general";"via2",#N/A,TRUE,"general";"via3",#N/A,TRUE,"general"}</definedName>
    <definedName name="_z5" localSheetId="29">{"via1",#N/A,TRUE,"general";"via2",#N/A,TRUE,"general";"via3",#N/A,TRUE,"general"}</definedName>
    <definedName name="_z5">{"via1",#N/A,TRUE,"general";"via2",#N/A,TRUE,"general";"via3",#N/A,TRUE,"general"}</definedName>
    <definedName name="_z6" localSheetId="39">{"TAB1",#N/A,TRUE,"GENERAL";"TAB2",#N/A,TRUE,"GENERAL";"TAB3",#N/A,TRUE,"GENERAL";"TAB4",#N/A,TRUE,"GENERAL";"TAB5",#N/A,TRUE,"GENERAL"}</definedName>
    <definedName name="_z6" localSheetId="20">{"TAB1",#N/A,TRUE,"GENERAL";"TAB2",#N/A,TRUE,"GENERAL";"TAB3",#N/A,TRUE,"GENERAL";"TAB4",#N/A,TRUE,"GENERAL";"TAB5",#N/A,TRUE,"GENERAL"}</definedName>
    <definedName name="_z6" localSheetId="21">{"TAB1",#N/A,TRUE,"GENERAL";"TAB2",#N/A,TRUE,"GENERAL";"TAB3",#N/A,TRUE,"GENERAL";"TAB4",#N/A,TRUE,"GENERAL";"TAB5",#N/A,TRUE,"GENERAL"}</definedName>
    <definedName name="_z6" localSheetId="9">{"TAB1",#N/A,TRUE,"GENERAL";"TAB2",#N/A,TRUE,"GENERAL";"TAB3",#N/A,TRUE,"GENERAL";"TAB4",#N/A,TRUE,"GENERAL";"TAB5",#N/A,TRUE,"GENERAL"}</definedName>
    <definedName name="_z6" localSheetId="19">{"TAB1",#N/A,TRUE,"GENERAL";"TAB2",#N/A,TRUE,"GENERAL";"TAB3",#N/A,TRUE,"GENERAL";"TAB4",#N/A,TRUE,"GENERAL";"TAB5",#N/A,TRUE,"GENERAL"}</definedName>
    <definedName name="_z6" localSheetId="28">{"TAB1",#N/A,TRUE,"GENERAL";"TAB2",#N/A,TRUE,"GENERAL";"TAB3",#N/A,TRUE,"GENERAL";"TAB4",#N/A,TRUE,"GENERAL";"TAB5",#N/A,TRUE,"GENERAL"}</definedName>
    <definedName name="_z6" localSheetId="29">{"TAB1",#N/A,TRUE,"GENERAL";"TAB2",#N/A,TRUE,"GENERAL";"TAB3",#N/A,TRUE,"GENERAL";"TAB4",#N/A,TRUE,"GENERAL";"TAB5",#N/A,TRUE,"GENERAL"}</definedName>
    <definedName name="_z6">{"TAB1",#N/A,TRUE,"GENERAL";"TAB2",#N/A,TRUE,"GENERAL";"TAB3",#N/A,TRUE,"GENERAL";"TAB4",#N/A,TRUE,"GENERAL";"TAB5",#N/A,TRUE,"GENERAL"}</definedName>
    <definedName name="A" localSheetId="9">#REF!</definedName>
    <definedName name="a" localSheetId="17">#REF!</definedName>
    <definedName name="a" localSheetId="18">#REF!</definedName>
    <definedName name="a" localSheetId="12">#REF!</definedName>
    <definedName name="A">#REF!</definedName>
    <definedName name="A.A..A" localSheetId="10" hidden="1">{"total",#N/A,FALSE,"TD 0% ";"total",#N/A,FALSE,"TD 12%";"total",#N/A,FALSE,"TD 10%"}</definedName>
    <definedName name="A.A..A" localSheetId="20" hidden="1">{"total",#N/A,FALSE,"TD 0% ";"total",#N/A,FALSE,"TD 12%";"total",#N/A,FALSE,"TD 10%"}</definedName>
    <definedName name="A.A..A" localSheetId="21" hidden="1">{"total",#N/A,FALSE,"TD 0% ";"total",#N/A,FALSE,"TD 12%";"total",#N/A,FALSE,"TD 10%"}</definedName>
    <definedName name="A.A..A" localSheetId="9" hidden="1">{"total",#N/A,FALSE,"TD 0% ";"total",#N/A,FALSE,"TD 12%";"total",#N/A,FALSE,"TD 10%"}</definedName>
    <definedName name="A.A..A" localSheetId="19" hidden="1">{"total",#N/A,FALSE,"TD 0% ";"total",#N/A,FALSE,"TD 12%";"total",#N/A,FALSE,"TD 10%"}</definedName>
    <definedName name="A.A..A" localSheetId="13" hidden="1">{"total",#N/A,FALSE,"TD 0% ";"total",#N/A,FALSE,"TD 12%";"total",#N/A,FALSE,"TD 10%"}</definedName>
    <definedName name="A.A..A" localSheetId="17" hidden="1">{"total",#N/A,FALSE,"TD 0% ";"total",#N/A,FALSE,"TD 12%";"total",#N/A,FALSE,"TD 10%"}</definedName>
    <definedName name="A.A..A" localSheetId="18" hidden="1">{"total",#N/A,FALSE,"TD 0% ";"total",#N/A,FALSE,"TD 12%";"total",#N/A,FALSE,"TD 10%"}</definedName>
    <definedName name="A.A..A" localSheetId="28" hidden="1">{"total",#N/A,FALSE,"TD 0% ";"total",#N/A,FALSE,"TD 12%";"total",#N/A,FALSE,"TD 10%"}</definedName>
    <definedName name="A.A..A" localSheetId="29" hidden="1">{"total",#N/A,FALSE,"TD 0% ";"total",#N/A,FALSE,"TD 12%";"total",#N/A,FALSE,"TD 10%"}</definedName>
    <definedName name="A.A..A" localSheetId="12" hidden="1">{"total",#N/A,FALSE,"TD 0% ";"total",#N/A,FALSE,"TD 12%";"total",#N/A,FALSE,"TD 10%"}</definedName>
    <definedName name="A.A..A" hidden="1">{"total",#N/A,FALSE,"TD 0% ";"total",#N/A,FALSE,"TD 12%";"total",#N/A,FALSE,"TD 10%"}</definedName>
    <definedName name="A.D.CV1_Moisture">#REF!</definedName>
    <definedName name="A.D.CV2_Al">#REF!</definedName>
    <definedName name="A.D.CV2_Co">#REF!</definedName>
    <definedName name="A.D.CV2_ContainedAl">#REF!</definedName>
    <definedName name="A.D.CV2_ContainedCo">#REF!</definedName>
    <definedName name="A.D.CV2_ContainedFe">#REF!</definedName>
    <definedName name="A.D.CV2_ContainedMg">#REF!</definedName>
    <definedName name="A.D.CV2_ContainedNi">#REF!</definedName>
    <definedName name="A.D.CV2_ContainedSi">#REF!</definedName>
    <definedName name="A.D.CV2_DryTonnes">#REF!</definedName>
    <definedName name="A.D.CV2_dtph">#REF!</definedName>
    <definedName name="A.D.CV2_Fe">#REF!</definedName>
    <definedName name="A.D.CV2_Mg">#REF!</definedName>
    <definedName name="A.D.CV2_Ni">#REF!</definedName>
    <definedName name="A.D.CV2_Si">#REF!</definedName>
    <definedName name="A.D.Mill_Availability">#REF!</definedName>
    <definedName name="A.D.Mill_Downtime">#REF!</definedName>
    <definedName name="A.D.Mill_DryTonnes">#REF!</definedName>
    <definedName name="A.D.Mill_DryTph">#REF!</definedName>
    <definedName name="A.D.Mill_PowerDraw">#REF!</definedName>
    <definedName name="A.D.Mill_PowerDrawPerTonne">#REF!</definedName>
    <definedName name="A.D.Mill_Uptime">#REF!</definedName>
    <definedName name="A.D.Mill_Utilization">#REF!</definedName>
    <definedName name="A.D.Mill_WetTonnes">#REF!</definedName>
    <definedName name="A.D.Mill_WetTph">#REF!</definedName>
    <definedName name="A.D.MillFeed_Al">#REF!</definedName>
    <definedName name="A.D.MillFeed_Co">#REF!</definedName>
    <definedName name="A.D.MillFeed_Fe">#REF!</definedName>
    <definedName name="A.D.MillFeed_Mg">#REF!</definedName>
    <definedName name="A.D.MillFeed_Ni">#REF!</definedName>
    <definedName name="A.D.MillFeed_Si">#REF!</definedName>
    <definedName name="A.D.MillH2O_Head">#REF!</definedName>
    <definedName name="A.D.MillH2O_Screen">#REF!</definedName>
    <definedName name="A.D.MillH2O_Total">#REF!</definedName>
    <definedName name="A.D.OreToStorage_Al">#REF!</definedName>
    <definedName name="A.D.OreToStorage_Co">#REF!</definedName>
    <definedName name="A.D.OreToStorage_ContainedAl">#REF!</definedName>
    <definedName name="A.D.OreToStorage_ContainedCo">#REF!</definedName>
    <definedName name="A.D.OreToStorage_ContainedFe">#REF!</definedName>
    <definedName name="A.D.OreToStorage_ContainedMg">#REF!</definedName>
    <definedName name="A.D.OreToStorage_ContainedNi">#REF!</definedName>
    <definedName name="A.D.OreToStorage_ContainedSi">#REF!</definedName>
    <definedName name="A.D.OreToStorage_DryTonnes">#REF!</definedName>
    <definedName name="A.D.OreToStorage_DryTph">#REF!</definedName>
    <definedName name="A.D.OreToStorage_Fe">#REF!</definedName>
    <definedName name="A.D.OreToStorage_Mg">#REF!</definedName>
    <definedName name="A.D.OreToStorage_Ni">#REF!</definedName>
    <definedName name="A.D.OreToStorage_PulpDensity">#REF!</definedName>
    <definedName name="A.D.OreToStorage_PulpYieldStress">#REF!</definedName>
    <definedName name="A.D.OreToStorage_Si">#REF!</definedName>
    <definedName name="A.D.OreToStorage_Tank1Level">#REF!</definedName>
    <definedName name="A.D.OreToStorage_Tank2Level">#REF!</definedName>
    <definedName name="A.D.OreToStorage_Tank3Level">#REF!</definedName>
    <definedName name="A.D.OreToStorage_Tank4Level">#REF!</definedName>
    <definedName name="A.D.OreToStorage_Volume">#REF!</definedName>
    <definedName name="A.D.OreToStorage_VolumePerHr">#REF!</definedName>
    <definedName name="A.D.ROM1_PercentFed">#REF!</definedName>
    <definedName name="A.D.ROM1_TonnesFed">#REF!</definedName>
    <definedName name="A.D.ROM2_PercentFed">#REF!</definedName>
    <definedName name="A.D.ROM2_TonnesFed">#REF!</definedName>
    <definedName name="A.D.ROM3_PercentFed">#REF!</definedName>
    <definedName name="A.D.ROM3_TonnesFed">#REF!</definedName>
    <definedName name="A.D.ROM4_PercentFed">#REF!</definedName>
    <definedName name="A.D.ROM4_TonnesFed">#REF!</definedName>
    <definedName name="A.D.ROM5_PercentFed">#REF!</definedName>
    <definedName name="A.D.ROM5_TonnesFed">#REF!</definedName>
    <definedName name="A.D.Total_ContainedAl">#REF!</definedName>
    <definedName name="A.D.Total_ContainedCo">#REF!</definedName>
    <definedName name="A.D.Total_ContainedFe">#REF!</definedName>
    <definedName name="A.D.Total_ContainedMg">#REF!</definedName>
    <definedName name="A.D.Total_ContainedNi">#REF!</definedName>
    <definedName name="A.D.Total_ContainedSi">#REF!</definedName>
    <definedName name="A.M.CV1_Moisture">#REF!</definedName>
    <definedName name="A.M.CV2_Al">#REF!</definedName>
    <definedName name="A.M.CV2_Co">#REF!</definedName>
    <definedName name="A.M.CV2_DryTonnes">#REF!</definedName>
    <definedName name="A.M.CV2_dtph">#REF!</definedName>
    <definedName name="A.M.CV2_Fe">#REF!</definedName>
    <definedName name="A.M.CV2_Mg">#REF!</definedName>
    <definedName name="A.M.CV2_Ni">#REF!</definedName>
    <definedName name="A.M.CV2_Si">#REF!</definedName>
    <definedName name="A.M.Mill_Availability">#REF!</definedName>
    <definedName name="A.M.Mill_Downtime">#REF!</definedName>
    <definedName name="A.M.Mill_DryTonnes">#REF!</definedName>
    <definedName name="A.M.Mill_DryTph">#REF!</definedName>
    <definedName name="A.M.Mill_PowerDraw">#REF!</definedName>
    <definedName name="A.M.Mill_PowerDrawPerTonne">#REF!</definedName>
    <definedName name="A.M.Mill_Uptime">#REF!</definedName>
    <definedName name="A.M.Mill_Utilization">#REF!</definedName>
    <definedName name="A.M.Mill_WetTonnes">#REF!</definedName>
    <definedName name="A.M.Mill_WetTph">#REF!</definedName>
    <definedName name="A.M.MillFeed_Al">#REF!</definedName>
    <definedName name="A.M.MillFeed_Co">#REF!</definedName>
    <definedName name="A.M.MillFeed_Fe">#REF!</definedName>
    <definedName name="A.M.MillFeed_Mg">#REF!</definedName>
    <definedName name="A.M.MillFeed_Ni">#REF!</definedName>
    <definedName name="A.M.MillFeed_Si">#REF!</definedName>
    <definedName name="A.M.MillH2O_Head">#REF!</definedName>
    <definedName name="A.M.MillH2O_Screen">#REF!</definedName>
    <definedName name="A.M.MillH2O_Total">#REF!</definedName>
    <definedName name="A.M.OreToStorage_Al">#REF!</definedName>
    <definedName name="A.M.OreToStorage_Co">#REF!</definedName>
    <definedName name="A.M.OreToStorage_DryTonnes">#REF!</definedName>
    <definedName name="A.M.OreToStorage_DryTph">#REF!</definedName>
    <definedName name="A.M.OreToStorage_Fe">#REF!</definedName>
    <definedName name="A.M.OreToStorage_Mg">#REF!</definedName>
    <definedName name="A.M.OreToStorage_Ni">#REF!</definedName>
    <definedName name="A.M.OreToStorage_PulpDensity">#REF!</definedName>
    <definedName name="A.M.OreToStorage_PulpYieldStress">#REF!</definedName>
    <definedName name="A.M.OreToStorage_Si">#REF!</definedName>
    <definedName name="A.M.OreToStorage_Volume">#REF!</definedName>
    <definedName name="A.M.OreToStorage_VolumePerHr">#REF!</definedName>
    <definedName name="A.Y.CV1_Moisture">#REF!</definedName>
    <definedName name="A.Y.CV2_Al">#REF!</definedName>
    <definedName name="A.Y.CV2_Co">#REF!</definedName>
    <definedName name="A.Y.CV2_DryTonnes">#REF!</definedName>
    <definedName name="A.Y.CV2_dtph">#REF!</definedName>
    <definedName name="A.Y.CV2_Fe">#REF!</definedName>
    <definedName name="A.Y.CV2_Mg">#REF!</definedName>
    <definedName name="A.Y.CV2_Ni">#REF!</definedName>
    <definedName name="A.Y.CV2_Si">#REF!</definedName>
    <definedName name="A.Y.Mill_Availability">#REF!</definedName>
    <definedName name="A.Y.Mill_Downtime">#REF!</definedName>
    <definedName name="A.Y.Mill_DryTonnes">#REF!</definedName>
    <definedName name="A.Y.Mill_DryTph">#REF!</definedName>
    <definedName name="A.Y.Mill_PowerDraw">#REF!</definedName>
    <definedName name="A.Y.Mill_PowerDrawPerTonne">#REF!</definedName>
    <definedName name="A.Y.Mill_Uptime">#REF!</definedName>
    <definedName name="A.Y.Mill_Utilization">#REF!</definedName>
    <definedName name="A.Y.Mill_WetTonnes">#REF!</definedName>
    <definedName name="A.Y.Mill_WetTph">#REF!</definedName>
    <definedName name="A.Y.MillFeed_Al">#REF!</definedName>
    <definedName name="A.Y.MillFeed_Co">#REF!</definedName>
    <definedName name="A.Y.MillFeed_Fe">#REF!</definedName>
    <definedName name="A.Y.MillFeed_Mg">#REF!</definedName>
    <definedName name="A.Y.MillFeed_Ni">#REF!</definedName>
    <definedName name="A.Y.MillFeed_Si">#REF!</definedName>
    <definedName name="A.Y.MillH2O_Head">#REF!</definedName>
    <definedName name="A.Y.MillH2O_Screen">#REF!</definedName>
    <definedName name="A.Y.MillH2O_Total">#REF!</definedName>
    <definedName name="A.Y.OreToStorage_Al">#REF!</definedName>
    <definedName name="A.Y.OreToStorage_Co">#REF!</definedName>
    <definedName name="A.Y.OreToStorage_DryTonnes">#REF!</definedName>
    <definedName name="A.Y.OreToStorage_DryTph">#REF!</definedName>
    <definedName name="A.Y.OreToStorage_Fe">#REF!</definedName>
    <definedName name="A.Y.OreToStorage_Mg">#REF!</definedName>
    <definedName name="A.Y.OreToStorage_Ni">#REF!</definedName>
    <definedName name="A.Y.OreToStorage_PulpDensity">#REF!</definedName>
    <definedName name="A.Y.OreToStorage_PulpYieldStress">#REF!</definedName>
    <definedName name="A.Y.OreToStorage_Si">#REF!</definedName>
    <definedName name="A.Y.OreToStorage_Volume">#REF!</definedName>
    <definedName name="A.Y.OreToStorage_VolumePerHr">#REF!</definedName>
    <definedName name="a_1">#REF!</definedName>
    <definedName name="a_2">#REF!</definedName>
    <definedName name="a_3">#REF!</definedName>
    <definedName name="a_4">#REF!</definedName>
    <definedName name="a_BASICOS">#REF!</definedName>
    <definedName name="a_CIMENTACION">#REF!</definedName>
    <definedName name="A_IMPRESIÓN_IM" localSheetId="39">#REF!</definedName>
    <definedName name="A_IMPRESIÓN_IM" localSheetId="20">#REF!</definedName>
    <definedName name="A_IMPRESIÓN_IM" localSheetId="21">#REF!</definedName>
    <definedName name="A_IMPRESIÓN_IM" localSheetId="9">#REF!</definedName>
    <definedName name="A_IMPRESIÓN_IM" localSheetId="19">#REF!</definedName>
    <definedName name="A_IMPRESIÓN_IM">#REF!</definedName>
    <definedName name="A_impresión_IM_2">#REF!</definedName>
    <definedName name="a_PREELIMINAR">#REF!</definedName>
    <definedName name="A0">#REF!</definedName>
    <definedName name="a2a" localSheetId="39">{"TAB1",#N/A,TRUE,"GENERAL";"TAB2",#N/A,TRUE,"GENERAL";"TAB3",#N/A,TRUE,"GENERAL";"TAB4",#N/A,TRUE,"GENERAL";"TAB5",#N/A,TRUE,"GENERAL"}</definedName>
    <definedName name="a2a" localSheetId="20">{"TAB1",#N/A,TRUE,"GENERAL";"TAB2",#N/A,TRUE,"GENERAL";"TAB3",#N/A,TRUE,"GENERAL";"TAB4",#N/A,TRUE,"GENERAL";"TAB5",#N/A,TRUE,"GENERAL"}</definedName>
    <definedName name="a2a" localSheetId="21">{"TAB1",#N/A,TRUE,"GENERAL";"TAB2",#N/A,TRUE,"GENERAL";"TAB3",#N/A,TRUE,"GENERAL";"TAB4",#N/A,TRUE,"GENERAL";"TAB5",#N/A,TRUE,"GENERAL"}</definedName>
    <definedName name="a2a" localSheetId="9">{"TAB1",#N/A,TRUE,"GENERAL";"TAB2",#N/A,TRUE,"GENERAL";"TAB3",#N/A,TRUE,"GENERAL";"TAB4",#N/A,TRUE,"GENERAL";"TAB5",#N/A,TRUE,"GENERAL"}</definedName>
    <definedName name="a2a" localSheetId="19">{"TAB1",#N/A,TRUE,"GENERAL";"TAB2",#N/A,TRUE,"GENERAL";"TAB3",#N/A,TRUE,"GENERAL";"TAB4",#N/A,TRUE,"GENERAL";"TAB5",#N/A,TRUE,"GENERAL"}</definedName>
    <definedName name="a2a" localSheetId="28">{"TAB1",#N/A,TRUE,"GENERAL";"TAB2",#N/A,TRUE,"GENERAL";"TAB3",#N/A,TRUE,"GENERAL";"TAB4",#N/A,TRUE,"GENERAL";"TAB5",#N/A,TRUE,"GENERAL"}</definedName>
    <definedName name="a2a" localSheetId="29">{"TAB1",#N/A,TRUE,"GENERAL";"TAB2",#N/A,TRUE,"GENERAL";"TAB3",#N/A,TRUE,"GENERAL";"TAB4",#N/A,TRUE,"GENERAL";"TAB5",#N/A,TRUE,"GENERAL"}</definedName>
    <definedName name="a2a">{"TAB1",#N/A,TRUE,"GENERAL";"TAB2",#N/A,TRUE,"GENERAL";"TAB3",#N/A,TRUE,"GENERAL";"TAB4",#N/A,TRUE,"GENERAL";"TAB5",#N/A,TRUE,"GENERAL"}</definedName>
    <definedName name="AA" localSheetId="10" hidden="1">{"total",#N/A,FALSE,"TD 0% ";"total",#N/A,FALSE,"TD 12%";"total",#N/A,FALSE,"TD 10%"}</definedName>
    <definedName name="AA" localSheetId="20" hidden="1">{"total",#N/A,FALSE,"TD 0% ";"total",#N/A,FALSE,"TD 12%";"total",#N/A,FALSE,"TD 10%"}</definedName>
    <definedName name="AA" localSheetId="21" hidden="1">{"total",#N/A,FALSE,"TD 0% ";"total",#N/A,FALSE,"TD 12%";"total",#N/A,FALSE,"TD 10%"}</definedName>
    <definedName name="AA" localSheetId="9" hidden="1">{"total",#N/A,FALSE,"TD 0% ";"total",#N/A,FALSE,"TD 12%";"total",#N/A,FALSE,"TD 10%"}</definedName>
    <definedName name="AA" localSheetId="19" hidden="1">{"total",#N/A,FALSE,"TD 0% ";"total",#N/A,FALSE,"TD 12%";"total",#N/A,FALSE,"TD 10%"}</definedName>
    <definedName name="AA" localSheetId="13" hidden="1">{#N/A,#N/A,TRUE,"INGENIERIA";#N/A,#N/A,TRUE,"COMPRAS";#N/A,#N/A,TRUE,"DIRECCION";#N/A,#N/A,TRUE,"RESUMEN"}</definedName>
    <definedName name="AA" localSheetId="17" hidden="1">{#N/A,#N/A,TRUE,"INGENIERIA";#N/A,#N/A,TRUE,"COMPRAS";#N/A,#N/A,TRUE,"DIRECCION";#N/A,#N/A,TRUE,"RESUMEN"}</definedName>
    <definedName name="AA" localSheetId="18" hidden="1">{#N/A,#N/A,TRUE,"INGENIERIA";#N/A,#N/A,TRUE,"COMPRAS";#N/A,#N/A,TRUE,"DIRECCION";#N/A,#N/A,TRUE,"RESUMEN"}</definedName>
    <definedName name="AA" localSheetId="28" hidden="1">{"total",#N/A,FALSE,"TD 0% ";"total",#N/A,FALSE,"TD 12%";"total",#N/A,FALSE,"TD 10%"}</definedName>
    <definedName name="AA" localSheetId="29" hidden="1">{"total",#N/A,FALSE,"TD 0% ";"total",#N/A,FALSE,"TD 12%";"total",#N/A,FALSE,"TD 10%"}</definedName>
    <definedName name="AA" localSheetId="12" hidden="1">{#N/A,#N/A,TRUE,"INGENIERIA";#N/A,#N/A,TRUE,"COMPRAS";#N/A,#N/A,TRUE,"DIRECCION";#N/A,#N/A,TRUE,"RESUMEN"}</definedName>
    <definedName name="AA" hidden="1">{"total",#N/A,FALSE,"TD 0% ";"total",#N/A,FALSE,"TD 12%";"total",#N/A,FALSE,"TD 10%"}</definedName>
    <definedName name="AAA">[27]Insumos!$A$4:$A$1780</definedName>
    <definedName name="AAAAA">'[28]A.P.U'!#REF!</definedName>
    <definedName name="AAAAAAAAAA">#REF!</definedName>
    <definedName name="AAAAAAAAAAAAAAAAAAAA">#REF!</definedName>
    <definedName name="aaaaas" localSheetId="39">{"TAB1",#N/A,TRUE,"GENERAL";"TAB2",#N/A,TRUE,"GENERAL";"TAB3",#N/A,TRUE,"GENERAL";"TAB4",#N/A,TRUE,"GENERAL";"TAB5",#N/A,TRUE,"GENERAL"}</definedName>
    <definedName name="aaaaas" localSheetId="20">{"TAB1",#N/A,TRUE,"GENERAL";"TAB2",#N/A,TRUE,"GENERAL";"TAB3",#N/A,TRUE,"GENERAL";"TAB4",#N/A,TRUE,"GENERAL";"TAB5",#N/A,TRUE,"GENERAL"}</definedName>
    <definedName name="aaaaas" localSheetId="21">{"TAB1",#N/A,TRUE,"GENERAL";"TAB2",#N/A,TRUE,"GENERAL";"TAB3",#N/A,TRUE,"GENERAL";"TAB4",#N/A,TRUE,"GENERAL";"TAB5",#N/A,TRUE,"GENERAL"}</definedName>
    <definedName name="aaaaas" localSheetId="9">{"TAB1",#N/A,TRUE,"GENERAL";"TAB2",#N/A,TRUE,"GENERAL";"TAB3",#N/A,TRUE,"GENERAL";"TAB4",#N/A,TRUE,"GENERAL";"TAB5",#N/A,TRUE,"GENERAL"}</definedName>
    <definedName name="aaaaas" localSheetId="19">{"TAB1",#N/A,TRUE,"GENERAL";"TAB2",#N/A,TRUE,"GENERAL";"TAB3",#N/A,TRUE,"GENERAL";"TAB4",#N/A,TRUE,"GENERAL";"TAB5",#N/A,TRUE,"GENERAL"}</definedName>
    <definedName name="aaaaas" localSheetId="28">{"TAB1",#N/A,TRUE,"GENERAL";"TAB2",#N/A,TRUE,"GENERAL";"TAB3",#N/A,TRUE,"GENERAL";"TAB4",#N/A,TRUE,"GENERAL";"TAB5",#N/A,TRUE,"GENERAL"}</definedName>
    <definedName name="aaaaas" localSheetId="29">{"TAB1",#N/A,TRUE,"GENERAL";"TAB2",#N/A,TRUE,"GENERAL";"TAB3",#N/A,TRUE,"GENERAL";"TAB4",#N/A,TRUE,"GENERAL";"TAB5",#N/A,TRUE,"GENERAL"}</definedName>
    <definedName name="aaaaas">{"TAB1",#N/A,TRUE,"GENERAL";"TAB2",#N/A,TRUE,"GENERAL";"TAB3",#N/A,TRUE,"GENERAL";"TAB4",#N/A,TRUE,"GENERAL";"TAB5",#N/A,TRUE,"GENERAL"}</definedName>
    <definedName name="AAC">[9]AASHTO!$A$14:$F$17</definedName>
    <definedName name="AADOQUINVEH">#REF!</definedName>
    <definedName name="AANDENES">#REF!</definedName>
    <definedName name="aas" localSheetId="39">{"TAB1",#N/A,TRUE,"GENERAL";"TAB2",#N/A,TRUE,"GENERAL";"TAB3",#N/A,TRUE,"GENERAL";"TAB4",#N/A,TRUE,"GENERAL";"TAB5",#N/A,TRUE,"GENERAL"}</definedName>
    <definedName name="aas" localSheetId="20">{"TAB1",#N/A,TRUE,"GENERAL";"TAB2",#N/A,TRUE,"GENERAL";"TAB3",#N/A,TRUE,"GENERAL";"TAB4",#N/A,TRUE,"GENERAL";"TAB5",#N/A,TRUE,"GENERAL"}</definedName>
    <definedName name="aas" localSheetId="21">{"TAB1",#N/A,TRUE,"GENERAL";"TAB2",#N/A,TRUE,"GENERAL";"TAB3",#N/A,TRUE,"GENERAL";"TAB4",#N/A,TRUE,"GENERAL";"TAB5",#N/A,TRUE,"GENERAL"}</definedName>
    <definedName name="aas" localSheetId="9">{"TAB1",#N/A,TRUE,"GENERAL";"TAB2",#N/A,TRUE,"GENERAL";"TAB3",#N/A,TRUE,"GENERAL";"TAB4",#N/A,TRUE,"GENERAL";"TAB5",#N/A,TRUE,"GENERAL"}</definedName>
    <definedName name="aas" localSheetId="19">{"TAB1",#N/A,TRUE,"GENERAL";"TAB2",#N/A,TRUE,"GENERAL";"TAB3",#N/A,TRUE,"GENERAL";"TAB4",#N/A,TRUE,"GENERAL";"TAB5",#N/A,TRUE,"GENERAL"}</definedName>
    <definedName name="aas" localSheetId="17">[29]Insumos!$A$4:$A$1772</definedName>
    <definedName name="aas" localSheetId="18">[29]Insumos!$A$4:$A$1772</definedName>
    <definedName name="aas" localSheetId="28">{"TAB1",#N/A,TRUE,"GENERAL";"TAB2",#N/A,TRUE,"GENERAL";"TAB3",#N/A,TRUE,"GENERAL";"TAB4",#N/A,TRUE,"GENERAL";"TAB5",#N/A,TRUE,"GENERAL"}</definedName>
    <definedName name="aas" localSheetId="29">{"TAB1",#N/A,TRUE,"GENERAL";"TAB2",#N/A,TRUE,"GENERAL";"TAB3",#N/A,TRUE,"GENERAL";"TAB4",#N/A,TRUE,"GENERAL";"TAB5",#N/A,TRUE,"GENERAL"}</definedName>
    <definedName name="aas" localSheetId="12">[29]Insumos!$A$4:$A$1772</definedName>
    <definedName name="aas">{"TAB1",#N/A,TRUE,"GENERAL";"TAB2",#N/A,TRUE,"GENERAL";"TAB3",#N/A,TRUE,"GENERAL";"TAB4",#N/A,TRUE,"GENERAL";"TAB5",#N/A,TRUE,"GENERAL"}</definedName>
    <definedName name="ab">#REF!</definedName>
    <definedName name="abc">#REF!</definedName>
    <definedName name="ABG">[9]AASHTO!$A$2:$F$5</definedName>
    <definedName name="ABR">#REF!</definedName>
    <definedName name="abr00">[17]Dólar!#REF!</definedName>
    <definedName name="absc">#N/A</definedName>
    <definedName name="absc1" localSheetId="35">[30]!absc</definedName>
    <definedName name="absc1" localSheetId="38">[30]!absc</definedName>
    <definedName name="absc1" localSheetId="56">[30]!absc</definedName>
    <definedName name="absc1" localSheetId="77">[30]!absc</definedName>
    <definedName name="absc1" localSheetId="78">[30]!absc</definedName>
    <definedName name="absc1" localSheetId="72">[30]!absc</definedName>
    <definedName name="absc1" localSheetId="73">[30]!absc</definedName>
    <definedName name="absc1" localSheetId="74">[30]!absc</definedName>
    <definedName name="absc1" localSheetId="75">[30]!absc</definedName>
    <definedName name="absc1" localSheetId="76">[30]!absc</definedName>
    <definedName name="absc1" localSheetId="79">[30]!absc</definedName>
    <definedName name="absc1" localSheetId="22">[30]!absc</definedName>
    <definedName name="absc1" localSheetId="21">[30]!absc</definedName>
    <definedName name="absc1" localSheetId="23">[30]!absc</definedName>
    <definedName name="absc1" localSheetId="26">[30]!absc</definedName>
    <definedName name="absc1" localSheetId="24">[30]!absc</definedName>
    <definedName name="absc1">[30]!absc</definedName>
    <definedName name="AC" localSheetId="20" hidden="1">{#N/A,#N/A,TRUE,"INGENIERIA";#N/A,#N/A,TRUE,"COMPRAS";#N/A,#N/A,TRUE,"DIRECCION";#N/A,#N/A,TRUE,"RESUMEN"}</definedName>
    <definedName name="AC" localSheetId="21" hidden="1">{#N/A,#N/A,TRUE,"INGENIERIA";#N/A,#N/A,TRUE,"COMPRAS";#N/A,#N/A,TRUE,"DIRECCION";#N/A,#N/A,TRUE,"RESUMEN"}</definedName>
    <definedName name="AC" localSheetId="9" hidden="1">{#N/A,#N/A,TRUE,"INGENIERIA";#N/A,#N/A,TRUE,"COMPRAS";#N/A,#N/A,TRUE,"DIRECCION";#N/A,#N/A,TRUE,"RESUMEN"}</definedName>
    <definedName name="AC" localSheetId="19" hidden="1">{#N/A,#N/A,TRUE,"INGENIERIA";#N/A,#N/A,TRUE,"COMPRAS";#N/A,#N/A,TRUE,"DIRECCION";#N/A,#N/A,TRUE,"RESUMEN"}</definedName>
    <definedName name="AC" localSheetId="13" hidden="1">{#N/A,#N/A,TRUE,"INGENIERIA";#N/A,#N/A,TRUE,"COMPRAS";#N/A,#N/A,TRUE,"DIRECCION";#N/A,#N/A,TRUE,"RESUMEN"}</definedName>
    <definedName name="AC" localSheetId="17" hidden="1">{#N/A,#N/A,TRUE,"INGENIERIA";#N/A,#N/A,TRUE,"COMPRAS";#N/A,#N/A,TRUE,"DIRECCION";#N/A,#N/A,TRUE,"RESUMEN"}</definedName>
    <definedName name="AC" localSheetId="18" hidden="1">{#N/A,#N/A,TRUE,"INGENIERIA";#N/A,#N/A,TRUE,"COMPRAS";#N/A,#N/A,TRUE,"DIRECCION";#N/A,#N/A,TRUE,"RESUMEN"}</definedName>
    <definedName name="AC" localSheetId="28" hidden="1">{#N/A,#N/A,TRUE,"INGENIERIA";#N/A,#N/A,TRUE,"COMPRAS";#N/A,#N/A,TRUE,"DIRECCION";#N/A,#N/A,TRUE,"RESUMEN"}</definedName>
    <definedName name="AC" localSheetId="29" hidden="1">{#N/A,#N/A,TRUE,"INGENIERIA";#N/A,#N/A,TRUE,"COMPRAS";#N/A,#N/A,TRUE,"DIRECCION";#N/A,#N/A,TRUE,"RESUMEN"}</definedName>
    <definedName name="AC" localSheetId="12" hidden="1">{#N/A,#N/A,TRUE,"INGENIERIA";#N/A,#N/A,TRUE,"COMPRAS";#N/A,#N/A,TRUE,"DIRECCION";#N/A,#N/A,TRUE,"RESUMEN"}</definedName>
    <definedName name="AC" hidden="1">{#N/A,#N/A,TRUE,"INGENIERIA";#N/A,#N/A,TRUE,"COMPRAS";#N/A,#N/A,TRUE,"DIRECCION";#N/A,#N/A,TRUE,"RESUMEN"}</definedName>
    <definedName name="ACALZADA">#REF!</definedName>
    <definedName name="ACCE2">#REF!</definedName>
    <definedName name="ACCE4">#REF!</definedName>
    <definedName name="ACCE6">#REF!</definedName>
    <definedName name="ACCESORIO_CODO">[31]Materiales!#REF!</definedName>
    <definedName name="AccessDatabase" hidden="1">"C:\C-314\VOLUMENES\volfin4.mdb"</definedName>
    <definedName name="ACERO">#REF!</definedName>
    <definedName name="ACERO_1_2">[31]Materiales!#REF!</definedName>
    <definedName name="ACERO_1_4">[31]Materiales!#REF!</definedName>
    <definedName name="acero_3">[31]Materiales!#REF!</definedName>
    <definedName name="ACERO_3_8">[31]Materiales!#REF!</definedName>
    <definedName name="acero_4">[31]Materiales!#REF!</definedName>
    <definedName name="ACERO_5_8">[31]Materiales!#REF!</definedName>
    <definedName name="ACERO_DE_REFUERZO_60000">'[32]Acero de 60.000psi'!$I$53</definedName>
    <definedName name="Acero_pdr60">'[33]LISTADO '!$F$7</definedName>
    <definedName name="Acero3oct">#REF!</definedName>
    <definedName name="ACERO40">[34]PRECIOS!$B$52</definedName>
    <definedName name="ACERO60">#REF!</definedName>
    <definedName name="AceroMedia">#REF!</definedName>
    <definedName name="AceroUnCuarto">#REF!</definedName>
    <definedName name="ACOM">#N/A</definedName>
    <definedName name="Acometida">#N/A</definedName>
    <definedName name="ACONDICIONADOR_PARA_SILLA_Y">[31]Materiales!#REF!</definedName>
    <definedName name="acondicionamientopozo">#REF!</definedName>
    <definedName name="ACTA">[35]ID!$C$2</definedName>
    <definedName name="ACTIVIDADES">[36]aactividad!$A$3:$B$15</definedName>
    <definedName name="activos">[37]Listado!$X$2:$X$17</definedName>
    <definedName name="actores">[38]Listado!$L$2:$L$11</definedName>
    <definedName name="actual">'[39]ESTADO RED'!#REF!</definedName>
    <definedName name="AD" localSheetId="39">#REF!</definedName>
    <definedName name="AD" localSheetId="20" hidden="1">{#N/A,#N/A,TRUE,"INGENIERIA";#N/A,#N/A,TRUE,"COMPRAS";#N/A,#N/A,TRUE,"DIRECCION";#N/A,#N/A,TRUE,"RESUMEN"}</definedName>
    <definedName name="AD" localSheetId="21" hidden="1">{#N/A,#N/A,TRUE,"INGENIERIA";#N/A,#N/A,TRUE,"COMPRAS";#N/A,#N/A,TRUE,"DIRECCION";#N/A,#N/A,TRUE,"RESUMEN"}</definedName>
    <definedName name="AD" localSheetId="9" hidden="1">{#N/A,#N/A,TRUE,"INGENIERIA";#N/A,#N/A,TRUE,"COMPRAS";#N/A,#N/A,TRUE,"DIRECCION";#N/A,#N/A,TRUE,"RESUMEN"}</definedName>
    <definedName name="AD" localSheetId="19" hidden="1">{#N/A,#N/A,TRUE,"INGENIERIA";#N/A,#N/A,TRUE,"COMPRAS";#N/A,#N/A,TRUE,"DIRECCION";#N/A,#N/A,TRUE,"RESUMEN"}</definedName>
    <definedName name="AD" localSheetId="13" hidden="1">{#N/A,#N/A,TRUE,"INGENIERIA";#N/A,#N/A,TRUE,"COMPRAS";#N/A,#N/A,TRUE,"DIRECCION";#N/A,#N/A,TRUE,"RESUMEN"}</definedName>
    <definedName name="AD" localSheetId="17" hidden="1">{#N/A,#N/A,TRUE,"INGENIERIA";#N/A,#N/A,TRUE,"COMPRAS";#N/A,#N/A,TRUE,"DIRECCION";#N/A,#N/A,TRUE,"RESUMEN"}</definedName>
    <definedName name="AD" localSheetId="18" hidden="1">{#N/A,#N/A,TRUE,"INGENIERIA";#N/A,#N/A,TRUE,"COMPRAS";#N/A,#N/A,TRUE,"DIRECCION";#N/A,#N/A,TRUE,"RESUMEN"}</definedName>
    <definedName name="AD" localSheetId="28" hidden="1">{#N/A,#N/A,TRUE,"INGENIERIA";#N/A,#N/A,TRUE,"COMPRAS";#N/A,#N/A,TRUE,"DIRECCION";#N/A,#N/A,TRUE,"RESUMEN"}</definedName>
    <definedName name="AD" localSheetId="29" hidden="1">{#N/A,#N/A,TRUE,"INGENIERIA";#N/A,#N/A,TRUE,"COMPRAS";#N/A,#N/A,TRUE,"DIRECCION";#N/A,#N/A,TRUE,"RESUMEN"}</definedName>
    <definedName name="AD" localSheetId="12" hidden="1">{#N/A,#N/A,TRUE,"INGENIERIA";#N/A,#N/A,TRUE,"COMPRAS";#N/A,#N/A,TRUE,"DIRECCION";#N/A,#N/A,TRUE,"RESUMEN"}</definedName>
    <definedName name="AD" hidden="1">{#N/A,#N/A,TRUE,"INGENIERIA";#N/A,#N/A,TRUE,"COMPRAS";#N/A,#N/A,TRUE,"DIRECCION";#N/A,#N/A,TRUE,"RESUMEN"}</definedName>
    <definedName name="Ad_Un">#REF!</definedName>
    <definedName name="Adaptador">#REF!</definedName>
    <definedName name="ADAPTADOR_HEMBRA_P.V.C_1_2">#REF!</definedName>
    <definedName name="ADAPTADOR_MACHO_P.V.C_1_2">#REF!</definedName>
    <definedName name="Adaptador_pvc_1">'[40]LISTADO '!$F$56</definedName>
    <definedName name="Adaptador_pvc_1_2">'[40]LISTADO '!$F$54</definedName>
    <definedName name="Adaptador_pvc_2">'[40]LISTADO '!$F$49</definedName>
    <definedName name="adasd">#REF!</definedName>
    <definedName name="AdditionalCosts_Lumpsum">#REF!</definedName>
    <definedName name="AdditionalCosts_Percent">#REF!</definedName>
    <definedName name="ADFGSDB" localSheetId="39">{"via1",#N/A,TRUE,"general";"via2",#N/A,TRUE,"general";"via3",#N/A,TRUE,"general"}</definedName>
    <definedName name="ADFGSDB" localSheetId="20">{"via1",#N/A,TRUE,"general";"via2",#N/A,TRUE,"general";"via3",#N/A,TRUE,"general"}</definedName>
    <definedName name="ADFGSDB" localSheetId="21">{"via1",#N/A,TRUE,"general";"via2",#N/A,TRUE,"general";"via3",#N/A,TRUE,"general"}</definedName>
    <definedName name="ADFGSDB" localSheetId="9">{"via1",#N/A,TRUE,"general";"via2",#N/A,TRUE,"general";"via3",#N/A,TRUE,"general"}</definedName>
    <definedName name="ADFGSDB" localSheetId="19">{"via1",#N/A,TRUE,"general";"via2",#N/A,TRUE,"general";"via3",#N/A,TRUE,"general"}</definedName>
    <definedName name="ADFGSDB" localSheetId="28">{"via1",#N/A,TRUE,"general";"via2",#N/A,TRUE,"general";"via3",#N/A,TRUE,"general"}</definedName>
    <definedName name="ADFGSDB" localSheetId="29">{"via1",#N/A,TRUE,"general";"via2",#N/A,TRUE,"general";"via3",#N/A,TRUE,"general"}</definedName>
    <definedName name="ADFGSDB">{"via1",#N/A,TRUE,"general";"via2",#N/A,TRUE,"general";"via3",#N/A,TRUE,"general"}</definedName>
    <definedName name="ADHESIVO_PARA_SILLA_Y">[31]Materiales!#REF!</definedName>
    <definedName name="ADI">#REF!</definedName>
    <definedName name="ADIFLEX">[31]Materiales!#REF!</definedName>
    <definedName name="adm" localSheetId="13">'[41]Análisis AIU'!$F$71</definedName>
    <definedName name="adm" localSheetId="17">'[42]Análisis AIU'!$F$74</definedName>
    <definedName name="adm" localSheetId="18">'[42]Análisis AIU'!$F$74</definedName>
    <definedName name="adm" localSheetId="28">'[43]Análisis AIU'!$F$71</definedName>
    <definedName name="adm" localSheetId="29">'[43]Análisis AIU'!$F$71</definedName>
    <definedName name="adm" localSheetId="12">'[42]Análisis AIU'!$F$74</definedName>
    <definedName name="adm">'[44]Análisis AIU'!$F$71</definedName>
    <definedName name="ADMIN">#REF!</definedName>
    <definedName name="AdminDetail">#REF!</definedName>
    <definedName name="AdminHeading">#REF!</definedName>
    <definedName name="ADMINISTRACION">#REF!</definedName>
    <definedName name="ADMINISTRADOR" localSheetId="17">[45]CUMPLIMIENTO!$C$5</definedName>
    <definedName name="ADMINISTRADOR" localSheetId="18">[45]CUMPLIMIENTO!$C$5</definedName>
    <definedName name="ADMINISTRADOR" localSheetId="12">[45]CUMPLIMIENTO!$C$5</definedName>
    <definedName name="administrador">[46]Informacion!$B$15</definedName>
    <definedName name="ADMINISTRADOR_VIAL__ARMANDO_SANCHEZ_SANCHEZ">[47]INDICMICROEMP!$A$20</definedName>
    <definedName name="AdminSumDetail">#REF!</definedName>
    <definedName name="AdminSumHeading">#REF!</definedName>
    <definedName name="AdminTotalDetail">#REF!</definedName>
    <definedName name="AdminTotalHeading">#REF!</definedName>
    <definedName name="Admon">#REF!</definedName>
    <definedName name="admon1">[48]DATOS!$B$16</definedName>
    <definedName name="ado">'[49]Equipo_Trans '!$A$1:$A$51</definedName>
    <definedName name="adoc1" localSheetId="35">[30]!absc</definedName>
    <definedName name="adoc1" localSheetId="38">[30]!absc</definedName>
    <definedName name="adoc1" localSheetId="56">[30]!absc</definedName>
    <definedName name="adoc1" localSheetId="77">[30]!absc</definedName>
    <definedName name="adoc1" localSheetId="78">[30]!absc</definedName>
    <definedName name="adoc1" localSheetId="72">[30]!absc</definedName>
    <definedName name="adoc1" localSheetId="73">[30]!absc</definedName>
    <definedName name="adoc1" localSheetId="74">[30]!absc</definedName>
    <definedName name="adoc1" localSheetId="75">[30]!absc</definedName>
    <definedName name="adoc1" localSheetId="76">[30]!absc</definedName>
    <definedName name="adoc1" localSheetId="79">[30]!absc</definedName>
    <definedName name="adoc1" localSheetId="22">[30]!absc</definedName>
    <definedName name="adoc1" localSheetId="21">[30]!absc</definedName>
    <definedName name="adoc1" localSheetId="23">[30]!absc</definedName>
    <definedName name="adoc1" localSheetId="26">[30]!absc</definedName>
    <definedName name="adoc1" localSheetId="24">[30]!absc</definedName>
    <definedName name="adoc1">[30]!absc</definedName>
    <definedName name="adoq" localSheetId="35">[50]!absc</definedName>
    <definedName name="adoq" localSheetId="38">[50]!absc</definedName>
    <definedName name="adoq" localSheetId="56">[50]!absc</definedName>
    <definedName name="adoq" localSheetId="77">[50]!absc</definedName>
    <definedName name="adoq" localSheetId="78">[50]!absc</definedName>
    <definedName name="adoq" localSheetId="72">[50]!absc</definedName>
    <definedName name="adoq" localSheetId="73">[50]!absc</definedName>
    <definedName name="adoq" localSheetId="74">[50]!absc</definedName>
    <definedName name="adoq" localSheetId="75">[50]!absc</definedName>
    <definedName name="adoq" localSheetId="76">[50]!absc</definedName>
    <definedName name="adoq" localSheetId="79">[50]!absc</definedName>
    <definedName name="adoq" localSheetId="22">[50]!absc</definedName>
    <definedName name="adoq" localSheetId="21">[50]!absc</definedName>
    <definedName name="adoq" localSheetId="23">[50]!absc</definedName>
    <definedName name="adoq" localSheetId="26">[50]!absc</definedName>
    <definedName name="adoq" localSheetId="24">[50]!absc</definedName>
    <definedName name="adoq">[50]!absc</definedName>
    <definedName name="ADOQUIN_DE_CONCRETO">[31]Materiales!#REF!</definedName>
    <definedName name="adq" localSheetId="20">SUM([44]Resumen!$G$49:$G$51)</definedName>
    <definedName name="adq" localSheetId="21">SUM([44]Resumen!$G$49:$G$51)</definedName>
    <definedName name="adq" localSheetId="13">SUM([41]Resumen!$G$34:$G$36)</definedName>
    <definedName name="adq" localSheetId="17">SUM([42]Resumen!$G$30:$G$32)</definedName>
    <definedName name="adq" localSheetId="18">SUM([42]Resumen!$G$30:$G$32)</definedName>
    <definedName name="adq" localSheetId="28">SUM([43]Resumen!$G$49:$G$51)</definedName>
    <definedName name="adq" localSheetId="29">SUM([43]Resumen!$G$49:$G$51)</definedName>
    <definedName name="adq" localSheetId="12">SUM([42]Resumen!$G$30:$G$32)</definedName>
    <definedName name="adq">SUM([44]Resumen!$G$49:$G$51)</definedName>
    <definedName name="ADSAD" localSheetId="39">{"TAB1",#N/A,TRUE,"GENERAL";"TAB2",#N/A,TRUE,"GENERAL";"TAB3",#N/A,TRUE,"GENERAL";"TAB4",#N/A,TRUE,"GENERAL";"TAB5",#N/A,TRUE,"GENERAL"}</definedName>
    <definedName name="ADSAD" localSheetId="20">{"TAB1",#N/A,TRUE,"GENERAL";"TAB2",#N/A,TRUE,"GENERAL";"TAB3",#N/A,TRUE,"GENERAL";"TAB4",#N/A,TRUE,"GENERAL";"TAB5",#N/A,TRUE,"GENERAL"}</definedName>
    <definedName name="ADSAD" localSheetId="21">{"TAB1",#N/A,TRUE,"GENERAL";"TAB2",#N/A,TRUE,"GENERAL";"TAB3",#N/A,TRUE,"GENERAL";"TAB4",#N/A,TRUE,"GENERAL";"TAB5",#N/A,TRUE,"GENERAL"}</definedName>
    <definedName name="ADSAD" localSheetId="9">{"TAB1",#N/A,TRUE,"GENERAL";"TAB2",#N/A,TRUE,"GENERAL";"TAB3",#N/A,TRUE,"GENERAL";"TAB4",#N/A,TRUE,"GENERAL";"TAB5",#N/A,TRUE,"GENERAL"}</definedName>
    <definedName name="ADSAD" localSheetId="19">{"TAB1",#N/A,TRUE,"GENERAL";"TAB2",#N/A,TRUE,"GENERAL";"TAB3",#N/A,TRUE,"GENERAL";"TAB4",#N/A,TRUE,"GENERAL";"TAB5",#N/A,TRUE,"GENERAL"}</definedName>
    <definedName name="ADSAD" localSheetId="28">{"TAB1",#N/A,TRUE,"GENERAL";"TAB2",#N/A,TRUE,"GENERAL";"TAB3",#N/A,TRUE,"GENERAL";"TAB4",#N/A,TRUE,"GENERAL";"TAB5",#N/A,TRUE,"GENERAL"}</definedName>
    <definedName name="ADSAD" localSheetId="29">{"TAB1",#N/A,TRUE,"GENERAL";"TAB2",#N/A,TRUE,"GENERAL";"TAB3",#N/A,TRUE,"GENERAL";"TAB4",#N/A,TRUE,"GENERAL";"TAB5",#N/A,TRUE,"GENERAL"}</definedName>
    <definedName name="ADSAD">{"TAB1",#N/A,TRUE,"GENERAL";"TAB2",#N/A,TRUE,"GENERAL";"TAB3",#N/A,TRUE,"GENERAL";"TAB4",#N/A,TRUE,"GENERAL";"TAB5",#N/A,TRUE,"GENERAL"}</definedName>
    <definedName name="AE" localSheetId="20" hidden="1">{#N/A,#N/A,TRUE,"INGENIERIA";#N/A,#N/A,TRUE,"COMPRAS";#N/A,#N/A,TRUE,"DIRECCION";#N/A,#N/A,TRUE,"RESUMEN"}</definedName>
    <definedName name="AE" localSheetId="21" hidden="1">{#N/A,#N/A,TRUE,"INGENIERIA";#N/A,#N/A,TRUE,"COMPRAS";#N/A,#N/A,TRUE,"DIRECCION";#N/A,#N/A,TRUE,"RESUMEN"}</definedName>
    <definedName name="AE" localSheetId="9" hidden="1">{#N/A,#N/A,TRUE,"INGENIERIA";#N/A,#N/A,TRUE,"COMPRAS";#N/A,#N/A,TRUE,"DIRECCION";#N/A,#N/A,TRUE,"RESUMEN"}</definedName>
    <definedName name="AE" localSheetId="19" hidden="1">{#N/A,#N/A,TRUE,"INGENIERIA";#N/A,#N/A,TRUE,"COMPRAS";#N/A,#N/A,TRUE,"DIRECCION";#N/A,#N/A,TRUE,"RESUMEN"}</definedName>
    <definedName name="AE" localSheetId="13" hidden="1">{#N/A,#N/A,TRUE,"INGENIERIA";#N/A,#N/A,TRUE,"COMPRAS";#N/A,#N/A,TRUE,"DIRECCION";#N/A,#N/A,TRUE,"RESUMEN"}</definedName>
    <definedName name="AE" localSheetId="17" hidden="1">{#N/A,#N/A,TRUE,"INGENIERIA";#N/A,#N/A,TRUE,"COMPRAS";#N/A,#N/A,TRUE,"DIRECCION";#N/A,#N/A,TRUE,"RESUMEN"}</definedName>
    <definedName name="AE" localSheetId="18" hidden="1">{#N/A,#N/A,TRUE,"INGENIERIA";#N/A,#N/A,TRUE,"COMPRAS";#N/A,#N/A,TRUE,"DIRECCION";#N/A,#N/A,TRUE,"RESUMEN"}</definedName>
    <definedName name="AE" localSheetId="28" hidden="1">{#N/A,#N/A,TRUE,"INGENIERIA";#N/A,#N/A,TRUE,"COMPRAS";#N/A,#N/A,TRUE,"DIRECCION";#N/A,#N/A,TRUE,"RESUMEN"}</definedName>
    <definedName name="AE" localSheetId="29" hidden="1">{#N/A,#N/A,TRUE,"INGENIERIA";#N/A,#N/A,TRUE,"COMPRAS";#N/A,#N/A,TRUE,"DIRECCION";#N/A,#N/A,TRUE,"RESUMEN"}</definedName>
    <definedName name="AE" localSheetId="12" hidden="1">{#N/A,#N/A,TRUE,"INGENIERIA";#N/A,#N/A,TRUE,"COMPRAS";#N/A,#N/A,TRUE,"DIRECCION";#N/A,#N/A,TRUE,"RESUMEN"}</definedName>
    <definedName name="AE" hidden="1">{#N/A,#N/A,TRUE,"INGENIERIA";#N/A,#N/A,TRUE,"COMPRAS";#N/A,#N/A,TRUE,"DIRECCION";#N/A,#N/A,TRUE,"RESUMEN"}</definedName>
    <definedName name="aefa" localSheetId="39">{"via1",#N/A,TRUE,"general";"via2",#N/A,TRUE,"general";"via3",#N/A,TRUE,"general"}</definedName>
    <definedName name="aefa" localSheetId="20">{"via1",#N/A,TRUE,"general";"via2",#N/A,TRUE,"general";"via3",#N/A,TRUE,"general"}</definedName>
    <definedName name="aefa" localSheetId="21">{"via1",#N/A,TRUE,"general";"via2",#N/A,TRUE,"general";"via3",#N/A,TRUE,"general"}</definedName>
    <definedName name="aefa" localSheetId="9">{"via1",#N/A,TRUE,"general";"via2",#N/A,TRUE,"general";"via3",#N/A,TRUE,"general"}</definedName>
    <definedName name="aefa" localSheetId="19">{"via1",#N/A,TRUE,"general";"via2",#N/A,TRUE,"general";"via3",#N/A,TRUE,"general"}</definedName>
    <definedName name="aefa" localSheetId="28">{"via1",#N/A,TRUE,"general";"via2",#N/A,TRUE,"general";"via3",#N/A,TRUE,"general"}</definedName>
    <definedName name="aefa" localSheetId="29">{"via1",#N/A,TRUE,"general";"via2",#N/A,TRUE,"general";"via3",#N/A,TRUE,"general"}</definedName>
    <definedName name="aefa">{"via1",#N/A,TRUE,"general";"via2",#N/A,TRUE,"general";"via3",#N/A,TRUE,"general"}</definedName>
    <definedName name="AF" localSheetId="20" hidden="1">{#N/A,#N/A,TRUE,"INGENIERIA";#N/A,#N/A,TRUE,"COMPRAS";#N/A,#N/A,TRUE,"DIRECCION";#N/A,#N/A,TRUE,"RESUMEN"}</definedName>
    <definedName name="AF" localSheetId="21" hidden="1">{#N/A,#N/A,TRUE,"INGENIERIA";#N/A,#N/A,TRUE,"COMPRAS";#N/A,#N/A,TRUE,"DIRECCION";#N/A,#N/A,TRUE,"RESUMEN"}</definedName>
    <definedName name="AF" localSheetId="9" hidden="1">{#N/A,#N/A,TRUE,"INGENIERIA";#N/A,#N/A,TRUE,"COMPRAS";#N/A,#N/A,TRUE,"DIRECCION";#N/A,#N/A,TRUE,"RESUMEN"}</definedName>
    <definedName name="AF" localSheetId="19" hidden="1">{#N/A,#N/A,TRUE,"INGENIERIA";#N/A,#N/A,TRUE,"COMPRAS";#N/A,#N/A,TRUE,"DIRECCION";#N/A,#N/A,TRUE,"RESUMEN"}</definedName>
    <definedName name="AF" localSheetId="13" hidden="1">{#N/A,#N/A,TRUE,"INGENIERIA";#N/A,#N/A,TRUE,"COMPRAS";#N/A,#N/A,TRUE,"DIRECCION";#N/A,#N/A,TRUE,"RESUMEN"}</definedName>
    <definedName name="AF" localSheetId="17" hidden="1">{#N/A,#N/A,TRUE,"INGENIERIA";#N/A,#N/A,TRUE,"COMPRAS";#N/A,#N/A,TRUE,"DIRECCION";#N/A,#N/A,TRUE,"RESUMEN"}</definedName>
    <definedName name="AF" localSheetId="18" hidden="1">{#N/A,#N/A,TRUE,"INGENIERIA";#N/A,#N/A,TRUE,"COMPRAS";#N/A,#N/A,TRUE,"DIRECCION";#N/A,#N/A,TRUE,"RESUMEN"}</definedName>
    <definedName name="AF" localSheetId="28" hidden="1">{#N/A,#N/A,TRUE,"INGENIERIA";#N/A,#N/A,TRUE,"COMPRAS";#N/A,#N/A,TRUE,"DIRECCION";#N/A,#N/A,TRUE,"RESUMEN"}</definedName>
    <definedName name="AF" localSheetId="29" hidden="1">{#N/A,#N/A,TRUE,"INGENIERIA";#N/A,#N/A,TRUE,"COMPRAS";#N/A,#N/A,TRUE,"DIRECCION";#N/A,#N/A,TRUE,"RESUMEN"}</definedName>
    <definedName name="AF" localSheetId="12" hidden="1">{#N/A,#N/A,TRUE,"INGENIERIA";#N/A,#N/A,TRUE,"COMPRAS";#N/A,#N/A,TRUE,"DIRECCION";#N/A,#N/A,TRUE,"RESUMEN"}</definedName>
    <definedName name="AF" hidden="1">{#N/A,#N/A,TRUE,"INGENIERIA";#N/A,#N/A,TRUE,"COMPRAS";#N/A,#N/A,TRUE,"DIRECCION";#N/A,#N/A,TRUE,"RESUMEN"}</definedName>
    <definedName name="AFac.p" localSheetId="10">#REF!</definedName>
    <definedName name="AFac.p" localSheetId="20">#REF!</definedName>
    <definedName name="AFac.p" localSheetId="21">#REF!</definedName>
    <definedName name="AFac.p" localSheetId="17">#REF!</definedName>
    <definedName name="AFac.p" localSheetId="18">#REF!</definedName>
    <definedName name="AFac.p" localSheetId="12">#REF!</definedName>
    <definedName name="AFac.p">#REF!</definedName>
    <definedName name="afdsw" localSheetId="39">{"TAB1",#N/A,TRUE,"GENERAL";"TAB2",#N/A,TRUE,"GENERAL";"TAB3",#N/A,TRUE,"GENERAL";"TAB4",#N/A,TRUE,"GENERAL";"TAB5",#N/A,TRUE,"GENERAL"}</definedName>
    <definedName name="afdsw" localSheetId="20">{"TAB1",#N/A,TRUE,"GENERAL";"TAB2",#N/A,TRUE,"GENERAL";"TAB3",#N/A,TRUE,"GENERAL";"TAB4",#N/A,TRUE,"GENERAL";"TAB5",#N/A,TRUE,"GENERAL"}</definedName>
    <definedName name="afdsw" localSheetId="21">{"TAB1",#N/A,TRUE,"GENERAL";"TAB2",#N/A,TRUE,"GENERAL";"TAB3",#N/A,TRUE,"GENERAL";"TAB4",#N/A,TRUE,"GENERAL";"TAB5",#N/A,TRUE,"GENERAL"}</definedName>
    <definedName name="afdsw" localSheetId="9">{"TAB1",#N/A,TRUE,"GENERAL";"TAB2",#N/A,TRUE,"GENERAL";"TAB3",#N/A,TRUE,"GENERAL";"TAB4",#N/A,TRUE,"GENERAL";"TAB5",#N/A,TRUE,"GENERAL"}</definedName>
    <definedName name="afdsw" localSheetId="19">{"TAB1",#N/A,TRUE,"GENERAL";"TAB2",#N/A,TRUE,"GENERAL";"TAB3",#N/A,TRUE,"GENERAL";"TAB4",#N/A,TRUE,"GENERAL";"TAB5",#N/A,TRUE,"GENERAL"}</definedName>
    <definedName name="afdsw" localSheetId="28">{"TAB1",#N/A,TRUE,"GENERAL";"TAB2",#N/A,TRUE,"GENERAL";"TAB3",#N/A,TRUE,"GENERAL";"TAB4",#N/A,TRUE,"GENERAL";"TAB5",#N/A,TRUE,"GENERAL"}</definedName>
    <definedName name="afdsw" localSheetId="29">{"TAB1",#N/A,TRUE,"GENERAL";"TAB2",#N/A,TRUE,"GENERAL";"TAB3",#N/A,TRUE,"GENERAL";"TAB4",#N/A,TRUE,"GENERAL";"TAB5",#N/A,TRUE,"GENERAL"}</definedName>
    <definedName name="afdsw">{"TAB1",#N/A,TRUE,"GENERAL";"TAB2",#N/A,TRUE,"GENERAL";"TAB3",#N/A,TRUE,"GENERAL";"TAB4",#N/A,TRUE,"GENERAL";"TAB5",#N/A,TRUE,"GENERAL"}</definedName>
    <definedName name="Afe">'[51]2009 Jagua'!$C$2:$C$27</definedName>
    <definedName name="afecompletions">#REF!</definedName>
    <definedName name="AG" localSheetId="20"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localSheetId="21"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localSheetId="9"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localSheetId="19"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localSheetId="1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localSheetId="17"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localSheetId="18"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localSheetId="28"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localSheetId="29"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localSheetId="1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dsgg" localSheetId="39">{"via1",#N/A,TRUE,"general";"via2",#N/A,TRUE,"general";"via3",#N/A,TRUE,"general"}</definedName>
    <definedName name="agdsgg" localSheetId="20">{"via1",#N/A,TRUE,"general";"via2",#N/A,TRUE,"general";"via3",#N/A,TRUE,"general"}</definedName>
    <definedName name="agdsgg" localSheetId="21">{"via1",#N/A,TRUE,"general";"via2",#N/A,TRUE,"general";"via3",#N/A,TRUE,"general"}</definedName>
    <definedName name="agdsgg" localSheetId="9">{"via1",#N/A,TRUE,"general";"via2",#N/A,TRUE,"general";"via3",#N/A,TRUE,"general"}</definedName>
    <definedName name="agdsgg" localSheetId="19">{"via1",#N/A,TRUE,"general";"via2",#N/A,TRUE,"general";"via3",#N/A,TRUE,"general"}</definedName>
    <definedName name="agdsgg" localSheetId="28">{"via1",#N/A,TRUE,"general";"via2",#N/A,TRUE,"general";"via3",#N/A,TRUE,"general"}</definedName>
    <definedName name="agdsgg" localSheetId="29">{"via1",#N/A,TRUE,"general";"via2",#N/A,TRUE,"general";"via3",#N/A,TRUE,"general"}</definedName>
    <definedName name="agdsgg">{"via1",#N/A,TRUE,"general";"via2",#N/A,TRUE,"general";"via3",#N/A,TRUE,"general"}</definedName>
    <definedName name="AGO">#REF!</definedName>
    <definedName name="ago00">[17]Dólar!#REF!</definedName>
    <definedName name="Agregado_grueso">'[33]LISTADO '!$F$6</definedName>
    <definedName name="AGUA">[52]Materiales!$F$7</definedName>
    <definedName name="AH" localSheetId="20" hidden="1">{#N/A,#N/A,TRUE,"INGENIERIA";#N/A,#N/A,TRUE,"COMPRAS";#N/A,#N/A,TRUE,"DIRECCION";#N/A,#N/A,TRUE,"RESUMEN"}</definedName>
    <definedName name="AH" localSheetId="21" hidden="1">{#N/A,#N/A,TRUE,"INGENIERIA";#N/A,#N/A,TRUE,"COMPRAS";#N/A,#N/A,TRUE,"DIRECCION";#N/A,#N/A,TRUE,"RESUMEN"}</definedName>
    <definedName name="AH" localSheetId="9" hidden="1">{#N/A,#N/A,TRUE,"INGENIERIA";#N/A,#N/A,TRUE,"COMPRAS";#N/A,#N/A,TRUE,"DIRECCION";#N/A,#N/A,TRUE,"RESUMEN"}</definedName>
    <definedName name="AH" localSheetId="19" hidden="1">{#N/A,#N/A,TRUE,"INGENIERIA";#N/A,#N/A,TRUE,"COMPRAS";#N/A,#N/A,TRUE,"DIRECCION";#N/A,#N/A,TRUE,"RESUMEN"}</definedName>
    <definedName name="AH" localSheetId="13" hidden="1">{#N/A,#N/A,TRUE,"INGENIERIA";#N/A,#N/A,TRUE,"COMPRAS";#N/A,#N/A,TRUE,"DIRECCION";#N/A,#N/A,TRUE,"RESUMEN"}</definedName>
    <definedName name="AH" localSheetId="17" hidden="1">{#N/A,#N/A,TRUE,"INGENIERIA";#N/A,#N/A,TRUE,"COMPRAS";#N/A,#N/A,TRUE,"DIRECCION";#N/A,#N/A,TRUE,"RESUMEN"}</definedName>
    <definedName name="AH" localSheetId="18" hidden="1">{#N/A,#N/A,TRUE,"INGENIERIA";#N/A,#N/A,TRUE,"COMPRAS";#N/A,#N/A,TRUE,"DIRECCION";#N/A,#N/A,TRUE,"RESUMEN"}</definedName>
    <definedName name="AH" localSheetId="28" hidden="1">{#N/A,#N/A,TRUE,"INGENIERIA";#N/A,#N/A,TRUE,"COMPRAS";#N/A,#N/A,TRUE,"DIRECCION";#N/A,#N/A,TRUE,"RESUMEN"}</definedName>
    <definedName name="AH" localSheetId="29" hidden="1">{#N/A,#N/A,TRUE,"INGENIERIA";#N/A,#N/A,TRUE,"COMPRAS";#N/A,#N/A,TRUE,"DIRECCION";#N/A,#N/A,TRUE,"RESUMEN"}</definedName>
    <definedName name="AH" localSheetId="12" hidden="1">{#N/A,#N/A,TRUE,"INGENIERIA";#N/A,#N/A,TRUE,"COMPRAS";#N/A,#N/A,TRUE,"DIRECCION";#N/A,#N/A,TRUE,"RESUMEN"}</definedName>
    <definedName name="AH" hidden="1">{#N/A,#N/A,TRUE,"INGENIERIA";#N/A,#N/A,TRUE,"COMPRAS";#N/A,#N/A,TRUE,"DIRECCION";#N/A,#N/A,TRUE,"RESUMEN"}</definedName>
    <definedName name="ahe">#REF!</definedName>
    <definedName name="Ai">#REF!</definedName>
    <definedName name="AimcorFundsFlow">#REF!</definedName>
    <definedName name="AimcorFundsFlowHeading">#REF!</definedName>
    <definedName name="AimcorFundsFlowPA">#REF!</definedName>
    <definedName name="AimcorFundsFlowPAHeading">#REF!</definedName>
    <definedName name="AimcorPostDetail">#REF!</definedName>
    <definedName name="AimcorPostHeading">#REF!</definedName>
    <definedName name="AimcorTotalDetail">#REF!</definedName>
    <definedName name="AimcorTotalHeading">#REF!</definedName>
    <definedName name="AimSumDetail">#REF!</definedName>
    <definedName name="AimSumHeading">#REF!</definedName>
    <definedName name="AIU" localSheetId="39">#REF!</definedName>
    <definedName name="AIU" localSheetId="20">#REF!</definedName>
    <definedName name="AIU" localSheetId="21">#REF!</definedName>
    <definedName name="AIU" localSheetId="9">#REF!</definedName>
    <definedName name="AIU" localSheetId="19">#REF!</definedName>
    <definedName name="AIU">#REF!</definedName>
    <definedName name="AIU_ADMON">[53]DATOS!$D$8</definedName>
    <definedName name="AIU_IMP">[53]DATOS!$D$9</definedName>
    <definedName name="AIU_UTIL">[53]DATOS!$D$10</definedName>
    <definedName name="aj">#REF!</definedName>
    <definedName name="AjustDelAIU" localSheetId="39">#REF!</definedName>
    <definedName name="AjustDelAIU" localSheetId="9">#REF!</definedName>
    <definedName name="AjustDelAIU" localSheetId="17">#REF!</definedName>
    <definedName name="AjustDelAIU" localSheetId="18">#REF!</definedName>
    <definedName name="AjustDelAIU" localSheetId="12">#REF!</definedName>
    <definedName name="AjustDelAIU">#REF!</definedName>
    <definedName name="Ajuste">[54]Datos!$B$11</definedName>
    <definedName name="Ak">#REF!</definedName>
    <definedName name="ALAMBRE">#REF!</definedName>
    <definedName name="ALAMBRE_">#REF!</definedName>
    <definedName name="ALAMBRE_GALVANIZADO">[31]Materiales!#REF!</definedName>
    <definedName name="Alambre_N_12">'[40]LISTADO '!$F$61</definedName>
    <definedName name="Alambre_N_14">'[40]LISTADO '!$F$62</definedName>
    <definedName name="Alambre_negro">'[33]LISTADO '!$F$24</definedName>
    <definedName name="AlambreNo.12">#REF!</definedName>
    <definedName name="alampuas">[55]lisprecios!#REF!</definedName>
    <definedName name="alc" localSheetId="35">[56]!absc</definedName>
    <definedName name="alc" localSheetId="38">[56]!absc</definedName>
    <definedName name="alc" localSheetId="56">[56]!absc</definedName>
    <definedName name="alc" localSheetId="77">[56]!absc</definedName>
    <definedName name="alc" localSheetId="78">[56]!absc</definedName>
    <definedName name="alc" localSheetId="72">[56]!absc</definedName>
    <definedName name="alc" localSheetId="73">[56]!absc</definedName>
    <definedName name="alc" localSheetId="74">[56]!absc</definedName>
    <definedName name="alc" localSheetId="75">[56]!absc</definedName>
    <definedName name="alc" localSheetId="76">[56]!absc</definedName>
    <definedName name="alc" localSheetId="79">[56]!absc</definedName>
    <definedName name="alc" localSheetId="22">[56]!absc</definedName>
    <definedName name="alc" localSheetId="21">[56]!absc</definedName>
    <definedName name="alc" localSheetId="23">[56]!absc</definedName>
    <definedName name="alc" localSheetId="26">[56]!absc</definedName>
    <definedName name="alc" localSheetId="24">[56]!absc</definedName>
    <definedName name="alc">[56]!absc</definedName>
    <definedName name="ALUMTE">#REF!</definedName>
    <definedName name="Am">#REF!</definedName>
    <definedName name="AMBIENTAL">#REF!</definedName>
    <definedName name="An">#REF!</definedName>
    <definedName name="ANA">#REF!</definedName>
    <definedName name="Analyst" localSheetId="20" hidden="1">#REF!</definedName>
    <definedName name="Analyst" localSheetId="21" hidden="1">#REF!</definedName>
    <definedName name="Analyst" localSheetId="13" hidden="1">#REF!</definedName>
    <definedName name="Analyst" hidden="1">#REF!</definedName>
    <definedName name="Andamios">'[33]LISTADO '!$L$7</definedName>
    <definedName name="andenes">#REF!</definedName>
    <definedName name="Angulo_de_platina__1_x1_x1_8">'[57]L. MAT.'!#REF!</definedName>
    <definedName name="ANOMarch02">#REF!</definedName>
    <definedName name="ANOPLMarch02">#REF!</definedName>
    <definedName name="ANORev2">#REF!</definedName>
    <definedName name="ANOTB_JUN01">#REF!</definedName>
    <definedName name="anscount" hidden="1">10</definedName>
    <definedName name="ant" localSheetId="13">[41]Resumen!$G$32</definedName>
    <definedName name="ant" localSheetId="28">[43]Resumen!$G$47</definedName>
    <definedName name="ant" localSheetId="29">[43]Resumen!$G$47</definedName>
    <definedName name="ant">[44]Resumen!$G$47</definedName>
    <definedName name="Antic" localSheetId="17">[58]BASES!$B$33</definedName>
    <definedName name="Antic" localSheetId="18">[58]BASES!$B$33</definedName>
    <definedName name="Antic" localSheetId="12">[58]BASES!$B$33</definedName>
    <definedName name="Antic">[59]BASES!$B$33</definedName>
    <definedName name="ANTICIPO" localSheetId="17">[60]BASES!$B$33</definedName>
    <definedName name="ANTICIPO" localSheetId="18">[60]BASES!$B$33</definedName>
    <definedName name="ANTICIPO" localSheetId="12">[60]BASES!$B$33</definedName>
    <definedName name="ANTICIPO">[61]BASES!$B$33</definedName>
    <definedName name="anticorrosiva">[55]lisprecios!#REF!</definedName>
    <definedName name="Anticorrosivo">'[40]LISTADO '!$F$96</definedName>
    <definedName name="ANTONIA">#N/A</definedName>
    <definedName name="Añ">#REF!</definedName>
    <definedName name="año">'[39]ESTADO RED'!#REF!</definedName>
    <definedName name="año1">'[62]ESTADO RED'!#REF!</definedName>
    <definedName name="AÑOWUIE">'[63]Res-Accide-10'!$R$2:$R$7</definedName>
    <definedName name="Ao">[64]Indices!#REF!</definedName>
    <definedName name="Ap">#REF!</definedName>
    <definedName name="APac.c2002" localSheetId="10">#REF!</definedName>
    <definedName name="APac.c2002" localSheetId="20">#REF!</definedName>
    <definedName name="APac.c2002" localSheetId="21">#REF!</definedName>
    <definedName name="APac.c2002">#REF!</definedName>
    <definedName name="APac.c2003" localSheetId="10">#REF!</definedName>
    <definedName name="APac.c2003" localSheetId="20">#REF!</definedName>
    <definedName name="APac.c2003" localSheetId="21">#REF!</definedName>
    <definedName name="APac.c2003">#REF!</definedName>
    <definedName name="APac.p" localSheetId="10">#REF!</definedName>
    <definedName name="APac.p" localSheetId="20">#REF!</definedName>
    <definedName name="APac.p" localSheetId="21">#REF!</definedName>
    <definedName name="APac.p">#REF!</definedName>
    <definedName name="AparatoSanitario">#REF!</definedName>
    <definedName name="APIJA">#REF!</definedName>
    <definedName name="APR">[65]dts!$B$25</definedName>
    <definedName name="aprdata">#REF!</definedName>
    <definedName name="APU" localSheetId="22">[66]!absc</definedName>
    <definedName name="APU" localSheetId="21">[66]!absc</definedName>
    <definedName name="APU">[66]!absc</definedName>
    <definedName name="apu_cerraduras">[67]APU!$F$2403</definedName>
    <definedName name="apu_cieloraso_tablilla_pino">[67]APU!$F$1201</definedName>
    <definedName name="apu_columna_confinamiento">[67]APU!$F$659</definedName>
    <definedName name="apu_combo_ap_sanit">[67]APU!$F$2416</definedName>
    <definedName name="apu_cubierta_ondulit">[67]APU!$F$1105</definedName>
    <definedName name="apu_cubierta_zinc">[67]APU!$F$1145</definedName>
    <definedName name="apu_demolicion_pañete">[67]APU!$F$44</definedName>
    <definedName name="apu_ducha_sencilla">[67]APU!$F$2623</definedName>
    <definedName name="apu_guardaescobas_madera">[67]APU!$F$1749</definedName>
    <definedName name="apu_herramientas">[67]APU!$F$3354</definedName>
    <definedName name="apu_lampara_2x48">[67]APU!$F$3237</definedName>
    <definedName name="apu_lampara_2x96">[67]APU!$F$3245</definedName>
    <definedName name="apu_levante_bloque_10">[67]APU!$F$900</definedName>
    <definedName name="apu_marco_puerta">[67]APU!$F$2292</definedName>
    <definedName name="apu_pintura_cieloraso_esmalte">[67]APU!$F$2946</definedName>
    <definedName name="apu_pintura_marcos">[67]APU!$F$2908</definedName>
    <definedName name="apu_pintura_rejas_anticorrosivo">[67]APU!$F$2871</definedName>
    <definedName name="apu_salida_alumbrado">[67]APU!$F$3122</definedName>
    <definedName name="apu_salida_tomacorriente">[67]APU!$F$3137</definedName>
    <definedName name="apu_tablero_10_circuitos">[67]APU!$F$3192</definedName>
    <definedName name="apu_toma_telefonico">[67]APU!$F$3170</definedName>
    <definedName name="apu_ventilador">[67]APU!$F$3253</definedName>
    <definedName name="apu_viga_amarre_sobre_muros15">[67]APU!$F$758</definedName>
    <definedName name="APU221.1">#REF!</definedName>
    <definedName name="APU221.2">#REF!</definedName>
    <definedName name="APUCANALS">#REF!</definedName>
    <definedName name="APUDES">#REF!</definedName>
    <definedName name="APUM">#REF!</definedName>
    <definedName name="APURESUMIDOS" localSheetId="39">#REF!</definedName>
    <definedName name="APURESUMIDOS">#REF!</definedName>
    <definedName name="APUS" localSheetId="39">#REF!</definedName>
    <definedName name="APUS">#REF!</definedName>
    <definedName name="APUSEDIMENS">#REF!</definedName>
    <definedName name="Aq">#REF!</definedName>
    <definedName name="aqaq" localSheetId="39">{"TAB1",#N/A,TRUE,"GENERAL";"TAB2",#N/A,TRUE,"GENERAL";"TAB3",#N/A,TRUE,"GENERAL";"TAB4",#N/A,TRUE,"GENERAL";"TAB5",#N/A,TRUE,"GENERAL"}</definedName>
    <definedName name="aqaq" localSheetId="20">{"TAB1",#N/A,TRUE,"GENERAL";"TAB2",#N/A,TRUE,"GENERAL";"TAB3",#N/A,TRUE,"GENERAL";"TAB4",#N/A,TRUE,"GENERAL";"TAB5",#N/A,TRUE,"GENERAL"}</definedName>
    <definedName name="aqaq" localSheetId="21">{"TAB1",#N/A,TRUE,"GENERAL";"TAB2",#N/A,TRUE,"GENERAL";"TAB3",#N/A,TRUE,"GENERAL";"TAB4",#N/A,TRUE,"GENERAL";"TAB5",#N/A,TRUE,"GENERAL"}</definedName>
    <definedName name="aqaq" localSheetId="9">{"TAB1",#N/A,TRUE,"GENERAL";"TAB2",#N/A,TRUE,"GENERAL";"TAB3",#N/A,TRUE,"GENERAL";"TAB4",#N/A,TRUE,"GENERAL";"TAB5",#N/A,TRUE,"GENERAL"}</definedName>
    <definedName name="aqaq" localSheetId="19">{"TAB1",#N/A,TRUE,"GENERAL";"TAB2",#N/A,TRUE,"GENERAL";"TAB3",#N/A,TRUE,"GENERAL";"TAB4",#N/A,TRUE,"GENERAL";"TAB5",#N/A,TRUE,"GENERAL"}</definedName>
    <definedName name="aqaq" localSheetId="28">{"TAB1",#N/A,TRUE,"GENERAL";"TAB2",#N/A,TRUE,"GENERAL";"TAB3",#N/A,TRUE,"GENERAL";"TAB4",#N/A,TRUE,"GENERAL";"TAB5",#N/A,TRUE,"GENERAL"}</definedName>
    <definedName name="aqaq" localSheetId="29">{"TAB1",#N/A,TRUE,"GENERAL";"TAB2",#N/A,TRUE,"GENERAL";"TAB3",#N/A,TRUE,"GENERAL";"TAB4",#N/A,TRUE,"GENERAL";"TAB5",#N/A,TRUE,"GENERAL"}</definedName>
    <definedName name="aqaq">{"TAB1",#N/A,TRUE,"GENERAL";"TAB2",#N/A,TRUE,"GENERAL";"TAB3",#N/A,TRUE,"GENERAL";"TAB4",#N/A,TRUE,"GENERAL";"TAB5",#N/A,TRUE,"GENERAL"}</definedName>
    <definedName name="Ar">#REF!</definedName>
    <definedName name="arae16">#REF!</definedName>
    <definedName name="arae8">#REF!</definedName>
    <definedName name="ARAUCA" localSheetId="9">[68]PRESUPUESTO!#REF!</definedName>
    <definedName name="ARAUCA" localSheetId="17">[69]PRESUPUESTO!#REF!</definedName>
    <definedName name="ARAUCA" localSheetId="18">[69]PRESUPUESTO!#REF!</definedName>
    <definedName name="ARAUCA" localSheetId="28">[70]PRESUPUESTO!#REF!</definedName>
    <definedName name="ARAUCA" localSheetId="29">[70]PRESUPUESTO!#REF!</definedName>
    <definedName name="ARAUCA" localSheetId="12">[69]PRESUPUESTO!#REF!</definedName>
    <definedName name="ARAUCA">[68]PRESUPUESTO!#REF!</definedName>
    <definedName name="AREA">#REF!</definedName>
    <definedName name="Área_de_Cantidades" localSheetId="39">#REF!</definedName>
    <definedName name="Área_de_Cantidades" localSheetId="20">#REF!</definedName>
    <definedName name="Área_de_Cantidades" localSheetId="21">#REF!</definedName>
    <definedName name="Área_de_Cantidades" localSheetId="9">#REF!</definedName>
    <definedName name="Área_de_Cantidades" localSheetId="19">#REF!</definedName>
    <definedName name="Área_de_Cantidades">#REF!</definedName>
    <definedName name="_xlnm.Extract">#REF!</definedName>
    <definedName name="_xlnm.Print_Area" localSheetId="30">'1'!$A$1:$F$41</definedName>
    <definedName name="_xlnm.Print_Area" localSheetId="31">'211'!$A$1:$G$39</definedName>
    <definedName name="_xlnm.Print_Area" localSheetId="32">'212'!$A$1:$G$40</definedName>
    <definedName name="_xlnm.Print_Area" localSheetId="33">'213'!$A$1:$G$51</definedName>
    <definedName name="_xlnm.Print_Area" localSheetId="34">'214'!$A$1:$G$37</definedName>
    <definedName name="_xlnm.Print_Area" localSheetId="35">'215 (2)'!$A$1:$G$37</definedName>
    <definedName name="_xlnm.Print_Area" localSheetId="36">'216'!$A$1:$G$35</definedName>
    <definedName name="_xlnm.Print_Area" localSheetId="37">'217'!$A$1:$G$40</definedName>
    <definedName name="_xlnm.Print_Area" localSheetId="38">'218'!$A$1:$G$41</definedName>
    <definedName name="_xlnm.Print_Area" localSheetId="39">'221'!$A$1:$G$66</definedName>
    <definedName name="_xlnm.Print_Area" localSheetId="40">'222'!$A$1:$G$38</definedName>
    <definedName name="_xlnm.Print_Area" localSheetId="41">'231'!$A$1:$G$48</definedName>
    <definedName name="_xlnm.Print_Area" localSheetId="42">'311 411 511'!$A$1:$G$39</definedName>
    <definedName name="_xlnm.Print_Area" localSheetId="51">'3110'!$A$1:$G$49</definedName>
    <definedName name="_xlnm.Print_Area" localSheetId="52">'3111'!$A$1:$G$43</definedName>
    <definedName name="_xlnm.Print_Area" localSheetId="53">'3112 4112 5112'!$A$1:$G$39</definedName>
    <definedName name="_xlnm.Print_Area" localSheetId="54">'3113 4113'!$A$1:$G$41</definedName>
    <definedName name="_xlnm.Print_Area" localSheetId="43">'312'!$A$1:$G$42</definedName>
    <definedName name="_xlnm.Print_Area" localSheetId="44">'313'!$A$1:$G$48</definedName>
    <definedName name="_xlnm.Print_Area" localSheetId="45">'314 414 514'!$A$1:$G$43</definedName>
    <definedName name="_xlnm.Print_Area" localSheetId="46">'315'!$A$1:$G$50</definedName>
    <definedName name="_xlnm.Print_Area" localSheetId="47">'316'!$A$1:$G$43</definedName>
    <definedName name="_xlnm.Print_Area" localSheetId="48">'317 417 517'!$A$1:$G$41</definedName>
    <definedName name="_xlnm.Print_Area" localSheetId="49">'318'!$A$1:$G$38</definedName>
    <definedName name="_xlnm.Print_Area" localSheetId="50">'319'!$A$1:$G$39</definedName>
    <definedName name="_xlnm.Print_Area" localSheetId="55">'321 421 521'!$A$1:$G$38</definedName>
    <definedName name="_xlnm.Print_Area" localSheetId="64">'3210 4210 5210'!$A$1:$G$37</definedName>
    <definedName name="_xlnm.Print_Area" localSheetId="56">'322 422 522'!$A$1:$G$38</definedName>
    <definedName name="_xlnm.Print_Area" localSheetId="57">'323 423 523'!$A$1:$G$33</definedName>
    <definedName name="_xlnm.Print_Area" localSheetId="58">'324 424 524'!$A$1:$G$36</definedName>
    <definedName name="_xlnm.Print_Area" localSheetId="59">'325 425 525'!$A$1:$G$47</definedName>
    <definedName name="_xlnm.Print_Area" localSheetId="60">'326 426 526'!$A$1:$G$36</definedName>
    <definedName name="_xlnm.Print_Area" localSheetId="61">'327 427 527'!$A$1:$G$37</definedName>
    <definedName name="_xlnm.Print_Area" localSheetId="62">'328 428 528'!$A$1:$G$33</definedName>
    <definedName name="_xlnm.Print_Area" localSheetId="63">'329 429 529'!$A$1:$G$34</definedName>
    <definedName name="_xlnm.Print_Area" localSheetId="65">'331 431 531'!$A$1:$G$51</definedName>
    <definedName name="_xlnm.Print_Area" localSheetId="66">'341 441 541'!$A$1:$G$43</definedName>
    <definedName name="_xlnm.Print_Area" localSheetId="67">'352 452 552'!$A$1:$G$36</definedName>
    <definedName name="_xlnm.Print_Area" localSheetId="68">'353 453 553'!$A$1:$G$35</definedName>
    <definedName name="_xlnm.Print_Area" localSheetId="70">'356 456 556'!$A$1:$G$37</definedName>
    <definedName name="_xlnm.Print_Area" localSheetId="77">'4110'!$A$1:$G$46</definedName>
    <definedName name="_xlnm.Print_Area" localSheetId="78">'4111'!$A$1:$G$40</definedName>
    <definedName name="_xlnm.Print_Area" localSheetId="71">'412'!$A$1:$G$40</definedName>
    <definedName name="_xlnm.Print_Area" localSheetId="72">'413'!$A$1:$G$47</definedName>
    <definedName name="_xlnm.Print_Area" localSheetId="73">'415'!$A$1:$G$49</definedName>
    <definedName name="_xlnm.Print_Area" localSheetId="74">'416'!$A$1:$G$41</definedName>
    <definedName name="_xlnm.Print_Area" localSheetId="75">'418'!$A$1:$G$42</definedName>
    <definedName name="_xlnm.Print_Area" localSheetId="76">'419'!$A$1:$G$36</definedName>
    <definedName name="_xlnm.Print_Area" localSheetId="85">'5110'!$A$1:$G$46</definedName>
    <definedName name="_xlnm.Print_Area" localSheetId="86">'5111'!$A$1:$G$42</definedName>
    <definedName name="_xlnm.Print_Area" localSheetId="87">'5113'!$A$1:$G$40</definedName>
    <definedName name="_xlnm.Print_Area" localSheetId="79">'512'!$A$1:$G$40</definedName>
    <definedName name="_xlnm.Print_Area" localSheetId="80">'513'!$A$1:$G$46</definedName>
    <definedName name="_xlnm.Print_Area" localSheetId="81">'515'!$A$1:$G$46</definedName>
    <definedName name="_xlnm.Print_Area" localSheetId="82">'516'!$A$1:$G$41</definedName>
    <definedName name="_xlnm.Print_Area" localSheetId="83">'518'!$A$1:$G$43</definedName>
    <definedName name="_xlnm.Print_Area" localSheetId="84">'519'!$A$1:$G$37</definedName>
    <definedName name="_xlnm.Print_Area" localSheetId="88">'61'!$A$1:$G$49</definedName>
    <definedName name="_xlnm.Print_Area" localSheetId="90">'61000'!$A$1:$G$36</definedName>
    <definedName name="_xlnm.Print_Area" localSheetId="10">'AIU Proyecto'!$A$1:$G$81</definedName>
    <definedName name="_xlnm.Print_Area" localSheetId="22">'CADENA DE VALOR'!$A$1:$P$55</definedName>
    <definedName name="_xlnm.Print_Area" localSheetId="20">'CRONOGRAMA Y FLUJO (OXI)'!$A$1:$BA$48</definedName>
    <definedName name="_xlnm.Print_Area" localSheetId="21">'CRONOGRAMA Y FLUJO .'!$A$1:$BA$40</definedName>
    <definedName name="_xlnm.Print_Area" localSheetId="9">'ENSAYOS DE LABORATORIO'!$A$1:$P$23</definedName>
    <definedName name="_xlnm.Print_Area" localSheetId="13">'Factor Multiplicador'!$A$1:$Z$44</definedName>
    <definedName name="_xlnm.Print_Area" localSheetId="17">FIDUCIA!$A$1:$F$11</definedName>
    <definedName name="_xlnm.Print_Area" localSheetId="18">GERENCIA!$A$1:$H$49</definedName>
    <definedName name="_xlnm.Print_Area" localSheetId="89">MATERIALES!$A$1:$H$418</definedName>
    <definedName name="_xlnm.Print_Area" localSheetId="29">PMA!$A$1:$C$23</definedName>
    <definedName name="_xlnm.Print_Area" localSheetId="23">'PRES GENERAL MR(OXI)'!$A$1:$P$61</definedName>
    <definedName name="_xlnm.Print_Area" localSheetId="26">'PRES MR 10 KW'!$A$1:$P$42</definedName>
    <definedName name="_xlnm.Print_Area" localSheetId="27">'PRES MR 15 KW'!$A$1:$P$42</definedName>
    <definedName name="_xlnm.Print_Area" localSheetId="25">'PRES MR 5 KW'!$A$1:$P$42</definedName>
    <definedName name="_xlnm.Print_Area" localSheetId="24">'PRES. SISFV 2010 W B200'!$A$1:$P$20</definedName>
    <definedName name="_xlnm.Print_Area" localSheetId="12">'Presupuesto Interventoría'!$A$1:$H$54</definedName>
    <definedName name="_xlnm.Print_Area" localSheetId="2">TRANSPORTE!$A$1:$H$19</definedName>
    <definedName name="_xlnm.Print_Area">#REF!</definedName>
    <definedName name="Área_Impactada">#REF!</definedName>
    <definedName name="area1">#REF!</definedName>
    <definedName name="area10">#REF!</definedName>
    <definedName name="area11">#REF!</definedName>
    <definedName name="area12">#REF!</definedName>
    <definedName name="area13">#REF!</definedName>
    <definedName name="area14">#REF!</definedName>
    <definedName name="area15">#REF!</definedName>
    <definedName name="area17">#REF!</definedName>
    <definedName name="area18">#REF!</definedName>
    <definedName name="area19">#REF!</definedName>
    <definedName name="area2">#REF!</definedName>
    <definedName name="area20">#REF!</definedName>
    <definedName name="area21">#REF!</definedName>
    <definedName name="area22">#REF!</definedName>
    <definedName name="area23">#REF!</definedName>
    <definedName name="area24">#REF!</definedName>
    <definedName name="area25">#REF!</definedName>
    <definedName name="area26">#REF!</definedName>
    <definedName name="area27">#REF!</definedName>
    <definedName name="area3">#REF!</definedName>
    <definedName name="area4">#REF!</definedName>
    <definedName name="area5">#REF!</definedName>
    <definedName name="area6">#REF!</definedName>
    <definedName name="area7">#REF!</definedName>
    <definedName name="area8">#N/A</definedName>
    <definedName name="area9">#REF!</definedName>
    <definedName name="Arena">#REF!</definedName>
    <definedName name="ARENA_BLANCA">[52]Materiales!$F$19</definedName>
    <definedName name="arg" localSheetId="20" hidden="1">#REF!</definedName>
    <definedName name="arg" localSheetId="21" hidden="1">#REF!</definedName>
    <definedName name="arg" localSheetId="9" hidden="1">#REF!</definedName>
    <definedName name="arg" localSheetId="19" hidden="1">#REF!</definedName>
    <definedName name="arg" localSheetId="13" hidden="1">[71]MI!#REF!</definedName>
    <definedName name="arg" localSheetId="17" hidden="1">[71]MI!#REF!</definedName>
    <definedName name="arg" localSheetId="18" hidden="1">[71]MI!#REF!</definedName>
    <definedName name="arg" localSheetId="12" hidden="1">[71]MI!#REF!</definedName>
    <definedName name="arg" hidden="1">#REF!</definedName>
    <definedName name="arial">#REF!</definedName>
    <definedName name="Arrendamiento">#REF!</definedName>
    <definedName name="ArrendamientoCostos">#REF!</definedName>
    <definedName name="As">#REF!</definedName>
    <definedName name="asas">#REF!</definedName>
    <definedName name="asaSASASAS">#REF!</definedName>
    <definedName name="ASB">[9]AASHTO!$A$8:$F$11</definedName>
    <definedName name="ASD" localSheetId="39">{"via1",#N/A,TRUE,"general";"via2",#N/A,TRUE,"general";"via3",#N/A,TRUE,"general"}</definedName>
    <definedName name="ASD" localSheetId="20">{"via1",#N/A,TRUE,"general";"via2",#N/A,TRUE,"general";"via3",#N/A,TRUE,"general"}</definedName>
    <definedName name="ASD" localSheetId="21">{"via1",#N/A,TRUE,"general";"via2",#N/A,TRUE,"general";"via3",#N/A,TRUE,"general"}</definedName>
    <definedName name="ASD" localSheetId="9">{"via1",#N/A,TRUE,"general";"via2",#N/A,TRUE,"general";"via3",#N/A,TRUE,"general"}</definedName>
    <definedName name="ASD" localSheetId="19">{"via1",#N/A,TRUE,"general";"via2",#N/A,TRUE,"general";"via3",#N/A,TRUE,"general"}</definedName>
    <definedName name="ASD" localSheetId="28">{"via1",#N/A,TRUE,"general";"via2",#N/A,TRUE,"general";"via3",#N/A,TRUE,"general"}</definedName>
    <definedName name="ASD" localSheetId="29">{"via1",#N/A,TRUE,"general";"via2",#N/A,TRUE,"general";"via3",#N/A,TRUE,"general"}</definedName>
    <definedName name="ASD">{"via1",#N/A,TRUE,"general";"via2",#N/A,TRUE,"general";"via3",#N/A,TRUE,"general"}</definedName>
    <definedName name="ASDA" localSheetId="39">{"via1",#N/A,TRUE,"general";"via2",#N/A,TRUE,"general";"via3",#N/A,TRUE,"general"}</definedName>
    <definedName name="ASDA" localSheetId="20">{"via1",#N/A,TRUE,"general";"via2",#N/A,TRUE,"general";"via3",#N/A,TRUE,"general"}</definedName>
    <definedName name="ASDA" localSheetId="21">{"via1",#N/A,TRUE,"general";"via2",#N/A,TRUE,"general";"via3",#N/A,TRUE,"general"}</definedName>
    <definedName name="ASDA" localSheetId="9">{"via1",#N/A,TRUE,"general";"via2",#N/A,TRUE,"general";"via3",#N/A,TRUE,"general"}</definedName>
    <definedName name="ASDA" localSheetId="19">{"via1",#N/A,TRUE,"general";"via2",#N/A,TRUE,"general";"via3",#N/A,TRUE,"general"}</definedName>
    <definedName name="ASDA" localSheetId="28">{"via1",#N/A,TRUE,"general";"via2",#N/A,TRUE,"general";"via3",#N/A,TRUE,"general"}</definedName>
    <definedName name="ASDA" localSheetId="29">{"via1",#N/A,TRUE,"general";"via2",#N/A,TRUE,"general";"via3",#N/A,TRUE,"general"}</definedName>
    <definedName name="ASDA">{"via1",#N/A,TRUE,"general";"via2",#N/A,TRUE,"general";"via3",#N/A,TRUE,"general"}</definedName>
    <definedName name="asdasd" localSheetId="39">{"TAB1",#N/A,TRUE,"GENERAL";"TAB2",#N/A,TRUE,"GENERAL";"TAB3",#N/A,TRUE,"GENERAL";"TAB4",#N/A,TRUE,"GENERAL";"TAB5",#N/A,TRUE,"GENERAL"}</definedName>
    <definedName name="asdasd" localSheetId="20">{"TAB1",#N/A,TRUE,"GENERAL";"TAB2",#N/A,TRUE,"GENERAL";"TAB3",#N/A,TRUE,"GENERAL";"TAB4",#N/A,TRUE,"GENERAL";"TAB5",#N/A,TRUE,"GENERAL"}</definedName>
    <definedName name="asdasd" localSheetId="21">{"TAB1",#N/A,TRUE,"GENERAL";"TAB2",#N/A,TRUE,"GENERAL";"TAB3",#N/A,TRUE,"GENERAL";"TAB4",#N/A,TRUE,"GENERAL";"TAB5",#N/A,TRUE,"GENERAL"}</definedName>
    <definedName name="asdasd" localSheetId="9">{"TAB1",#N/A,TRUE,"GENERAL";"TAB2",#N/A,TRUE,"GENERAL";"TAB3",#N/A,TRUE,"GENERAL";"TAB4",#N/A,TRUE,"GENERAL";"TAB5",#N/A,TRUE,"GENERAL"}</definedName>
    <definedName name="asdasd" localSheetId="19">{"TAB1",#N/A,TRUE,"GENERAL";"TAB2",#N/A,TRUE,"GENERAL";"TAB3",#N/A,TRUE,"GENERAL";"TAB4",#N/A,TRUE,"GENERAL";"TAB5",#N/A,TRUE,"GENERAL"}</definedName>
    <definedName name="asdasd" localSheetId="28">{"TAB1",#N/A,TRUE,"GENERAL";"TAB2",#N/A,TRUE,"GENERAL";"TAB3",#N/A,TRUE,"GENERAL";"TAB4",#N/A,TRUE,"GENERAL";"TAB5",#N/A,TRUE,"GENERAL"}</definedName>
    <definedName name="asdasd" localSheetId="29">{"TAB1",#N/A,TRUE,"GENERAL";"TAB2",#N/A,TRUE,"GENERAL";"TAB3",#N/A,TRUE,"GENERAL";"TAB4",#N/A,TRUE,"GENERAL";"TAB5",#N/A,TRUE,"GENERAL"}</definedName>
    <definedName name="asdasd">{"TAB1",#N/A,TRUE,"GENERAL";"TAB2",#N/A,TRUE,"GENERAL";"TAB3",#N/A,TRUE,"GENERAL";"TAB4",#N/A,TRUE,"GENERAL";"TAB5",#N/A,TRUE,"GENERAL"}</definedName>
    <definedName name="asdd">#REF!</definedName>
    <definedName name="asdf" localSheetId="39">{"via1",#N/A,TRUE,"general";"via2",#N/A,TRUE,"general";"via3",#N/A,TRUE,"general"}</definedName>
    <definedName name="asdf" localSheetId="20">{"via1",#N/A,TRUE,"general";"via2",#N/A,TRUE,"general";"via3",#N/A,TRUE,"general"}</definedName>
    <definedName name="asdf" localSheetId="21">{"via1",#N/A,TRUE,"general";"via2",#N/A,TRUE,"general";"via3",#N/A,TRUE,"general"}</definedName>
    <definedName name="asdf" localSheetId="9">{"via1",#N/A,TRUE,"general";"via2",#N/A,TRUE,"general";"via3",#N/A,TRUE,"general"}</definedName>
    <definedName name="asdf" localSheetId="19">{"via1",#N/A,TRUE,"general";"via2",#N/A,TRUE,"general";"via3",#N/A,TRUE,"general"}</definedName>
    <definedName name="asdf" localSheetId="28">{"via1",#N/A,TRUE,"general";"via2",#N/A,TRUE,"general";"via3",#N/A,TRUE,"general"}</definedName>
    <definedName name="asdf" localSheetId="29">{"via1",#N/A,TRUE,"general";"via2",#N/A,TRUE,"general";"via3",#N/A,TRUE,"general"}</definedName>
    <definedName name="asdf">{"via1",#N/A,TRUE,"general";"via2",#N/A,TRUE,"general";"via3",#N/A,TRUE,"general"}</definedName>
    <definedName name="asdfa" localSheetId="39">{"via1",#N/A,TRUE,"general";"via2",#N/A,TRUE,"general";"via3",#N/A,TRUE,"general"}</definedName>
    <definedName name="asdfa" localSheetId="20">{"via1",#N/A,TRUE,"general";"via2",#N/A,TRUE,"general";"via3",#N/A,TRUE,"general"}</definedName>
    <definedName name="asdfa" localSheetId="21">{"via1",#N/A,TRUE,"general";"via2",#N/A,TRUE,"general";"via3",#N/A,TRUE,"general"}</definedName>
    <definedName name="asdfa" localSheetId="9">{"via1",#N/A,TRUE,"general";"via2",#N/A,TRUE,"general";"via3",#N/A,TRUE,"general"}</definedName>
    <definedName name="asdfa" localSheetId="19">{"via1",#N/A,TRUE,"general";"via2",#N/A,TRUE,"general";"via3",#N/A,TRUE,"general"}</definedName>
    <definedName name="asdfa" localSheetId="28">{"via1",#N/A,TRUE,"general";"via2",#N/A,TRUE,"general";"via3",#N/A,TRUE,"general"}</definedName>
    <definedName name="asdfa" localSheetId="29">{"via1",#N/A,TRUE,"general";"via2",#N/A,TRUE,"general";"via3",#N/A,TRUE,"general"}</definedName>
    <definedName name="asdfa">{"via1",#N/A,TRUE,"general";"via2",#N/A,TRUE,"general";"via3",#N/A,TRUE,"general"}</definedName>
    <definedName name="asdfñk" localSheetId="22">[72]!absc</definedName>
    <definedName name="asdfñk" localSheetId="21">[72]!absc</definedName>
    <definedName name="asdfñk">[72]!absc</definedName>
    <definedName name="ASDFSSGSHJNRYX" localSheetId="9">#REF!</definedName>
    <definedName name="ASDFSSGSHJNRYX">#REF!</definedName>
    <definedName name="ASES" localSheetId="9">#REF!</definedName>
    <definedName name="ASES">#REF!</definedName>
    <definedName name="asfasd" localSheetId="39">{"via1",#N/A,TRUE,"general";"via2",#N/A,TRUE,"general";"via3",#N/A,TRUE,"general"}</definedName>
    <definedName name="asfasd" localSheetId="20">{"via1",#N/A,TRUE,"general";"via2",#N/A,TRUE,"general";"via3",#N/A,TRUE,"general"}</definedName>
    <definedName name="asfasd" localSheetId="21">{"via1",#N/A,TRUE,"general";"via2",#N/A,TRUE,"general";"via3",#N/A,TRUE,"general"}</definedName>
    <definedName name="asfasd" localSheetId="9">{"via1",#N/A,TRUE,"general";"via2",#N/A,TRUE,"general";"via3",#N/A,TRUE,"general"}</definedName>
    <definedName name="asfasd" localSheetId="19">{"via1",#N/A,TRUE,"general";"via2",#N/A,TRUE,"general";"via3",#N/A,TRUE,"general"}</definedName>
    <definedName name="asfasd" localSheetId="28">{"via1",#N/A,TRUE,"general";"via2",#N/A,TRUE,"general";"via3",#N/A,TRUE,"general"}</definedName>
    <definedName name="asfasd" localSheetId="29">{"via1",#N/A,TRUE,"general";"via2",#N/A,TRUE,"general";"via3",#N/A,TRUE,"general"}</definedName>
    <definedName name="asfasd">{"via1",#N/A,TRUE,"general";"via2",#N/A,TRUE,"general";"via3",#N/A,TRUE,"general"}</definedName>
    <definedName name="asfasdl" localSheetId="39">{"via1",#N/A,TRUE,"general";"via2",#N/A,TRUE,"general";"via3",#N/A,TRUE,"general"}</definedName>
    <definedName name="asfasdl" localSheetId="20">{"via1",#N/A,TRUE,"general";"via2",#N/A,TRUE,"general";"via3",#N/A,TRUE,"general"}</definedName>
    <definedName name="asfasdl" localSheetId="21">{"via1",#N/A,TRUE,"general";"via2",#N/A,TRUE,"general";"via3",#N/A,TRUE,"general"}</definedName>
    <definedName name="asfasdl" localSheetId="9">{"via1",#N/A,TRUE,"general";"via2",#N/A,TRUE,"general";"via3",#N/A,TRUE,"general"}</definedName>
    <definedName name="asfasdl" localSheetId="19">{"via1",#N/A,TRUE,"general";"via2",#N/A,TRUE,"general";"via3",#N/A,TRUE,"general"}</definedName>
    <definedName name="asfasdl" localSheetId="28">{"via1",#N/A,TRUE,"general";"via2",#N/A,TRUE,"general";"via3",#N/A,TRUE,"general"}</definedName>
    <definedName name="asfasdl" localSheetId="29">{"via1",#N/A,TRUE,"general";"via2",#N/A,TRUE,"general";"via3",#N/A,TRUE,"general"}</definedName>
    <definedName name="asfasdl">{"via1",#N/A,TRUE,"general";"via2",#N/A,TRUE,"general";"via3",#N/A,TRUE,"general"}</definedName>
    <definedName name="asff" localSheetId="39">{"TAB1",#N/A,TRUE,"GENERAL";"TAB2",#N/A,TRUE,"GENERAL";"TAB3",#N/A,TRUE,"GENERAL";"TAB4",#N/A,TRUE,"GENERAL";"TAB5",#N/A,TRUE,"GENERAL"}</definedName>
    <definedName name="asff" localSheetId="20">{"TAB1",#N/A,TRUE,"GENERAL";"TAB2",#N/A,TRUE,"GENERAL";"TAB3",#N/A,TRUE,"GENERAL";"TAB4",#N/A,TRUE,"GENERAL";"TAB5",#N/A,TRUE,"GENERAL"}</definedName>
    <definedName name="asff" localSheetId="21">{"TAB1",#N/A,TRUE,"GENERAL";"TAB2",#N/A,TRUE,"GENERAL";"TAB3",#N/A,TRUE,"GENERAL";"TAB4",#N/A,TRUE,"GENERAL";"TAB5",#N/A,TRUE,"GENERAL"}</definedName>
    <definedName name="asff" localSheetId="9">{"TAB1",#N/A,TRUE,"GENERAL";"TAB2",#N/A,TRUE,"GENERAL";"TAB3",#N/A,TRUE,"GENERAL";"TAB4",#N/A,TRUE,"GENERAL";"TAB5",#N/A,TRUE,"GENERAL"}</definedName>
    <definedName name="asff" localSheetId="19">{"TAB1",#N/A,TRUE,"GENERAL";"TAB2",#N/A,TRUE,"GENERAL";"TAB3",#N/A,TRUE,"GENERAL";"TAB4",#N/A,TRUE,"GENERAL";"TAB5",#N/A,TRUE,"GENERAL"}</definedName>
    <definedName name="asff" localSheetId="28">{"TAB1",#N/A,TRUE,"GENERAL";"TAB2",#N/A,TRUE,"GENERAL";"TAB3",#N/A,TRUE,"GENERAL";"TAB4",#N/A,TRUE,"GENERAL";"TAB5",#N/A,TRUE,"GENERAL"}</definedName>
    <definedName name="asff" localSheetId="29">{"TAB1",#N/A,TRUE,"GENERAL";"TAB2",#N/A,TRUE,"GENERAL";"TAB3",#N/A,TRUE,"GENERAL";"TAB4",#N/A,TRUE,"GENERAL";"TAB5",#N/A,TRUE,"GENERAL"}</definedName>
    <definedName name="asff">{"TAB1",#N/A,TRUE,"GENERAL";"TAB2",#N/A,TRUE,"GENERAL";"TAB3",#N/A,TRUE,"GENERAL";"TAB4",#N/A,TRUE,"GENERAL";"TAB5",#N/A,TRUE,"GENERAL"}</definedName>
    <definedName name="asfghjoi" localSheetId="39">{"via1",#N/A,TRUE,"general";"via2",#N/A,TRUE,"general";"via3",#N/A,TRUE,"general"}</definedName>
    <definedName name="asfghjoi" localSheetId="20">{"via1",#N/A,TRUE,"general";"via2",#N/A,TRUE,"general";"via3",#N/A,TRUE,"general"}</definedName>
    <definedName name="asfghjoi" localSheetId="21">{"via1",#N/A,TRUE,"general";"via2",#N/A,TRUE,"general";"via3",#N/A,TRUE,"general"}</definedName>
    <definedName name="asfghjoi" localSheetId="9">{"via1",#N/A,TRUE,"general";"via2",#N/A,TRUE,"general";"via3",#N/A,TRUE,"general"}</definedName>
    <definedName name="asfghjoi" localSheetId="19">{"via1",#N/A,TRUE,"general";"via2",#N/A,TRUE,"general";"via3",#N/A,TRUE,"general"}</definedName>
    <definedName name="asfghjoi" localSheetId="28">{"via1",#N/A,TRUE,"general";"via2",#N/A,TRUE,"general";"via3",#N/A,TRUE,"general"}</definedName>
    <definedName name="asfghjoi" localSheetId="29">{"via1",#N/A,TRUE,"general";"via2",#N/A,TRUE,"general";"via3",#N/A,TRUE,"general"}</definedName>
    <definedName name="asfghjoi">{"via1",#N/A,TRUE,"general";"via2",#N/A,TRUE,"general";"via3",#N/A,TRUE,"general"}</definedName>
    <definedName name="AsistenciaCarretera">#REF!</definedName>
    <definedName name="AsistenciaCostos">#REF!</definedName>
    <definedName name="asojkdr" localSheetId="39">{"TAB1",#N/A,TRUE,"GENERAL";"TAB2",#N/A,TRUE,"GENERAL";"TAB3",#N/A,TRUE,"GENERAL";"TAB4",#N/A,TRUE,"GENERAL";"TAB5",#N/A,TRUE,"GENERAL"}</definedName>
    <definedName name="asojkdr" localSheetId="20">{"TAB1",#N/A,TRUE,"GENERAL";"TAB2",#N/A,TRUE,"GENERAL";"TAB3",#N/A,TRUE,"GENERAL";"TAB4",#N/A,TRUE,"GENERAL";"TAB5",#N/A,TRUE,"GENERAL"}</definedName>
    <definedName name="asojkdr" localSheetId="21">{"TAB1",#N/A,TRUE,"GENERAL";"TAB2",#N/A,TRUE,"GENERAL";"TAB3",#N/A,TRUE,"GENERAL";"TAB4",#N/A,TRUE,"GENERAL";"TAB5",#N/A,TRUE,"GENERAL"}</definedName>
    <definedName name="asojkdr" localSheetId="9">{"TAB1",#N/A,TRUE,"GENERAL";"TAB2",#N/A,TRUE,"GENERAL";"TAB3",#N/A,TRUE,"GENERAL";"TAB4",#N/A,TRUE,"GENERAL";"TAB5",#N/A,TRUE,"GENERAL"}</definedName>
    <definedName name="asojkdr" localSheetId="19">{"TAB1",#N/A,TRUE,"GENERAL";"TAB2",#N/A,TRUE,"GENERAL";"TAB3",#N/A,TRUE,"GENERAL";"TAB4",#N/A,TRUE,"GENERAL";"TAB5",#N/A,TRUE,"GENERAL"}</definedName>
    <definedName name="asojkdr" localSheetId="28">{"TAB1",#N/A,TRUE,"GENERAL";"TAB2",#N/A,TRUE,"GENERAL";"TAB3",#N/A,TRUE,"GENERAL";"TAB4",#N/A,TRUE,"GENERAL";"TAB5",#N/A,TRUE,"GENERAL"}</definedName>
    <definedName name="asojkdr" localSheetId="29">{"TAB1",#N/A,TRUE,"GENERAL";"TAB2",#N/A,TRUE,"GENERAL";"TAB3",#N/A,TRUE,"GENERAL";"TAB4",#N/A,TRUE,"GENERAL";"TAB5",#N/A,TRUE,"GENERAL"}</definedName>
    <definedName name="asojkdr">{"TAB1",#N/A,TRUE,"GENERAL";"TAB2",#N/A,TRUE,"GENERAL";"TAB3",#N/A,TRUE,"GENERAL";"TAB4",#N/A,TRUE,"GENERAL";"TAB5",#N/A,TRUE,"GENERAL"}</definedName>
    <definedName name="assdf">#REF!</definedName>
    <definedName name="assetclass">#REF!</definedName>
    <definedName name="assetclass2">#REF!</definedName>
    <definedName name="assetclass3">#REF!</definedName>
    <definedName name="at" localSheetId="13">'[41]Mano de Obra'!$B$2</definedName>
    <definedName name="at" localSheetId="17">'[42]Mano de Obra'!$B$3</definedName>
    <definedName name="at" localSheetId="18">'[42]Mano de Obra'!$B$3</definedName>
    <definedName name="at" localSheetId="28">'[43]Mano de Obra'!$B$2</definedName>
    <definedName name="at" localSheetId="29">'[43]Mano de Obra'!$B$2</definedName>
    <definedName name="at" localSheetId="12">'[42]Mano de Obra'!$B$3</definedName>
    <definedName name="at">'[44]Mano de Obra'!$B$2</definedName>
    <definedName name="ATenerEnCuenta" localSheetId="9">'[73]IMPUESTOS Y VR TOTAL'!$B$66:$E$86</definedName>
    <definedName name="ATenerEnCuenta">#REF!</definedName>
    <definedName name="AU">'[74]CIRCUITOS CODENSA'!#REF!</definedName>
    <definedName name="aur">#REF!</definedName>
    <definedName name="auto1">#REF!</definedName>
    <definedName name="auto2">#REF!</definedName>
    <definedName name="AUTOPISTA">'[74]CIRCUITOS CODENSA'!#REF!</definedName>
    <definedName name="av">#REF!</definedName>
    <definedName name="AVal.c2002" localSheetId="10">#REF!</definedName>
    <definedName name="AVal.c2002" localSheetId="20">#REF!</definedName>
    <definedName name="AVal.c2002" localSheetId="21">#REF!</definedName>
    <definedName name="AVal.c2002">#REF!</definedName>
    <definedName name="AVal.c2003" localSheetId="10">#REF!</definedName>
    <definedName name="AVal.c2003" localSheetId="20">#REF!</definedName>
    <definedName name="AVal.c2003" localSheetId="21">#REF!</definedName>
    <definedName name="AVal.c2003">#REF!</definedName>
    <definedName name="AVal.p" localSheetId="10">#REF!</definedName>
    <definedName name="AVal.p" localSheetId="20">#REF!</definedName>
    <definedName name="AVal.p" localSheetId="21">#REF!</definedName>
    <definedName name="AVal.p">#REF!</definedName>
    <definedName name="AVIGA">#REF!</definedName>
    <definedName name="AVsc" localSheetId="10">#REF!</definedName>
    <definedName name="AVsc" localSheetId="20">#REF!</definedName>
    <definedName name="AVsc" localSheetId="21">#REF!</definedName>
    <definedName name="AVsc">#REF!</definedName>
    <definedName name="Ax">#REF!</definedName>
    <definedName name="Ay">#REF!</definedName>
    <definedName name="ayudante">'[33]M.O.'!$F$18</definedName>
    <definedName name="azaz" localSheetId="39">{"TAB1",#N/A,TRUE,"GENERAL";"TAB2",#N/A,TRUE,"GENERAL";"TAB3",#N/A,TRUE,"GENERAL";"TAB4",#N/A,TRUE,"GENERAL";"TAB5",#N/A,TRUE,"GENERAL"}</definedName>
    <definedName name="azaz" localSheetId="20">{"TAB1",#N/A,TRUE,"GENERAL";"TAB2",#N/A,TRUE,"GENERAL";"TAB3",#N/A,TRUE,"GENERAL";"TAB4",#N/A,TRUE,"GENERAL";"TAB5",#N/A,TRUE,"GENERAL"}</definedName>
    <definedName name="azaz" localSheetId="21">{"TAB1",#N/A,TRUE,"GENERAL";"TAB2",#N/A,TRUE,"GENERAL";"TAB3",#N/A,TRUE,"GENERAL";"TAB4",#N/A,TRUE,"GENERAL";"TAB5",#N/A,TRUE,"GENERAL"}</definedName>
    <definedName name="azaz" localSheetId="9">{"TAB1",#N/A,TRUE,"GENERAL";"TAB2",#N/A,TRUE,"GENERAL";"TAB3",#N/A,TRUE,"GENERAL";"TAB4",#N/A,TRUE,"GENERAL";"TAB5",#N/A,TRUE,"GENERAL"}</definedName>
    <definedName name="azaz" localSheetId="19">{"TAB1",#N/A,TRUE,"GENERAL";"TAB2",#N/A,TRUE,"GENERAL";"TAB3",#N/A,TRUE,"GENERAL";"TAB4",#N/A,TRUE,"GENERAL";"TAB5",#N/A,TRUE,"GENERAL"}</definedName>
    <definedName name="azaz" localSheetId="28">{"TAB1",#N/A,TRUE,"GENERAL";"TAB2",#N/A,TRUE,"GENERAL";"TAB3",#N/A,TRUE,"GENERAL";"TAB4",#N/A,TRUE,"GENERAL";"TAB5",#N/A,TRUE,"GENERAL"}</definedName>
    <definedName name="azaz" localSheetId="29">{"TAB1",#N/A,TRUE,"GENERAL";"TAB2",#N/A,TRUE,"GENERAL";"TAB3",#N/A,TRUE,"GENERAL";"TAB4",#N/A,TRUE,"GENERAL";"TAB5",#N/A,TRUE,"GENERAL"}</definedName>
    <definedName name="azaz">{"TAB1",#N/A,TRUE,"GENERAL";"TAB2",#N/A,TRUE,"GENERAL";"TAB3",#N/A,TRUE,"GENERAL";"TAB4",#N/A,TRUE,"GENERAL";"TAB5",#N/A,TRUE,"GENERAL"}</definedName>
    <definedName name="Azimut">#REF!</definedName>
    <definedName name="B" localSheetId="39">{"via1",#N/A,TRUE,"general";"via2",#N/A,TRUE,"general";"via3",#N/A,TRUE,"general"}</definedName>
    <definedName name="B" localSheetId="20">{"via1",#N/A,TRUE,"general";"via2",#N/A,TRUE,"general";"via3",#N/A,TRUE,"general"}</definedName>
    <definedName name="B" localSheetId="21">{"via1",#N/A,TRUE,"general";"via2",#N/A,TRUE,"general";"via3",#N/A,TRUE,"general"}</definedName>
    <definedName name="B" localSheetId="9">{"via1",#N/A,TRUE,"general";"via2",#N/A,TRUE,"general";"via3",#N/A,TRUE,"general"}</definedName>
    <definedName name="B" localSheetId="19">{"via1",#N/A,TRUE,"general";"via2",#N/A,TRUE,"general";"via3",#N/A,TRUE,"general"}</definedName>
    <definedName name="b" localSheetId="17">#REF!</definedName>
    <definedName name="b" localSheetId="18">#REF!</definedName>
    <definedName name="B" localSheetId="28">{"via1",#N/A,TRUE,"general";"via2",#N/A,TRUE,"general";"via3",#N/A,TRUE,"general"}</definedName>
    <definedName name="B" localSheetId="29">{"via1",#N/A,TRUE,"general";"via2",#N/A,TRUE,"general";"via3",#N/A,TRUE,"general"}</definedName>
    <definedName name="b" localSheetId="12">#REF!</definedName>
    <definedName name="B">{"via1",#N/A,TRUE,"general";"via2",#N/A,TRUE,"general";"via3",#N/A,TRUE,"general"}</definedName>
    <definedName name="B.DATOS">[11]BS.DATOS!$B$5:$N$30</definedName>
    <definedName name="B_impresión_IM">#REF!</definedName>
    <definedName name="b_MAMPOSTERIA">#REF!</definedName>
    <definedName name="Ba">#REF!</definedName>
    <definedName name="BAJA">#REF!</definedName>
    <definedName name="BALASTO">#REF!</definedName>
    <definedName name="baldosa">[55]lisprecios!#REF!</definedName>
    <definedName name="BALDOSIN">#REF!</definedName>
    <definedName name="Ballincourt">'[75]REF - Listas'!$B$13:$B$23</definedName>
    <definedName name="BANCO">#REF!</definedName>
    <definedName name="Banda2">#REF!</definedName>
    <definedName name="Banda2a">#REF!</definedName>
    <definedName name="bASE" localSheetId="9">#REF!</definedName>
    <definedName name="BASE" localSheetId="17">#REF!</definedName>
    <definedName name="BASE" localSheetId="18">#REF!</definedName>
    <definedName name="BASE" localSheetId="12">#REF!</definedName>
    <definedName name="bASE">#REF!</definedName>
    <definedName name="Base_datos_IM" localSheetId="9">#REF!</definedName>
    <definedName name="Base_datos_IM" localSheetId="17">#REF!</definedName>
    <definedName name="Base_datos_IM" localSheetId="18">#REF!</definedName>
    <definedName name="Base_datos_IM" localSheetId="12">#REF!</definedName>
    <definedName name="Base_datos_IM">#REF!</definedName>
    <definedName name="base_datos_t45">[76]CALIDAD!#REF!</definedName>
    <definedName name="BASE_DE_DATOS" localSheetId="9">#REF!</definedName>
    <definedName name="BASE_DE_DATOS">#REF!</definedName>
    <definedName name="Base_Mat">#REF!</definedName>
    <definedName name="Base_MO">#REF!</definedName>
    <definedName name="base_VaR">#REF!</definedName>
    <definedName name="BASE2">#REF!</definedName>
    <definedName name="BaseDate">[77]Parameters!$D$17</definedName>
    <definedName name="BaseDatos_Ore1">'[78]BD100-45'!#REF!</definedName>
    <definedName name="BaseDatos_T831">'[79]BD100-45-P1'!#REF!</definedName>
    <definedName name="_xlnm.Database">#REF!</definedName>
    <definedName name="BasePeriod">#REF!</definedName>
    <definedName name="BB">#REF!</definedName>
    <definedName name="bbb">#REF!</definedName>
    <definedName name="bbbbbb" localSheetId="39">{"via1",#N/A,TRUE,"general";"via2",#N/A,TRUE,"general";"via3",#N/A,TRUE,"general"}</definedName>
    <definedName name="bbbbbb" localSheetId="20">{"via1",#N/A,TRUE,"general";"via2",#N/A,TRUE,"general";"via3",#N/A,TRUE,"general"}</definedName>
    <definedName name="bbbbbb" localSheetId="21">{"via1",#N/A,TRUE,"general";"via2",#N/A,TRUE,"general";"via3",#N/A,TRUE,"general"}</definedName>
    <definedName name="bbbbbb" localSheetId="9">{"via1",#N/A,TRUE,"general";"via2",#N/A,TRUE,"general";"via3",#N/A,TRUE,"general"}</definedName>
    <definedName name="bbbbbb" localSheetId="19">{"via1",#N/A,TRUE,"general";"via2",#N/A,TRUE,"general";"via3",#N/A,TRUE,"general"}</definedName>
    <definedName name="bbbbbb" localSheetId="28">{"via1",#N/A,TRUE,"general";"via2",#N/A,TRUE,"general";"via3",#N/A,TRUE,"general"}</definedName>
    <definedName name="bbbbbb" localSheetId="29">{"via1",#N/A,TRUE,"general";"via2",#N/A,TRUE,"general";"via3",#N/A,TRUE,"general"}</definedName>
    <definedName name="bbbbbb">{"via1",#N/A,TRUE,"general";"via2",#N/A,TRUE,"general";"via3",#N/A,TRUE,"general"}</definedName>
    <definedName name="bbbbbh" localSheetId="39">{"TAB1",#N/A,TRUE,"GENERAL";"TAB2",#N/A,TRUE,"GENERAL";"TAB3",#N/A,TRUE,"GENERAL";"TAB4",#N/A,TRUE,"GENERAL";"TAB5",#N/A,TRUE,"GENERAL"}</definedName>
    <definedName name="bbbbbh" localSheetId="20">{"TAB1",#N/A,TRUE,"GENERAL";"TAB2",#N/A,TRUE,"GENERAL";"TAB3",#N/A,TRUE,"GENERAL";"TAB4",#N/A,TRUE,"GENERAL";"TAB5",#N/A,TRUE,"GENERAL"}</definedName>
    <definedName name="bbbbbh" localSheetId="21">{"TAB1",#N/A,TRUE,"GENERAL";"TAB2",#N/A,TRUE,"GENERAL";"TAB3",#N/A,TRUE,"GENERAL";"TAB4",#N/A,TRUE,"GENERAL";"TAB5",#N/A,TRUE,"GENERAL"}</definedName>
    <definedName name="bbbbbh" localSheetId="9">{"TAB1",#N/A,TRUE,"GENERAL";"TAB2",#N/A,TRUE,"GENERAL";"TAB3",#N/A,TRUE,"GENERAL";"TAB4",#N/A,TRUE,"GENERAL";"TAB5",#N/A,TRUE,"GENERAL"}</definedName>
    <definedName name="bbbbbh" localSheetId="19">{"TAB1",#N/A,TRUE,"GENERAL";"TAB2",#N/A,TRUE,"GENERAL";"TAB3",#N/A,TRUE,"GENERAL";"TAB4",#N/A,TRUE,"GENERAL";"TAB5",#N/A,TRUE,"GENERAL"}</definedName>
    <definedName name="bbbbbh" localSheetId="28">{"TAB1",#N/A,TRUE,"GENERAL";"TAB2",#N/A,TRUE,"GENERAL";"TAB3",#N/A,TRUE,"GENERAL";"TAB4",#N/A,TRUE,"GENERAL";"TAB5",#N/A,TRUE,"GENERAL"}</definedName>
    <definedName name="bbbbbh" localSheetId="29">{"TAB1",#N/A,TRUE,"GENERAL";"TAB2",#N/A,TRUE,"GENERAL";"TAB3",#N/A,TRUE,"GENERAL";"TAB4",#N/A,TRUE,"GENERAL";"TAB5",#N/A,TRUE,"GENERAL"}</definedName>
    <definedName name="bbbbbh">{"TAB1",#N/A,TRUE,"GENERAL";"TAB2",#N/A,TRUE,"GENERAL";"TAB3",#N/A,TRUE,"GENERAL";"TAB4",#N/A,TRUE,"GENERAL";"TAB5",#N/A,TRUE,"GENERAL"}</definedName>
    <definedName name="bbd" localSheetId="39">{"TAB1",#N/A,TRUE,"GENERAL";"TAB2",#N/A,TRUE,"GENERAL";"TAB3",#N/A,TRUE,"GENERAL";"TAB4",#N/A,TRUE,"GENERAL";"TAB5",#N/A,TRUE,"GENERAL"}</definedName>
    <definedName name="bbd" localSheetId="20">{"TAB1",#N/A,TRUE,"GENERAL";"TAB2",#N/A,TRUE,"GENERAL";"TAB3",#N/A,TRUE,"GENERAL";"TAB4",#N/A,TRUE,"GENERAL";"TAB5",#N/A,TRUE,"GENERAL"}</definedName>
    <definedName name="bbd" localSheetId="21">{"TAB1",#N/A,TRUE,"GENERAL";"TAB2",#N/A,TRUE,"GENERAL";"TAB3",#N/A,TRUE,"GENERAL";"TAB4",#N/A,TRUE,"GENERAL";"TAB5",#N/A,TRUE,"GENERAL"}</definedName>
    <definedName name="bbd" localSheetId="9">{"TAB1",#N/A,TRUE,"GENERAL";"TAB2",#N/A,TRUE,"GENERAL";"TAB3",#N/A,TRUE,"GENERAL";"TAB4",#N/A,TRUE,"GENERAL";"TAB5",#N/A,TRUE,"GENERAL"}</definedName>
    <definedName name="bbd" localSheetId="19">{"TAB1",#N/A,TRUE,"GENERAL";"TAB2",#N/A,TRUE,"GENERAL";"TAB3",#N/A,TRUE,"GENERAL";"TAB4",#N/A,TRUE,"GENERAL";"TAB5",#N/A,TRUE,"GENERAL"}</definedName>
    <definedName name="bbd" localSheetId="28">{"TAB1",#N/A,TRUE,"GENERAL";"TAB2",#N/A,TRUE,"GENERAL";"TAB3",#N/A,TRUE,"GENERAL";"TAB4",#N/A,TRUE,"GENERAL";"TAB5",#N/A,TRUE,"GENERAL"}</definedName>
    <definedName name="bbd" localSheetId="29">{"TAB1",#N/A,TRUE,"GENERAL";"TAB2",#N/A,TRUE,"GENERAL";"TAB3",#N/A,TRUE,"GENERAL";"TAB4",#N/A,TRUE,"GENERAL";"TAB5",#N/A,TRUE,"GENERAL"}</definedName>
    <definedName name="bbd">{"TAB1",#N/A,TRUE,"GENERAL";"TAB2",#N/A,TRUE,"GENERAL";"TAB3",#N/A,TRUE,"GENERAL";"TAB4",#N/A,TRUE,"GENERAL";"TAB5",#N/A,TRUE,"GENERAL"}</definedName>
    <definedName name="Bc">#REF!</definedName>
    <definedName name="BCXBDFG" localSheetId="39">{"TAB1",#N/A,TRUE,"GENERAL";"TAB2",#N/A,TRUE,"GENERAL";"TAB3",#N/A,TRUE,"GENERAL";"TAB4",#N/A,TRUE,"GENERAL";"TAB5",#N/A,TRUE,"GENERAL"}</definedName>
    <definedName name="BCXBDFG" localSheetId="20">{"TAB1",#N/A,TRUE,"GENERAL";"TAB2",#N/A,TRUE,"GENERAL";"TAB3",#N/A,TRUE,"GENERAL";"TAB4",#N/A,TRUE,"GENERAL";"TAB5",#N/A,TRUE,"GENERAL"}</definedName>
    <definedName name="BCXBDFG" localSheetId="21">{"TAB1",#N/A,TRUE,"GENERAL";"TAB2",#N/A,TRUE,"GENERAL";"TAB3",#N/A,TRUE,"GENERAL";"TAB4",#N/A,TRUE,"GENERAL";"TAB5",#N/A,TRUE,"GENERAL"}</definedName>
    <definedName name="BCXBDFG" localSheetId="9">{"TAB1",#N/A,TRUE,"GENERAL";"TAB2",#N/A,TRUE,"GENERAL";"TAB3",#N/A,TRUE,"GENERAL";"TAB4",#N/A,TRUE,"GENERAL";"TAB5",#N/A,TRUE,"GENERAL"}</definedName>
    <definedName name="BCXBDFG" localSheetId="19">{"TAB1",#N/A,TRUE,"GENERAL";"TAB2",#N/A,TRUE,"GENERAL";"TAB3",#N/A,TRUE,"GENERAL";"TAB4",#N/A,TRUE,"GENERAL";"TAB5",#N/A,TRUE,"GENERAL"}</definedName>
    <definedName name="BCXBDFG" localSheetId="28">{"TAB1",#N/A,TRUE,"GENERAL";"TAB2",#N/A,TRUE,"GENERAL";"TAB3",#N/A,TRUE,"GENERAL";"TAB4",#N/A,TRUE,"GENERAL";"TAB5",#N/A,TRUE,"GENERAL"}</definedName>
    <definedName name="BCXBDFG" localSheetId="29">{"TAB1",#N/A,TRUE,"GENERAL";"TAB2",#N/A,TRUE,"GENERAL";"TAB3",#N/A,TRUE,"GENERAL";"TAB4",#N/A,TRUE,"GENERAL";"TAB5",#N/A,TRUE,"GENERAL"}</definedName>
    <definedName name="BCXBDFG">{"TAB1",#N/A,TRUE,"GENERAL";"TAB2",#N/A,TRUE,"GENERAL";"TAB3",#N/A,TRUE,"GENERAL";"TAB4",#N/A,TRUE,"GENERAL";"TAB5",#N/A,TRUE,"GENERAL"}</definedName>
    <definedName name="Bd">#REF!</definedName>
    <definedName name="BDD" localSheetId="9">#REF!</definedName>
    <definedName name="BDD">#REF!</definedName>
    <definedName name="BDFB" localSheetId="39">{"via1",#N/A,TRUE,"general";"via2",#N/A,TRUE,"general";"via3",#N/A,TRUE,"general"}</definedName>
    <definedName name="BDFB" localSheetId="20">{"via1",#N/A,TRUE,"general";"via2",#N/A,TRUE,"general";"via3",#N/A,TRUE,"general"}</definedName>
    <definedName name="BDFB" localSheetId="21">{"via1",#N/A,TRUE,"general";"via2",#N/A,TRUE,"general";"via3",#N/A,TRUE,"general"}</definedName>
    <definedName name="BDFB" localSheetId="9">{"via1",#N/A,TRUE,"general";"via2",#N/A,TRUE,"general";"via3",#N/A,TRUE,"general"}</definedName>
    <definedName name="BDFB" localSheetId="19">{"via1",#N/A,TRUE,"general";"via2",#N/A,TRUE,"general";"via3",#N/A,TRUE,"general"}</definedName>
    <definedName name="BDFB" localSheetId="28">{"via1",#N/A,TRUE,"general";"via2",#N/A,TRUE,"general";"via3",#N/A,TRUE,"general"}</definedName>
    <definedName name="BDFB" localSheetId="29">{"via1",#N/A,TRUE,"general";"via2",#N/A,TRUE,"general";"via3",#N/A,TRUE,"general"}</definedName>
    <definedName name="BDFB">{"via1",#N/A,TRUE,"general";"via2",#N/A,TRUE,"general";"via3",#N/A,TRUE,"general"}</definedName>
    <definedName name="BDFGDG" localSheetId="39">{"TAB1",#N/A,TRUE,"GENERAL";"TAB2",#N/A,TRUE,"GENERAL";"TAB3",#N/A,TRUE,"GENERAL";"TAB4",#N/A,TRUE,"GENERAL";"TAB5",#N/A,TRUE,"GENERAL"}</definedName>
    <definedName name="BDFGDG" localSheetId="20">{"TAB1",#N/A,TRUE,"GENERAL";"TAB2",#N/A,TRUE,"GENERAL";"TAB3",#N/A,TRUE,"GENERAL";"TAB4",#N/A,TRUE,"GENERAL";"TAB5",#N/A,TRUE,"GENERAL"}</definedName>
    <definedName name="BDFGDG" localSheetId="21">{"TAB1",#N/A,TRUE,"GENERAL";"TAB2",#N/A,TRUE,"GENERAL";"TAB3",#N/A,TRUE,"GENERAL";"TAB4",#N/A,TRUE,"GENERAL";"TAB5",#N/A,TRUE,"GENERAL"}</definedName>
    <definedName name="BDFGDG" localSheetId="9">{"TAB1",#N/A,TRUE,"GENERAL";"TAB2",#N/A,TRUE,"GENERAL";"TAB3",#N/A,TRUE,"GENERAL";"TAB4",#N/A,TRUE,"GENERAL";"TAB5",#N/A,TRUE,"GENERAL"}</definedName>
    <definedName name="BDFGDG" localSheetId="19">{"TAB1",#N/A,TRUE,"GENERAL";"TAB2",#N/A,TRUE,"GENERAL";"TAB3",#N/A,TRUE,"GENERAL";"TAB4",#N/A,TRUE,"GENERAL";"TAB5",#N/A,TRUE,"GENERAL"}</definedName>
    <definedName name="BDFGDG" localSheetId="28">{"TAB1",#N/A,TRUE,"GENERAL";"TAB2",#N/A,TRUE,"GENERAL";"TAB3",#N/A,TRUE,"GENERAL";"TAB4",#N/A,TRUE,"GENERAL";"TAB5",#N/A,TRUE,"GENERAL"}</definedName>
    <definedName name="BDFGDG" localSheetId="29">{"TAB1",#N/A,TRUE,"GENERAL";"TAB2",#N/A,TRUE,"GENERAL";"TAB3",#N/A,TRUE,"GENERAL";"TAB4",#N/A,TRUE,"GENERAL";"TAB5",#N/A,TRUE,"GENERAL"}</definedName>
    <definedName name="BDFGDG">{"TAB1",#N/A,TRUE,"GENERAL";"TAB2",#N/A,TRUE,"GENERAL";"TAB3",#N/A,TRUE,"GENERAL";"TAB4",#N/A,TRUE,"GENERAL";"TAB5",#N/A,TRUE,"GENERAL"}</definedName>
    <definedName name="be" localSheetId="39">{"TAB1",#N/A,TRUE,"GENERAL";"TAB2",#N/A,TRUE,"GENERAL";"TAB3",#N/A,TRUE,"GENERAL";"TAB4",#N/A,TRUE,"GENERAL";"TAB5",#N/A,TRUE,"GENERAL"}</definedName>
    <definedName name="be" localSheetId="20">{"TAB1",#N/A,TRUE,"GENERAL";"TAB2",#N/A,TRUE,"GENERAL";"TAB3",#N/A,TRUE,"GENERAL";"TAB4",#N/A,TRUE,"GENERAL";"TAB5",#N/A,TRUE,"GENERAL"}</definedName>
    <definedName name="be" localSheetId="21">{"TAB1",#N/A,TRUE,"GENERAL";"TAB2",#N/A,TRUE,"GENERAL";"TAB3",#N/A,TRUE,"GENERAL";"TAB4",#N/A,TRUE,"GENERAL";"TAB5",#N/A,TRUE,"GENERAL"}</definedName>
    <definedName name="be" localSheetId="9">{"TAB1",#N/A,TRUE,"GENERAL";"TAB2",#N/A,TRUE,"GENERAL";"TAB3",#N/A,TRUE,"GENERAL";"TAB4",#N/A,TRUE,"GENERAL";"TAB5",#N/A,TRUE,"GENERAL"}</definedName>
    <definedName name="be" localSheetId="19">{"TAB1",#N/A,TRUE,"GENERAL";"TAB2",#N/A,TRUE,"GENERAL";"TAB3",#N/A,TRUE,"GENERAL";"TAB4",#N/A,TRUE,"GENERAL";"TAB5",#N/A,TRUE,"GENERAL"}</definedName>
    <definedName name="Be" localSheetId="17">#REF!</definedName>
    <definedName name="Be" localSheetId="18">#REF!</definedName>
    <definedName name="be" localSheetId="28">{"TAB1",#N/A,TRUE,"GENERAL";"TAB2",#N/A,TRUE,"GENERAL";"TAB3",#N/A,TRUE,"GENERAL";"TAB4",#N/A,TRUE,"GENERAL";"TAB5",#N/A,TRUE,"GENERAL"}</definedName>
    <definedName name="be" localSheetId="29">{"TAB1",#N/A,TRUE,"GENERAL";"TAB2",#N/A,TRUE,"GENERAL";"TAB3",#N/A,TRUE,"GENERAL";"TAB4",#N/A,TRUE,"GENERAL";"TAB5",#N/A,TRUE,"GENERAL"}</definedName>
    <definedName name="Be" localSheetId="12">#REF!</definedName>
    <definedName name="be">{"TAB1",#N/A,TRUE,"GENERAL";"TAB2",#N/A,TRUE,"GENERAL";"TAB3",#N/A,TRUE,"GENERAL";"TAB4",#N/A,TRUE,"GENERAL";"TAB5",#N/A,TRUE,"GENERAL"}</definedName>
    <definedName name="Beg_Bal">#REF!</definedName>
    <definedName name="beneficios">[37]Listado!$AH$2:$AH$3</definedName>
    <definedName name="Bf">#REF!</definedName>
    <definedName name="bfgxddvd">#REF!</definedName>
    <definedName name="bfnfv" localSheetId="39">{"TAB1",#N/A,TRUE,"GENERAL";"TAB2",#N/A,TRUE,"GENERAL";"TAB3",#N/A,TRUE,"GENERAL";"TAB4",#N/A,TRUE,"GENERAL";"TAB5",#N/A,TRUE,"GENERAL"}</definedName>
    <definedName name="bfnfv" localSheetId="20">{"TAB1",#N/A,TRUE,"GENERAL";"TAB2",#N/A,TRUE,"GENERAL";"TAB3",#N/A,TRUE,"GENERAL";"TAB4",#N/A,TRUE,"GENERAL";"TAB5",#N/A,TRUE,"GENERAL"}</definedName>
    <definedName name="bfnfv" localSheetId="21">{"TAB1",#N/A,TRUE,"GENERAL";"TAB2",#N/A,TRUE,"GENERAL";"TAB3",#N/A,TRUE,"GENERAL";"TAB4",#N/A,TRUE,"GENERAL";"TAB5",#N/A,TRUE,"GENERAL"}</definedName>
    <definedName name="bfnfv" localSheetId="9">{"TAB1",#N/A,TRUE,"GENERAL";"TAB2",#N/A,TRUE,"GENERAL";"TAB3",#N/A,TRUE,"GENERAL";"TAB4",#N/A,TRUE,"GENERAL";"TAB5",#N/A,TRUE,"GENERAL"}</definedName>
    <definedName name="bfnfv" localSheetId="19">{"TAB1",#N/A,TRUE,"GENERAL";"TAB2",#N/A,TRUE,"GENERAL";"TAB3",#N/A,TRUE,"GENERAL";"TAB4",#N/A,TRUE,"GENERAL";"TAB5",#N/A,TRUE,"GENERAL"}</definedName>
    <definedName name="bfnfv" localSheetId="28">{"TAB1",#N/A,TRUE,"GENERAL";"TAB2",#N/A,TRUE,"GENERAL";"TAB3",#N/A,TRUE,"GENERAL";"TAB4",#N/A,TRUE,"GENERAL";"TAB5",#N/A,TRUE,"GENERAL"}</definedName>
    <definedName name="bfnfv" localSheetId="29">{"TAB1",#N/A,TRUE,"GENERAL";"TAB2",#N/A,TRUE,"GENERAL";"TAB3",#N/A,TRUE,"GENERAL";"TAB4",#N/A,TRUE,"GENERAL";"TAB5",#N/A,TRUE,"GENERAL"}</definedName>
    <definedName name="bfnfv">{"TAB1",#N/A,TRUE,"GENERAL";"TAB2",#N/A,TRUE,"GENERAL";"TAB3",#N/A,TRUE,"GENERAL";"TAB4",#N/A,TRUE,"GENERAL";"TAB5",#N/A,TRUE,"GENERAL"}</definedName>
    <definedName name="Bg">#REF!</definedName>
    <definedName name="bgb" localSheetId="39">{"TAB1",#N/A,TRUE,"GENERAL";"TAB2",#N/A,TRUE,"GENERAL";"TAB3",#N/A,TRUE,"GENERAL";"TAB4",#N/A,TRUE,"GENERAL";"TAB5",#N/A,TRUE,"GENERAL"}</definedName>
    <definedName name="bgb" localSheetId="20">{"TAB1",#N/A,TRUE,"GENERAL";"TAB2",#N/A,TRUE,"GENERAL";"TAB3",#N/A,TRUE,"GENERAL";"TAB4",#N/A,TRUE,"GENERAL";"TAB5",#N/A,TRUE,"GENERAL"}</definedName>
    <definedName name="bgb" localSheetId="21">{"TAB1",#N/A,TRUE,"GENERAL";"TAB2",#N/A,TRUE,"GENERAL";"TAB3",#N/A,TRUE,"GENERAL";"TAB4",#N/A,TRUE,"GENERAL";"TAB5",#N/A,TRUE,"GENERAL"}</definedName>
    <definedName name="bgb" localSheetId="9">{"TAB1",#N/A,TRUE,"GENERAL";"TAB2",#N/A,TRUE,"GENERAL";"TAB3",#N/A,TRUE,"GENERAL";"TAB4",#N/A,TRUE,"GENERAL";"TAB5",#N/A,TRUE,"GENERAL"}</definedName>
    <definedName name="bgb" localSheetId="19">{"TAB1",#N/A,TRUE,"GENERAL";"TAB2",#N/A,TRUE,"GENERAL";"TAB3",#N/A,TRUE,"GENERAL";"TAB4",#N/A,TRUE,"GENERAL";"TAB5",#N/A,TRUE,"GENERAL"}</definedName>
    <definedName name="bgb" localSheetId="28">{"TAB1",#N/A,TRUE,"GENERAL";"TAB2",#N/A,TRUE,"GENERAL";"TAB3",#N/A,TRUE,"GENERAL";"TAB4",#N/A,TRUE,"GENERAL";"TAB5",#N/A,TRUE,"GENERAL"}</definedName>
    <definedName name="bgb" localSheetId="29">{"TAB1",#N/A,TRUE,"GENERAL";"TAB2",#N/A,TRUE,"GENERAL";"TAB3",#N/A,TRUE,"GENERAL";"TAB4",#N/A,TRUE,"GENERAL";"TAB5",#N/A,TRUE,"GENERAL"}</definedName>
    <definedName name="bgb">{"TAB1",#N/A,TRUE,"GENERAL";"TAB2",#N/A,TRUE,"GENERAL";"TAB3",#N/A,TRUE,"GENERAL";"TAB4",#N/A,TRUE,"GENERAL";"TAB5",#N/A,TRUE,"GENERAL"}</definedName>
    <definedName name="BGDGFRT" localSheetId="39">{"via1",#N/A,TRUE,"general";"via2",#N/A,TRUE,"general";"via3",#N/A,TRUE,"general"}</definedName>
    <definedName name="BGDGFRT" localSheetId="20">{"via1",#N/A,TRUE,"general";"via2",#N/A,TRUE,"general";"via3",#N/A,TRUE,"general"}</definedName>
    <definedName name="BGDGFRT" localSheetId="21">{"via1",#N/A,TRUE,"general";"via2",#N/A,TRUE,"general";"via3",#N/A,TRUE,"general"}</definedName>
    <definedName name="BGDGFRT" localSheetId="9">{"via1",#N/A,TRUE,"general";"via2",#N/A,TRUE,"general";"via3",#N/A,TRUE,"general"}</definedName>
    <definedName name="BGDGFRT" localSheetId="19">{"via1",#N/A,TRUE,"general";"via2",#N/A,TRUE,"general";"via3",#N/A,TRUE,"general"}</definedName>
    <definedName name="BGDGFRT" localSheetId="28">{"via1",#N/A,TRUE,"general";"via2",#N/A,TRUE,"general";"via3",#N/A,TRUE,"general"}</definedName>
    <definedName name="BGDGFRT" localSheetId="29">{"via1",#N/A,TRUE,"general";"via2",#N/A,TRUE,"general";"via3",#N/A,TRUE,"general"}</definedName>
    <definedName name="BGDGFRT">{"via1",#N/A,TRUE,"general";"via2",#N/A,TRUE,"general";"via3",#N/A,TRUE,"general"}</definedName>
    <definedName name="BGFBFH" localSheetId="39">{"via1",#N/A,TRUE,"general";"via2",#N/A,TRUE,"general";"via3",#N/A,TRUE,"general"}</definedName>
    <definedName name="BGFBFH" localSheetId="20">{"via1",#N/A,TRUE,"general";"via2",#N/A,TRUE,"general";"via3",#N/A,TRUE,"general"}</definedName>
    <definedName name="BGFBFH" localSheetId="21">{"via1",#N/A,TRUE,"general";"via2",#N/A,TRUE,"general";"via3",#N/A,TRUE,"general"}</definedName>
    <definedName name="BGFBFH" localSheetId="9">{"via1",#N/A,TRUE,"general";"via2",#N/A,TRUE,"general";"via3",#N/A,TRUE,"general"}</definedName>
    <definedName name="BGFBFH" localSheetId="19">{"via1",#N/A,TRUE,"general";"via2",#N/A,TRUE,"general";"via3",#N/A,TRUE,"general"}</definedName>
    <definedName name="BGFBFH" localSheetId="28">{"via1",#N/A,TRUE,"general";"via2",#N/A,TRUE,"general";"via3",#N/A,TRUE,"general"}</definedName>
    <definedName name="BGFBFH" localSheetId="29">{"via1",#N/A,TRUE,"general";"via2",#N/A,TRUE,"general";"via3",#N/A,TRUE,"general"}</definedName>
    <definedName name="BGFBFH">{"via1",#N/A,TRUE,"general";"via2",#N/A,TRUE,"general";"via3",#N/A,TRUE,"general"}</definedName>
    <definedName name="bgh">#REF!</definedName>
    <definedName name="bgvfcdx" localSheetId="39">{"via1",#N/A,TRUE,"general";"via2",#N/A,TRUE,"general";"via3",#N/A,TRUE,"general"}</definedName>
    <definedName name="bgvfcdx" localSheetId="20">{"via1",#N/A,TRUE,"general";"via2",#N/A,TRUE,"general";"via3",#N/A,TRUE,"general"}</definedName>
    <definedName name="bgvfcdx" localSheetId="21">{"via1",#N/A,TRUE,"general";"via2",#N/A,TRUE,"general";"via3",#N/A,TRUE,"general"}</definedName>
    <definedName name="bgvfcdx" localSheetId="9">{"via1",#N/A,TRUE,"general";"via2",#N/A,TRUE,"general";"via3",#N/A,TRUE,"general"}</definedName>
    <definedName name="bgvfcdx" localSheetId="19">{"via1",#N/A,TRUE,"general";"via2",#N/A,TRUE,"general";"via3",#N/A,TRUE,"general"}</definedName>
    <definedName name="bgvfcdx" localSheetId="28">{"via1",#N/A,TRUE,"general";"via2",#N/A,TRUE,"general";"via3",#N/A,TRUE,"general"}</definedName>
    <definedName name="bgvfcdx" localSheetId="29">{"via1",#N/A,TRUE,"general";"via2",#N/A,TRUE,"general";"via3",#N/A,TRUE,"general"}</definedName>
    <definedName name="bgvfcdx">{"via1",#N/A,TRUE,"general";"via2",#N/A,TRUE,"general";"via3",#N/A,TRUE,"general"}</definedName>
    <definedName name="Bh">#REF!</definedName>
    <definedName name="BHT">#REF!</definedName>
    <definedName name="Bi">#REF!</definedName>
    <definedName name="bid_expiration">#REF!</definedName>
    <definedName name="Bid_Received">#REF!</definedName>
    <definedName name="BID_SENT">#REF!</definedName>
    <definedName name="Bid1DOD">#REF!</definedName>
    <definedName name="Bid1Ext">#REF!</definedName>
    <definedName name="Bid1Qty">#REF!</definedName>
    <definedName name="Bid1TAC">#REF!</definedName>
    <definedName name="Bid1Unevalcost">#REF!</definedName>
    <definedName name="Bid1UNIT">#REF!</definedName>
    <definedName name="Bid2DOD">#REF!</definedName>
    <definedName name="Bid2Ext">#REF!</definedName>
    <definedName name="Bid2Qty">#REF!</definedName>
    <definedName name="Bid2TAC">#REF!</definedName>
    <definedName name="Bid2Unevalcost">#REF!</definedName>
    <definedName name="Bid2UNIT">#REF!</definedName>
    <definedName name="Bid3DOD">#REF!</definedName>
    <definedName name="Bid3Ext">#REF!</definedName>
    <definedName name="Bid3Qty">#REF!</definedName>
    <definedName name="Bid3TAC">#REF!</definedName>
    <definedName name="Bid3unevalcost">#REF!</definedName>
    <definedName name="Bid3Unit">#REF!</definedName>
    <definedName name="Bid4DOD">#REF!</definedName>
    <definedName name="Bid4Ext">#REF!</definedName>
    <definedName name="Bid4Qty">#REF!</definedName>
    <definedName name="Bid4TAC">#REF!</definedName>
    <definedName name="Bid4unevalcost">#REF!</definedName>
    <definedName name="Bid4Unit">#REF!</definedName>
    <definedName name="Bidlist">"List Box 6"</definedName>
    <definedName name="BidRange">#REF!</definedName>
    <definedName name="bimestre">'[80]ESTADO RED'!$E$8</definedName>
    <definedName name="BJHVVHGH">#N/A</definedName>
    <definedName name="Bk">#REF!</definedName>
    <definedName name="BL">'[74]CIRCUITOS CODENSA'!#REF!</definedName>
    <definedName name="BlockNo.4">#REF!</definedName>
    <definedName name="BLOQUE">'[81]BASE DE DATOS ORIG'!#REF!</definedName>
    <definedName name="Bloque_abusardado">'[33]LISTADO '!$F$25</definedName>
    <definedName name="BLOQUE_N_4">'[33]LISTADO '!$F$20</definedName>
    <definedName name="Bloque_N4">'[40]LISTADO '!$F$10</definedName>
    <definedName name="Bm">#REF!</definedName>
    <definedName name="BMBTU">[77]Parameters!$K$18</definedName>
    <definedName name="BMCoalPrice">#REF!</definedName>
    <definedName name="Bn">#REF!</definedName>
    <definedName name="bnm">#REF!</definedName>
    <definedName name="BO">'[74]CIRCUITOS CODENSA'!#REF!</definedName>
    <definedName name="bolívar">#REF!</definedName>
    <definedName name="BOMBAS">#N/A</definedName>
    <definedName name="BOMBASTABLA2.2">#REF!</definedName>
    <definedName name="BOMBEOALCANTARILLADOTABLA1.9">'[11]INFORMACIÓN REFERENCIA'!$B$415:$N$426</definedName>
    <definedName name="Bombillos">#REF!</definedName>
    <definedName name="bordillo">#REF!</definedName>
    <definedName name="BorraR">#REF!</definedName>
    <definedName name="Bp">[19]CALCULO!$E$66</definedName>
    <definedName name="BPSRate_Month">#REF!</definedName>
    <definedName name="br" localSheetId="39">{"TAB1",#N/A,TRUE,"GENERAL";"TAB2",#N/A,TRUE,"GENERAL";"TAB3",#N/A,TRUE,"GENERAL";"TAB4",#N/A,TRUE,"GENERAL";"TAB5",#N/A,TRUE,"GENERAL"}</definedName>
    <definedName name="br" localSheetId="20">{"TAB1",#N/A,TRUE,"GENERAL";"TAB2",#N/A,TRUE,"GENERAL";"TAB3",#N/A,TRUE,"GENERAL";"TAB4",#N/A,TRUE,"GENERAL";"TAB5",#N/A,TRUE,"GENERAL"}</definedName>
    <definedName name="br" localSheetId="21">{"TAB1",#N/A,TRUE,"GENERAL";"TAB2",#N/A,TRUE,"GENERAL";"TAB3",#N/A,TRUE,"GENERAL";"TAB4",#N/A,TRUE,"GENERAL";"TAB5",#N/A,TRUE,"GENERAL"}</definedName>
    <definedName name="br" localSheetId="9">{"TAB1",#N/A,TRUE,"GENERAL";"TAB2",#N/A,TRUE,"GENERAL";"TAB3",#N/A,TRUE,"GENERAL";"TAB4",#N/A,TRUE,"GENERAL";"TAB5",#N/A,TRUE,"GENERAL"}</definedName>
    <definedName name="br" localSheetId="19">{"TAB1",#N/A,TRUE,"GENERAL";"TAB2",#N/A,TRUE,"GENERAL";"TAB3",#N/A,TRUE,"GENERAL";"TAB4",#N/A,TRUE,"GENERAL";"TAB5",#N/A,TRUE,"GENERAL"}</definedName>
    <definedName name="br" localSheetId="28">{"TAB1",#N/A,TRUE,"GENERAL";"TAB2",#N/A,TRUE,"GENERAL";"TAB3",#N/A,TRUE,"GENERAL";"TAB4",#N/A,TRUE,"GENERAL";"TAB5",#N/A,TRUE,"GENERAL"}</definedName>
    <definedName name="br" localSheetId="29">{"TAB1",#N/A,TRUE,"GENERAL";"TAB2",#N/A,TRUE,"GENERAL";"TAB3",#N/A,TRUE,"GENERAL";"TAB4",#N/A,TRUE,"GENERAL";"TAB5",#N/A,TRUE,"GENERAL"}</definedName>
    <definedName name="br">{"TAB1",#N/A,TRUE,"GENERAL";"TAB2",#N/A,TRUE,"GENERAL";"TAB3",#N/A,TRUE,"GENERAL";"TAB4",#N/A,TRUE,"GENERAL";"TAB5",#N/A,TRUE,"GENERAL"}</definedName>
    <definedName name="Brea">#REF!</definedName>
    <definedName name="Breaker_20_amp">'[40]LISTADO '!$F$67</definedName>
    <definedName name="Breaker_Indus.Merlin_G.3x150A">'[57]L. MAT.'!#REF!</definedName>
    <definedName name="Brilladora">'[57]L. MAT.'!#REF!</definedName>
    <definedName name="BS_Data_Col" localSheetId="20" hidden="1">#REF!</definedName>
    <definedName name="BS_Data_Col" localSheetId="21" hidden="1">#REF!</definedName>
    <definedName name="BS_Data_Col" localSheetId="13" hidden="1">#REF!</definedName>
    <definedName name="BS_Data_Col" localSheetId="17" hidden="1">#REF!</definedName>
    <definedName name="BS_Data_Col" localSheetId="18" hidden="1">#REF!</definedName>
    <definedName name="BS_Data_Col" localSheetId="12" hidden="1">#REF!</definedName>
    <definedName name="BS_Data_Col" hidden="1">#REF!</definedName>
    <definedName name="bsb" localSheetId="39">{"via1",#N/A,TRUE,"general";"via2",#N/A,TRUE,"general";"via3",#N/A,TRUE,"general"}</definedName>
    <definedName name="bsb" localSheetId="20">{"via1",#N/A,TRUE,"general";"via2",#N/A,TRUE,"general";"via3",#N/A,TRUE,"general"}</definedName>
    <definedName name="bsb" localSheetId="21">{"via1",#N/A,TRUE,"general";"via2",#N/A,TRUE,"general";"via3",#N/A,TRUE,"general"}</definedName>
    <definedName name="bsb" localSheetId="9">{"via1",#N/A,TRUE,"general";"via2",#N/A,TRUE,"general";"via3",#N/A,TRUE,"general"}</definedName>
    <definedName name="bsb" localSheetId="19">{"via1",#N/A,TRUE,"general";"via2",#N/A,TRUE,"general";"via3",#N/A,TRUE,"general"}</definedName>
    <definedName name="bsb" localSheetId="28">{"via1",#N/A,TRUE,"general";"via2",#N/A,TRUE,"general";"via3",#N/A,TRUE,"general"}</definedName>
    <definedName name="bsb" localSheetId="29">{"via1",#N/A,TRUE,"general";"via2",#N/A,TRUE,"general";"via3",#N/A,TRUE,"general"}</definedName>
    <definedName name="bsb">{"via1",#N/A,TRUE,"general";"via2",#N/A,TRUE,"general";"via3",#N/A,TRUE,"general"}</definedName>
    <definedName name="BSpb" localSheetId="20" hidden="1">#REF!</definedName>
    <definedName name="BSpb" localSheetId="21" hidden="1">#REF!</definedName>
    <definedName name="BSpb" localSheetId="13" hidden="1">#REF!</definedName>
    <definedName name="BSpb" hidden="1">#REF!</definedName>
    <definedName name="bspoi" localSheetId="39">{"TAB1",#N/A,TRUE,"GENERAL";"TAB2",#N/A,TRUE,"GENERAL";"TAB3",#N/A,TRUE,"GENERAL";"TAB4",#N/A,TRUE,"GENERAL";"TAB5",#N/A,TRUE,"GENERAL"}</definedName>
    <definedName name="bspoi" localSheetId="20">{"TAB1",#N/A,TRUE,"GENERAL";"TAB2",#N/A,TRUE,"GENERAL";"TAB3",#N/A,TRUE,"GENERAL";"TAB4",#N/A,TRUE,"GENERAL";"TAB5",#N/A,TRUE,"GENERAL"}</definedName>
    <definedName name="bspoi" localSheetId="21">{"TAB1",#N/A,TRUE,"GENERAL";"TAB2",#N/A,TRUE,"GENERAL";"TAB3",#N/A,TRUE,"GENERAL";"TAB4",#N/A,TRUE,"GENERAL";"TAB5",#N/A,TRUE,"GENERAL"}</definedName>
    <definedName name="bspoi" localSheetId="9">{"TAB1",#N/A,TRUE,"GENERAL";"TAB2",#N/A,TRUE,"GENERAL";"TAB3",#N/A,TRUE,"GENERAL";"TAB4",#N/A,TRUE,"GENERAL";"TAB5",#N/A,TRUE,"GENERAL"}</definedName>
    <definedName name="bspoi" localSheetId="19">{"TAB1",#N/A,TRUE,"GENERAL";"TAB2",#N/A,TRUE,"GENERAL";"TAB3",#N/A,TRUE,"GENERAL";"TAB4",#N/A,TRUE,"GENERAL";"TAB5",#N/A,TRUE,"GENERAL"}</definedName>
    <definedName name="bspoi" localSheetId="28">{"TAB1",#N/A,TRUE,"GENERAL";"TAB2",#N/A,TRUE,"GENERAL";"TAB3",#N/A,TRUE,"GENERAL";"TAB4",#N/A,TRUE,"GENERAL";"TAB5",#N/A,TRUE,"GENERAL"}</definedName>
    <definedName name="bspoi" localSheetId="29">{"TAB1",#N/A,TRUE,"GENERAL";"TAB2",#N/A,TRUE,"GENERAL";"TAB3",#N/A,TRUE,"GENERAL";"TAB4",#N/A,TRUE,"GENERAL";"TAB5",#N/A,TRUE,"GENERAL"}</definedName>
    <definedName name="bspoi">{"TAB1",#N/A,TRUE,"GENERAL";"TAB2",#N/A,TRUE,"GENERAL";"TAB3",#N/A,TRUE,"GENERAL";"TAB4",#N/A,TRUE,"GENERAL";"TAB5",#N/A,TRUE,"GENERAL"}</definedName>
    <definedName name="bt" localSheetId="39">{"via1",#N/A,TRUE,"general";"via2",#N/A,TRUE,"general";"via3",#N/A,TRUE,"general"}</definedName>
    <definedName name="bt" localSheetId="20">{"via1",#N/A,TRUE,"general";"via2",#N/A,TRUE,"general";"via3",#N/A,TRUE,"general"}</definedName>
    <definedName name="bt" localSheetId="21">{"via1",#N/A,TRUE,"general";"via2",#N/A,TRUE,"general";"via3",#N/A,TRUE,"general"}</definedName>
    <definedName name="bt" localSheetId="9">{"via1",#N/A,TRUE,"general";"via2",#N/A,TRUE,"general";"via3",#N/A,TRUE,"general"}</definedName>
    <definedName name="bt" localSheetId="19">{"via1",#N/A,TRUE,"general";"via2",#N/A,TRUE,"general";"via3",#N/A,TRUE,"general"}</definedName>
    <definedName name="bt" localSheetId="28">{"via1",#N/A,TRUE,"general";"via2",#N/A,TRUE,"general";"via3",#N/A,TRUE,"general"}</definedName>
    <definedName name="bt" localSheetId="29">{"via1",#N/A,TRUE,"general";"via2",#N/A,TRUE,"general";"via3",#N/A,TRUE,"general"}</definedName>
    <definedName name="bt">{"via1",#N/A,TRUE,"general";"via2",#N/A,TRUE,"general";"via3",#N/A,TRUE,"general"}</definedName>
    <definedName name="BTYJHTR" localSheetId="39">{"TAB1",#N/A,TRUE,"GENERAL";"TAB2",#N/A,TRUE,"GENERAL";"TAB3",#N/A,TRUE,"GENERAL";"TAB4",#N/A,TRUE,"GENERAL";"TAB5",#N/A,TRUE,"GENERAL"}</definedName>
    <definedName name="BTYJHTR" localSheetId="20">{"TAB1",#N/A,TRUE,"GENERAL";"TAB2",#N/A,TRUE,"GENERAL";"TAB3",#N/A,TRUE,"GENERAL";"TAB4",#N/A,TRUE,"GENERAL";"TAB5",#N/A,TRUE,"GENERAL"}</definedName>
    <definedName name="BTYJHTR" localSheetId="21">{"TAB1",#N/A,TRUE,"GENERAL";"TAB2",#N/A,TRUE,"GENERAL";"TAB3",#N/A,TRUE,"GENERAL";"TAB4",#N/A,TRUE,"GENERAL";"TAB5",#N/A,TRUE,"GENERAL"}</definedName>
    <definedName name="BTYJHTR" localSheetId="9">{"TAB1",#N/A,TRUE,"GENERAL";"TAB2",#N/A,TRUE,"GENERAL";"TAB3",#N/A,TRUE,"GENERAL";"TAB4",#N/A,TRUE,"GENERAL";"TAB5",#N/A,TRUE,"GENERAL"}</definedName>
    <definedName name="BTYJHTR" localSheetId="19">{"TAB1",#N/A,TRUE,"GENERAL";"TAB2",#N/A,TRUE,"GENERAL";"TAB3",#N/A,TRUE,"GENERAL";"TAB4",#N/A,TRUE,"GENERAL";"TAB5",#N/A,TRUE,"GENERAL"}</definedName>
    <definedName name="BTYJHTR" localSheetId="28">{"TAB1",#N/A,TRUE,"GENERAL";"TAB2",#N/A,TRUE,"GENERAL";"TAB3",#N/A,TRUE,"GENERAL";"TAB4",#N/A,TRUE,"GENERAL";"TAB5",#N/A,TRUE,"GENERAL"}</definedName>
    <definedName name="BTYJHTR" localSheetId="29">{"TAB1",#N/A,TRUE,"GENERAL";"TAB2",#N/A,TRUE,"GENERAL";"TAB3",#N/A,TRUE,"GENERAL";"TAB4",#N/A,TRUE,"GENERAL";"TAB5",#N/A,TRUE,"GENERAL"}</definedName>
    <definedName name="BTYJHTR">{"TAB1",#N/A,TRUE,"GENERAL";"TAB2",#N/A,TRUE,"GENERAL";"TAB3",#N/A,TRUE,"GENERAL";"TAB4",#N/A,TRUE,"GENERAL";"TAB5",#N/A,TRUE,"GENERAL"}</definedName>
    <definedName name="BUDGET">#REF!</definedName>
    <definedName name="BUDGET_VALUE">#REF!</definedName>
    <definedName name="budgeted">#REF!</definedName>
    <definedName name="BUENO4006">#REF!</definedName>
    <definedName name="BUENO4006A">#REF!</definedName>
    <definedName name="BUENO40CN01">#REF!</definedName>
    <definedName name="BUENO40CNA">#REF!</definedName>
    <definedName name="BUENO40CNB">#REF!</definedName>
    <definedName name="BUENO55CN01">#REF!</definedName>
    <definedName name="BUENO55CN03">#REF!</definedName>
    <definedName name="BUENO5607">#REF!</definedName>
    <definedName name="BUENOAFIR5607">#REF!</definedName>
    <definedName name="BuiltIn_Print_Area" localSheetId="9">#REF!</definedName>
    <definedName name="BuiltIn_Print_Area" localSheetId="17">#REF!</definedName>
    <definedName name="BuiltIn_Print_Area" localSheetId="18">#REF!</definedName>
    <definedName name="BuiltIn_Print_Area" localSheetId="12">#REF!</definedName>
    <definedName name="BuiltIn_Print_Area">#REF!</definedName>
    <definedName name="BuiltIn_Print_Area___0" localSheetId="9">#REF!</definedName>
    <definedName name="BuiltIn_Print_Area___0" localSheetId="17">[82]Estruc.ICEL!#REF!</definedName>
    <definedName name="BuiltIn_Print_Area___0" localSheetId="18">[82]Estruc.ICEL!#REF!</definedName>
    <definedName name="BuiltIn_Print_Area___0" localSheetId="12">[82]Estruc.ICEL!#REF!</definedName>
    <definedName name="BuiltIn_Print_Area___0">#REF!</definedName>
    <definedName name="BuiltIn_Print_Area___0___0">#REF!</definedName>
    <definedName name="BuiltIn_Print_Area___0___0___0">#REF!</definedName>
    <definedName name="BuiltIn_Print_Titles" localSheetId="9">#REF!</definedName>
    <definedName name="BuiltIn_Print_Titles" localSheetId="17">[83]APU!#REF!</definedName>
    <definedName name="BuiltIn_Print_Titles" localSheetId="18">[83]APU!#REF!</definedName>
    <definedName name="BuiltIn_Print_Titles" localSheetId="12">[83]APU!#REF!</definedName>
    <definedName name="BuiltIn_Print_Titles">#REF!</definedName>
    <definedName name="BuiltIn_Print_Titles___0" localSheetId="28">[84]Estruc.ICEL!#REF!</definedName>
    <definedName name="BuiltIn_Print_Titles___0" localSheetId="29">[84]Estruc.ICEL!#REF!</definedName>
    <definedName name="BuiltIn_Print_Titles___0">[82]Estruc.ICEL!#REF!</definedName>
    <definedName name="bvbc" localSheetId="39">{"TAB1",#N/A,TRUE,"GENERAL";"TAB2",#N/A,TRUE,"GENERAL";"TAB3",#N/A,TRUE,"GENERAL";"TAB4",#N/A,TRUE,"GENERAL";"TAB5",#N/A,TRUE,"GENERAL"}</definedName>
    <definedName name="bvbc" localSheetId="20">{"TAB1",#N/A,TRUE,"GENERAL";"TAB2",#N/A,TRUE,"GENERAL";"TAB3",#N/A,TRUE,"GENERAL";"TAB4",#N/A,TRUE,"GENERAL";"TAB5",#N/A,TRUE,"GENERAL"}</definedName>
    <definedName name="bvbc" localSheetId="21">{"TAB1",#N/A,TRUE,"GENERAL";"TAB2",#N/A,TRUE,"GENERAL";"TAB3",#N/A,TRUE,"GENERAL";"TAB4",#N/A,TRUE,"GENERAL";"TAB5",#N/A,TRUE,"GENERAL"}</definedName>
    <definedName name="bvbc" localSheetId="9">{"TAB1",#N/A,TRUE,"GENERAL";"TAB2",#N/A,TRUE,"GENERAL";"TAB3",#N/A,TRUE,"GENERAL";"TAB4",#N/A,TRUE,"GENERAL";"TAB5",#N/A,TRUE,"GENERAL"}</definedName>
    <definedName name="bvbc" localSheetId="19">{"TAB1",#N/A,TRUE,"GENERAL";"TAB2",#N/A,TRUE,"GENERAL";"TAB3",#N/A,TRUE,"GENERAL";"TAB4",#N/A,TRUE,"GENERAL";"TAB5",#N/A,TRUE,"GENERAL"}</definedName>
    <definedName name="bvbc" localSheetId="28">{"TAB1",#N/A,TRUE,"GENERAL";"TAB2",#N/A,TRUE,"GENERAL";"TAB3",#N/A,TRUE,"GENERAL";"TAB4",#N/A,TRUE,"GENERAL";"TAB5",#N/A,TRUE,"GENERAL"}</definedName>
    <definedName name="bvbc" localSheetId="29">{"TAB1",#N/A,TRUE,"GENERAL";"TAB2",#N/A,TRUE,"GENERAL";"TAB3",#N/A,TRUE,"GENERAL";"TAB4",#N/A,TRUE,"GENERAL";"TAB5",#N/A,TRUE,"GENERAL"}</definedName>
    <definedName name="bvbc">{"TAB1",#N/A,TRUE,"GENERAL";"TAB2",#N/A,TRUE,"GENERAL";"TAB3",#N/A,TRUE,"GENERAL";"TAB4",#N/A,TRUE,"GENERAL";"TAB5",#N/A,TRUE,"GENERAL"}</definedName>
    <definedName name="bvcb" localSheetId="39">{"via1",#N/A,TRUE,"general";"via2",#N/A,TRUE,"general";"via3",#N/A,TRUE,"general"}</definedName>
    <definedName name="bvcb" localSheetId="20">{"via1",#N/A,TRUE,"general";"via2",#N/A,TRUE,"general";"via3",#N/A,TRUE,"general"}</definedName>
    <definedName name="bvcb" localSheetId="21">{"via1",#N/A,TRUE,"general";"via2",#N/A,TRUE,"general";"via3",#N/A,TRUE,"general"}</definedName>
    <definedName name="bvcb" localSheetId="9">{"via1",#N/A,TRUE,"general";"via2",#N/A,TRUE,"general";"via3",#N/A,TRUE,"general"}</definedName>
    <definedName name="bvcb" localSheetId="19">{"via1",#N/A,TRUE,"general";"via2",#N/A,TRUE,"general";"via3",#N/A,TRUE,"general"}</definedName>
    <definedName name="bvcb" localSheetId="28">{"via1",#N/A,TRUE,"general";"via2",#N/A,TRUE,"general";"via3",#N/A,TRUE,"general"}</definedName>
    <definedName name="bvcb" localSheetId="29">{"via1",#N/A,TRUE,"general";"via2",#N/A,TRUE,"general";"via3",#N/A,TRUE,"general"}</definedName>
    <definedName name="bvcb">{"via1",#N/A,TRUE,"general";"via2",#N/A,TRUE,"general";"via3",#N/A,TRUE,"general"}</definedName>
    <definedName name="bvn" localSheetId="39">{"via1",#N/A,TRUE,"general";"via2",#N/A,TRUE,"general";"via3",#N/A,TRUE,"general"}</definedName>
    <definedName name="bvn" localSheetId="20">{"via1",#N/A,TRUE,"general";"via2",#N/A,TRUE,"general";"via3",#N/A,TRUE,"general"}</definedName>
    <definedName name="bvn" localSheetId="21">{"via1",#N/A,TRUE,"general";"via2",#N/A,TRUE,"general";"via3",#N/A,TRUE,"general"}</definedName>
    <definedName name="bvn" localSheetId="9">{"via1",#N/A,TRUE,"general";"via2",#N/A,TRUE,"general";"via3",#N/A,TRUE,"general"}</definedName>
    <definedName name="bvn" localSheetId="19">{"via1",#N/A,TRUE,"general";"via2",#N/A,TRUE,"general";"via3",#N/A,TRUE,"general"}</definedName>
    <definedName name="bvn" localSheetId="28">{"via1",#N/A,TRUE,"general";"via2",#N/A,TRUE,"general";"via3",#N/A,TRUE,"general"}</definedName>
    <definedName name="bvn" localSheetId="29">{"via1",#N/A,TRUE,"general";"via2",#N/A,TRUE,"general";"via3",#N/A,TRUE,"general"}</definedName>
    <definedName name="bvn">{"via1",#N/A,TRUE,"general";"via2",#N/A,TRUE,"general";"via3",#N/A,TRUE,"general"}</definedName>
    <definedName name="bw">#REF!</definedName>
    <definedName name="by" localSheetId="39">{"via1",#N/A,TRUE,"general";"via2",#N/A,TRUE,"general";"via3",#N/A,TRUE,"general"}</definedName>
    <definedName name="by" localSheetId="20">{"via1",#N/A,TRUE,"general";"via2",#N/A,TRUE,"general";"via3",#N/A,TRUE,"general"}</definedName>
    <definedName name="by" localSheetId="21">{"via1",#N/A,TRUE,"general";"via2",#N/A,TRUE,"general";"via3",#N/A,TRUE,"general"}</definedName>
    <definedName name="by" localSheetId="9">{"via1",#N/A,TRUE,"general";"via2",#N/A,TRUE,"general";"via3",#N/A,TRUE,"general"}</definedName>
    <definedName name="by" localSheetId="19">{"via1",#N/A,TRUE,"general";"via2",#N/A,TRUE,"general";"via3",#N/A,TRUE,"general"}</definedName>
    <definedName name="by" localSheetId="28">{"via1",#N/A,TRUE,"general";"via2",#N/A,TRUE,"general";"via3",#N/A,TRUE,"general"}</definedName>
    <definedName name="by" localSheetId="29">{"via1",#N/A,TRUE,"general";"via2",#N/A,TRUE,"general";"via3",#N/A,TRUE,"general"}</definedName>
    <definedName name="by">{"via1",#N/A,TRUE,"general";"via2",#N/A,TRUE,"general";"via3",#N/A,TRUE,"general"}</definedName>
    <definedName name="BytMesInicioInctoMmto">#REF!</definedName>
    <definedName name="C.1">#REF!</definedName>
    <definedName name="C.10">#REF!</definedName>
    <definedName name="C.11">#REF!</definedName>
    <definedName name="C.2">#REF!</definedName>
    <definedName name="C.3">#REF!</definedName>
    <definedName name="C.4">#REF!</definedName>
    <definedName name="C.5">#REF!</definedName>
    <definedName name="C.6">#REF!</definedName>
    <definedName name="C.7">#REF!</definedName>
    <definedName name="C.8">#REF!</definedName>
    <definedName name="C.9">#REF!</definedName>
    <definedName name="C_" localSheetId="9">#REF!</definedName>
    <definedName name="C_" localSheetId="17">#REF!</definedName>
    <definedName name="C_" localSheetId="18">#REF!</definedName>
    <definedName name="C_" localSheetId="12">#REF!</definedName>
    <definedName name="C_">#REF!</definedName>
    <definedName name="C_Apus" comment="Codigo Apus" localSheetId="28">'[85]1_Preliminares'!$A$21</definedName>
    <definedName name="C_Apus" comment="Codigo Apus" localSheetId="29">'[85]1_Preliminares'!$A$21</definedName>
    <definedName name="C_Apus" comment="Codigo Apus">'[86]1_Preliminares'!$A$21</definedName>
    <definedName name="c_ESTRUCTURA">#REF!</definedName>
    <definedName name="C_min">[24]D_AWG!$H$40</definedName>
    <definedName name="Ca">#REF!</definedName>
    <definedName name="CAAE3">#REF!</definedName>
    <definedName name="CAAE4">#REF!</definedName>
    <definedName name="CAB" localSheetId="17">#N/A</definedName>
    <definedName name="CAB" localSheetId="18">#N/A</definedName>
    <definedName name="CAB" localSheetId="12">#N/A</definedName>
    <definedName name="CAB">[87]Cab!$E$4:$X$28</definedName>
    <definedName name="CABALLETE">#REF!</definedName>
    <definedName name="Cable_cobre_N_2_thwn">'[40]LISTADO '!$F$57</definedName>
    <definedName name="Cable_cobre_N_6">'[40]LISTADO '!$F$59</definedName>
    <definedName name="Cable_N_2_desnudo">'[40]LISTADO '!$F$41</definedName>
    <definedName name="Cable_n_8">'[40]LISTADO '!$F$109</definedName>
    <definedName name="CADENERO">[34]PRECIOS!$B$14</definedName>
    <definedName name="CAJA">#REF!</definedName>
    <definedName name="CajaMetalica">#REF!</definedName>
    <definedName name="Cajas_2_4">'[40]LISTADO '!$F$79</definedName>
    <definedName name="Cajas_octogonales">'[40]LISTADO '!$F$78</definedName>
    <definedName name="Calado">#REF!</definedName>
    <definedName name="CALCULO" localSheetId="39">#REF!</definedName>
    <definedName name="CALCULO" localSheetId="20">#REF!</definedName>
    <definedName name="CALCULO" localSheetId="21">#REF!</definedName>
    <definedName name="CALCULO" localSheetId="9">#REF!</definedName>
    <definedName name="CALCULO" localSheetId="19">#REF!</definedName>
    <definedName name="CALCULO" localSheetId="17">'[11]CALCULO POI'!#REF!</definedName>
    <definedName name="CALCULO" localSheetId="18">'[11]CALCULO POI'!#REF!</definedName>
    <definedName name="CALCULO" localSheetId="12">'[11]CALCULO POI'!#REF!</definedName>
    <definedName name="CALCULO">#REF!</definedName>
    <definedName name="calculopozo1">'[11]CALCULO POI'!#REF!</definedName>
    <definedName name="CALCULOPOZOS">'[11]CALCULO POI'!#REF!</definedName>
    <definedName name="calculopozos1">'[11]CALCULO POI'!$B$120:$C$154</definedName>
    <definedName name="CALCULOS">'[11]CALCULO POI'!$B$118:$CV$154</definedName>
    <definedName name="CALCULOSALCANTARILLADO">'[11]CALCULO POI'!$B$324:$BP$360</definedName>
    <definedName name="CALDAS" localSheetId="10">#REF!</definedName>
    <definedName name="CALDAS" localSheetId="20">#REF!</definedName>
    <definedName name="CALDAS" localSheetId="21">#REF!</definedName>
    <definedName name="CALDAS" localSheetId="17">#REF!</definedName>
    <definedName name="CALDAS" localSheetId="18">#REF!</definedName>
    <definedName name="CALDAS" localSheetId="12">#REF!</definedName>
    <definedName name="CALDAS">#REF!</definedName>
    <definedName name="CALE">'[88]Datos del 2005 CONTRATO'!#REF!</definedName>
    <definedName name="CALEND">'[88]Datos del 2005 CONTRATO'!#REF!</definedName>
    <definedName name="CALENDA">'[88]Datos del 2005 CONTRATO'!#REF!</definedName>
    <definedName name="Calendar">'[88]Datos del 2005 CONTRATO'!#REF!</definedName>
    <definedName name="CALENDARIO">'[88]Datos del 2005 CONTRATO'!#REF!</definedName>
    <definedName name="Caliche">#REF!</definedName>
    <definedName name="Calidad" localSheetId="9">'ENSAYOS DE LABORATORIO'!#REF!</definedName>
    <definedName name="Calidad">#REF!</definedName>
    <definedName name="CalMexTlDetail">#REF!</definedName>
    <definedName name="CalMexTlHeading">#REF!</definedName>
    <definedName name="CalP">'[11]CALCULO POI'!#REF!</definedName>
    <definedName name="CalSumDetail">#REF!</definedName>
    <definedName name="CalSumHeading">#REF!</definedName>
    <definedName name="CalTotalDetail">#REF!</definedName>
    <definedName name="CalTotalHeading">#REF!</definedName>
    <definedName name="cambio">'[89]PSM05-055'!$C$289</definedName>
    <definedName name="Campamento" localSheetId="9">'ENSAYOS DE LABORATORIO'!#REF!</definedName>
    <definedName name="Campamento">#REF!</definedName>
    <definedName name="CanalEternit">#REF!</definedName>
    <definedName name="CanonesMedida">#REF!</definedName>
    <definedName name="CanonFcro">#REF!</definedName>
    <definedName name="CanonImpuestos">#REF!</definedName>
    <definedName name="CanonMedidaEspecial">#REF!</definedName>
    <definedName name="CanonMmto">#REF!</definedName>
    <definedName name="CanonSeguro">#REF!</definedName>
    <definedName name="CanonSoat">#REF!</definedName>
    <definedName name="CanonTotal">#REF!</definedName>
    <definedName name="CanonTramites">#REF!</definedName>
    <definedName name="CANT" localSheetId="39">#REF!</definedName>
    <definedName name="CANT" localSheetId="20">#REF!</definedName>
    <definedName name="CANT" localSheetId="21">#REF!</definedName>
    <definedName name="CANT" localSheetId="9">#REF!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NTIDADESDEOBRA">'[11]CALCULO POI'!$B$161:$R$196</definedName>
    <definedName name="CAOLIN">#REF!</definedName>
    <definedName name="cap" localSheetId="13">#REF!</definedName>
    <definedName name="cap" localSheetId="17">#REF!</definedName>
    <definedName name="cap" localSheetId="18">#REF!</definedName>
    <definedName name="cap" localSheetId="28">'[43]Capacitación Técnica'!$H$28</definedName>
    <definedName name="cap" localSheetId="29">'[43]Capacitación Técnica'!$H$28</definedName>
    <definedName name="cap" localSheetId="12">#REF!</definedName>
    <definedName name="cap">'[44]Capacitación Técnica'!$H$28</definedName>
    <definedName name="Capacete_2">'[40]LISTADO '!$F$80</definedName>
    <definedName name="CAPATAZ_I">"TABLA1"</definedName>
    <definedName name="Capex">#REF!</definedName>
    <definedName name="CapexFac">[77]Sensitivities!$I$13</definedName>
    <definedName name="CapitalCongelado">#REF!</definedName>
    <definedName name="Capitalpb" localSheetId="20" hidden="1">#REF!</definedName>
    <definedName name="Capitalpb" localSheetId="21" hidden="1">#REF!</definedName>
    <definedName name="Capitalpb" localSheetId="13" hidden="1">#REF!</definedName>
    <definedName name="Capitalpb" hidden="1">#REF!</definedName>
    <definedName name="CapitalStructure" localSheetId="20" hidden="1">#REF!</definedName>
    <definedName name="CapitalStructure" localSheetId="21" hidden="1">#REF!</definedName>
    <definedName name="CapitalStructure" localSheetId="13" hidden="1">#REF!</definedName>
    <definedName name="CapitalStructure" hidden="1">#REF!</definedName>
    <definedName name="CAPITULO1">#REF!</definedName>
    <definedName name="CAPITULO10">#REF!</definedName>
    <definedName name="CAPITULO11">#REF!</definedName>
    <definedName name="CAPITULO12">#REF!</definedName>
    <definedName name="CAPITULO13">#REF!</definedName>
    <definedName name="CAPITULO14">#REF!</definedName>
    <definedName name="CAPITULO15">#REF!</definedName>
    <definedName name="CAPITULO16">#REF!</definedName>
    <definedName name="CAPITULO17">#REF!</definedName>
    <definedName name="CAPITULO18">#REF!</definedName>
    <definedName name="CAPITULO19">#REF!</definedName>
    <definedName name="CAPITULO2">#REF!</definedName>
    <definedName name="CAPITULO20">#REF!</definedName>
    <definedName name="CAPITULO21">#REF!</definedName>
    <definedName name="CAPITULO3">#REF!</definedName>
    <definedName name="CAPITULO4">#REF!</definedName>
    <definedName name="CAPITULO5">#REF!</definedName>
    <definedName name="CAPITULO6">#REF!</definedName>
    <definedName name="CAPITULO7">#REF!</definedName>
    <definedName name="CAPITULO8">#REF!</definedName>
    <definedName name="CAPITULO9">#REF!</definedName>
    <definedName name="CapTarget">#REF!</definedName>
    <definedName name="CapTotalCol">#REF!</definedName>
    <definedName name="CAQUETÁ" localSheetId="20">'CRONOGRAMA Y FLUJO (OXI)'!#REF!</definedName>
    <definedName name="CAQUETÁ" localSheetId="21">'CRONOGRAMA Y FLUJO .'!#REF!</definedName>
    <definedName name="CAQUETÁ" localSheetId="17">[69]PRESUPUESTO!#REF!</definedName>
    <definedName name="CAQUETÁ" localSheetId="18">[69]PRESUPUESTO!#REF!</definedName>
    <definedName name="CAQUETÁ" localSheetId="28">[70]PRESUPUESTO!#REF!</definedName>
    <definedName name="CAQUETÁ" localSheetId="29">[70]PRESUPUESTO!#REF!</definedName>
    <definedName name="CAQUETÁ" localSheetId="12">[69]PRESUPUESTO!#REF!</definedName>
    <definedName name="CAQUETÁ">[68]PRESUPUESTO!#REF!</definedName>
    <definedName name="CARBON">'[81]BASE DE DATOS ORIG'!#REF!</definedName>
    <definedName name="CarbonDetail">#REF!</definedName>
    <definedName name="CarbonFundsFlow">#REF!</definedName>
    <definedName name="CarbonFundsFlowHeading">#REF!</definedName>
    <definedName name="CarbonFundsFlowPA">#REF!</definedName>
    <definedName name="CarbonFundsFlowPAHeading">#REF!</definedName>
    <definedName name="CarbonHeading">#REF!</definedName>
    <definedName name="CarbonPostDetail">#REF!</definedName>
    <definedName name="CarbonPostHeading">#REF!</definedName>
    <definedName name="CarElimDetail">#REF!</definedName>
    <definedName name="CarElimHeading">#REF!</definedName>
    <definedName name="CARGA">#N/A</definedName>
    <definedName name="CARGO">#REF!</definedName>
    <definedName name="CARLOS">#N/A</definedName>
    <definedName name="CAROL">'[90]precios-básicos2002'!$C$12:$C$56</definedName>
    <definedName name="carol1">'[48]precios-básicos2002'!$C$12:$C$56</definedName>
    <definedName name="CARRETERAS">[90]DATOS!$A$9</definedName>
    <definedName name="CarSumDetail">#REF!</definedName>
    <definedName name="CarSumHeading">#REF!</definedName>
    <definedName name="Cashpb" localSheetId="20" hidden="1">#REF!</definedName>
    <definedName name="Cashpb" localSheetId="21" hidden="1">#REF!</definedName>
    <definedName name="Cashpb" localSheetId="13" hidden="1">#REF!</definedName>
    <definedName name="Cashpb" hidden="1">#REF!</definedName>
    <definedName name="cat">[91]Parameters!$I$31</definedName>
    <definedName name="Cat1Life">[92]Parameters!$I$31</definedName>
    <definedName name="Cat1Rate">[92]Parameters!$J$31</definedName>
    <definedName name="Cat1Salvage">[77]Deprec!$H$58</definedName>
    <definedName name="Cat2Life">[93]Index!$T$66</definedName>
    <definedName name="Cat2Rate">[93]Index!$U$66</definedName>
    <definedName name="Cat2Salvage">#REF!</definedName>
    <definedName name="Cat3Life">[92]Parameters!$I$33</definedName>
    <definedName name="Cat3Rate">[92]Parameters!$J$33</definedName>
    <definedName name="Cat3Salvage">[77]Deprec!$H$132</definedName>
    <definedName name="Cat4Life">[92]Parameters!$I$34</definedName>
    <definedName name="Cat4Rate">[92]Parameters!$J$34</definedName>
    <definedName name="Cat4Salvage">[77]Deprec!$H$132</definedName>
    <definedName name="categoria" localSheetId="17">#REF!</definedName>
    <definedName name="categoria" localSheetId="18">#REF!</definedName>
    <definedName name="categoria" localSheetId="28">[94]Hoja4!$E$3:$H$3</definedName>
    <definedName name="categoria" localSheetId="29">[94]Hoja4!$E$3:$H$3</definedName>
    <definedName name="categoria" localSheetId="12">#REF!</definedName>
    <definedName name="categoria">[95]Hoja4!$E$3:$H$3</definedName>
    <definedName name="cau">#REF!</definedName>
    <definedName name="CAUCHO_PARA_SILLA_Y_160x110">[31]Materiales!#REF!</definedName>
    <definedName name="CAUCHO_PARA_SILLA_Y_200x110">[31]Materiales!#REF!</definedName>
    <definedName name="CAUCHO_PARA_SILLA_Y_250x110">[31]Materiales!#REF!</definedName>
    <definedName name="CAUCHO_PARA_SILLA_Y_250x160">[31]Materiales!#REF!</definedName>
    <definedName name="CAUCHO_PARA_SILLA_Y_315x110">[31]Materiales!#REF!</definedName>
    <definedName name="causa">#REF!</definedName>
    <definedName name="CB">#REF!</definedName>
    <definedName name="cc" localSheetId="9">[96]PERSONAL!$D$8</definedName>
    <definedName name="cc">[97]PERSONAL!$D$8</definedName>
    <definedName name="cccc">#REF!</definedName>
    <definedName name="ccccc" localSheetId="39">{"TAB1",#N/A,TRUE,"GENERAL";"TAB2",#N/A,TRUE,"GENERAL";"TAB3",#N/A,TRUE,"GENERAL";"TAB4",#N/A,TRUE,"GENERAL";"TAB5",#N/A,TRUE,"GENERAL"}</definedName>
    <definedName name="ccccc" localSheetId="20">{"TAB1",#N/A,TRUE,"GENERAL";"TAB2",#N/A,TRUE,"GENERAL";"TAB3",#N/A,TRUE,"GENERAL";"TAB4",#N/A,TRUE,"GENERAL";"TAB5",#N/A,TRUE,"GENERAL"}</definedName>
    <definedName name="ccccc" localSheetId="21">{"TAB1",#N/A,TRUE,"GENERAL";"TAB2",#N/A,TRUE,"GENERAL";"TAB3",#N/A,TRUE,"GENERAL";"TAB4",#N/A,TRUE,"GENERAL";"TAB5",#N/A,TRUE,"GENERAL"}</definedName>
    <definedName name="ccccc" localSheetId="9">{"TAB1",#N/A,TRUE,"GENERAL";"TAB2",#N/A,TRUE,"GENERAL";"TAB3",#N/A,TRUE,"GENERAL";"TAB4",#N/A,TRUE,"GENERAL";"TAB5",#N/A,TRUE,"GENERAL"}</definedName>
    <definedName name="ccccc" localSheetId="19">{"TAB1",#N/A,TRUE,"GENERAL";"TAB2",#N/A,TRUE,"GENERAL";"TAB3",#N/A,TRUE,"GENERAL";"TAB4",#N/A,TRUE,"GENERAL";"TAB5",#N/A,TRUE,"GENERAL"}</definedName>
    <definedName name="ccccc" localSheetId="17">#REF!</definedName>
    <definedName name="ccccc" localSheetId="18">#REF!</definedName>
    <definedName name="ccccc" localSheetId="28">{"TAB1",#N/A,TRUE,"GENERAL";"TAB2",#N/A,TRUE,"GENERAL";"TAB3",#N/A,TRUE,"GENERAL";"TAB4",#N/A,TRUE,"GENERAL";"TAB5",#N/A,TRUE,"GENERAL"}</definedName>
    <definedName name="ccccc" localSheetId="29">{"TAB1",#N/A,TRUE,"GENERAL";"TAB2",#N/A,TRUE,"GENERAL";"TAB3",#N/A,TRUE,"GENERAL";"TAB4",#N/A,TRUE,"GENERAL";"TAB5",#N/A,TRUE,"GENERAL"}</definedName>
    <definedName name="ccccc" localSheetId="12">#REF!</definedName>
    <definedName name="ccccc">{"TAB1",#N/A,TRUE,"GENERAL";"TAB2",#N/A,TRUE,"GENERAL";"TAB3",#N/A,TRUE,"GENERAL";"TAB4",#N/A,TRUE,"GENERAL";"TAB5",#N/A,TRUE,"GENERAL"}</definedName>
    <definedName name="CCCCCC">'[98]A. P. U.'!#REF!</definedName>
    <definedName name="CContLab">#REF!</definedName>
    <definedName name="CContParts">#REF!</definedName>
    <definedName name="ccto210">#REF!</definedName>
    <definedName name="CD" localSheetId="9">#REF!</definedName>
    <definedName name="Cd" localSheetId="17">#REF!</definedName>
    <definedName name="Cd" localSheetId="18">#REF!</definedName>
    <definedName name="Cd" localSheetId="12">#REF!</definedName>
    <definedName name="CD">#REF!</definedName>
    <definedName name="CD_Aseo_ON">#REF!</definedName>
    <definedName name="CD_Caja_Med.Gas">#REF!</definedName>
    <definedName name="CD_Esmalte">#REF!</definedName>
    <definedName name="CD_Marmolina">#REF!</definedName>
    <definedName name="CD_Resanes">#REF!</definedName>
    <definedName name="CD_Retiro_Esc.">#REF!</definedName>
    <definedName name="CD_Silcoplast">#REF!</definedName>
    <definedName name="CD_Tierra_Negra">#REF!</definedName>
    <definedName name="CD_Vinilo">#REF!</definedName>
    <definedName name="CdadCalidad" localSheetId="9">'ENSAYOS DE LABORATORIO'!#REF!</definedName>
    <definedName name="CdadCalidad">#REF!</definedName>
    <definedName name="CdadCalidades" localSheetId="9">'ENSAYOS DE LABORATORIO'!#REF!</definedName>
    <definedName name="CdadCalidades">#REF!</definedName>
    <definedName name="CdadNoFactura" localSheetId="9">'ENSAYOS DE LABORATORIO'!#REF!</definedName>
    <definedName name="CdadNoFactura">#REF!</definedName>
    <definedName name="CdadNoFacturables" localSheetId="9">'ENSAYOS DE LABORATORIO'!#REF!</definedName>
    <definedName name="CdadNoFacturables">#REF!</definedName>
    <definedName name="CdadProfesional" localSheetId="9">'ENSAYOS DE LABORATORIO'!#REF!</definedName>
    <definedName name="CdadProfesional">#REF!</definedName>
    <definedName name="CdadProfesionales" localSheetId="9">'ENSAYOS DE LABORATORIO'!#REF!</definedName>
    <definedName name="CdadProfesionales">#REF!</definedName>
    <definedName name="CdadTecnico" localSheetId="9">'ENSAYOS DE LABORATORIO'!#REF!</definedName>
    <definedName name="CdadTecnico">#REF!</definedName>
    <definedName name="CdadTecnicos" localSheetId="9">'ENSAYOS DE LABORATORIO'!#REF!</definedName>
    <definedName name="CdadTecnicos">#REF!</definedName>
    <definedName name="cdcdc" localSheetId="39">{"via1",#N/A,TRUE,"general";"via2",#N/A,TRUE,"general";"via3",#N/A,TRUE,"general"}</definedName>
    <definedName name="cdcdc" localSheetId="20">{"via1",#N/A,TRUE,"general";"via2",#N/A,TRUE,"general";"via3",#N/A,TRUE,"general"}</definedName>
    <definedName name="cdcdc" localSheetId="21">{"via1",#N/A,TRUE,"general";"via2",#N/A,TRUE,"general";"via3",#N/A,TRUE,"general"}</definedName>
    <definedName name="cdcdc" localSheetId="9">{"via1",#N/A,TRUE,"general";"via2",#N/A,TRUE,"general";"via3",#N/A,TRUE,"general"}</definedName>
    <definedName name="cdcdc" localSheetId="19">{"via1",#N/A,TRUE,"general";"via2",#N/A,TRUE,"general";"via3",#N/A,TRUE,"general"}</definedName>
    <definedName name="cdcdc" localSheetId="28">{"via1",#N/A,TRUE,"general";"via2",#N/A,TRUE,"general";"via3",#N/A,TRUE,"general"}</definedName>
    <definedName name="cdcdc" localSheetId="29">{"via1",#N/A,TRUE,"general";"via2",#N/A,TRUE,"general";"via3",#N/A,TRUE,"general"}</definedName>
    <definedName name="cdcdc">{"via1",#N/A,TRUE,"general";"via2",#N/A,TRUE,"general";"via3",#N/A,TRUE,"general"}</definedName>
    <definedName name="CDctrl" localSheetId="17">[58]CDItem!$G$8</definedName>
    <definedName name="CDctrl" localSheetId="18">[58]CDItem!$G$8</definedName>
    <definedName name="CDctrl" localSheetId="12">[58]CDItem!$G$8</definedName>
    <definedName name="CDctrl">[59]CDItem!$G$8</definedName>
    <definedName name="CDEYHH" localSheetId="39">#REF!</definedName>
    <definedName name="CDEYHH" localSheetId="20">#REF!</definedName>
    <definedName name="CDEYHH" localSheetId="21">#REF!</definedName>
    <definedName name="CDEYHH" localSheetId="9">#REF!</definedName>
    <definedName name="CDEYHH" localSheetId="19">#REF!</definedName>
    <definedName name="CDEYHH">#REF!</definedName>
    <definedName name="CDS_V_INDICES_CIRCUITO_CAUSA">#REF!</definedName>
    <definedName name="Ce">#REF!</definedName>
    <definedName name="CEBLANCO">#REF!</definedName>
    <definedName name="ceerf" localSheetId="39">{"TAB1",#N/A,TRUE,"GENERAL";"TAB2",#N/A,TRUE,"GENERAL";"TAB3",#N/A,TRUE,"GENERAL";"TAB4",#N/A,TRUE,"GENERAL";"TAB5",#N/A,TRUE,"GENERAL"}</definedName>
    <definedName name="ceerf" localSheetId="20">{"TAB1",#N/A,TRUE,"GENERAL";"TAB2",#N/A,TRUE,"GENERAL";"TAB3",#N/A,TRUE,"GENERAL";"TAB4",#N/A,TRUE,"GENERAL";"TAB5",#N/A,TRUE,"GENERAL"}</definedName>
    <definedName name="ceerf" localSheetId="21">{"TAB1",#N/A,TRUE,"GENERAL";"TAB2",#N/A,TRUE,"GENERAL";"TAB3",#N/A,TRUE,"GENERAL";"TAB4",#N/A,TRUE,"GENERAL";"TAB5",#N/A,TRUE,"GENERAL"}</definedName>
    <definedName name="ceerf" localSheetId="9">{"TAB1",#N/A,TRUE,"GENERAL";"TAB2",#N/A,TRUE,"GENERAL";"TAB3",#N/A,TRUE,"GENERAL";"TAB4",#N/A,TRUE,"GENERAL";"TAB5",#N/A,TRUE,"GENERAL"}</definedName>
    <definedName name="ceerf" localSheetId="19">{"TAB1",#N/A,TRUE,"GENERAL";"TAB2",#N/A,TRUE,"GENERAL";"TAB3",#N/A,TRUE,"GENERAL";"TAB4",#N/A,TRUE,"GENERAL";"TAB5",#N/A,TRUE,"GENERAL"}</definedName>
    <definedName name="ceerf" localSheetId="28">{"TAB1",#N/A,TRUE,"GENERAL";"TAB2",#N/A,TRUE,"GENERAL";"TAB3",#N/A,TRUE,"GENERAL";"TAB4",#N/A,TRUE,"GENERAL";"TAB5",#N/A,TRUE,"GENERAL"}</definedName>
    <definedName name="ceerf" localSheetId="29">{"TAB1",#N/A,TRUE,"GENERAL";"TAB2",#N/A,TRUE,"GENERAL";"TAB3",#N/A,TRUE,"GENERAL";"TAB4",#N/A,TRUE,"GENERAL";"TAB5",#N/A,TRUE,"GENERAL"}</definedName>
    <definedName name="ceerf">{"TAB1",#N/A,TRUE,"GENERAL";"TAB2",#N/A,TRUE,"GENERAL";"TAB3",#N/A,TRUE,"GENERAL";"TAB4",#N/A,TRUE,"GENERAL";"TAB5",#N/A,TRUE,"GENERAL"}</definedName>
    <definedName name="CEMENTO">[52]Materiales!$F$27</definedName>
    <definedName name="Cemento_gris_Portland_tipo_I">'[99]lista de precio'!$B$11</definedName>
    <definedName name="CementoBlanco">#REF!</definedName>
    <definedName name="CementoGris">#REF!</definedName>
    <definedName name="centr">[38]Listado!$D$18:$D$23</definedName>
    <definedName name="centro">[37]Listado!$D$18:$D$23</definedName>
    <definedName name="Cera_para_pisos">'[57]L. MAT.'!#REF!</definedName>
    <definedName name="Ceramica">#REF!</definedName>
    <definedName name="Cf">#REF!</definedName>
    <definedName name="Cg">#REF!</definedName>
    <definedName name="CGET">#REF!</definedName>
    <definedName name="Ch">#REF!</definedName>
    <definedName name="CH_Infra_Capex">[100]Workings!$H$299:$BR$299</definedName>
    <definedName name="Change_in_Cash" localSheetId="20" hidden="1">#REF!</definedName>
    <definedName name="Change_in_Cash" localSheetId="21" hidden="1">#REF!</definedName>
    <definedName name="Change_in_Cash" localSheetId="13" hidden="1">#REF!</definedName>
    <definedName name="Change_in_Cash" localSheetId="17" hidden="1">#REF!</definedName>
    <definedName name="Change_in_Cash" localSheetId="18" hidden="1">#REF!</definedName>
    <definedName name="Change_in_Cash" localSheetId="12" hidden="1">#REF!</definedName>
    <definedName name="Change_in_Cash" hidden="1">#REF!</definedName>
    <definedName name="CHECK">IF(AND('[101]Ppto completo'!$D1='[101]Ppto completo'!$D1,'[101]Ppto completo'!$E1='[101]Ppto completo'!$E1,'[101]Ppto completo'!$F1='[101]Ppto completo'!$F1),"ok","ojo")</definedName>
    <definedName name="Check_to_Cash" localSheetId="20" hidden="1">#REF!</definedName>
    <definedName name="Check_to_Cash" localSheetId="21" hidden="1">#REF!</definedName>
    <definedName name="Check_to_Cash" localSheetId="13" hidden="1">#REF!</definedName>
    <definedName name="Check_to_Cash" localSheetId="17" hidden="1">#REF!</definedName>
    <definedName name="Check_to_Cash" localSheetId="18" hidden="1">#REF!</definedName>
    <definedName name="Check_to_Cash" localSheetId="12" hidden="1">#REF!</definedName>
    <definedName name="Check_to_Cash" hidden="1">#REF!</definedName>
    <definedName name="CHINA">#REF!</definedName>
    <definedName name="Ci">#REF!</definedName>
    <definedName name="CICLOPEO">#REF!</definedName>
    <definedName name="ciencia">'[102]Indicadores de Ciencia'!$B$2:$B$27</definedName>
    <definedName name="CILINDRO" localSheetId="39">#REF!</definedName>
    <definedName name="CILINDRO" localSheetId="20">#REF!</definedName>
    <definedName name="CILINDRO" localSheetId="21">#REF!</definedName>
    <definedName name="CILINDRO" localSheetId="9">#REF!</definedName>
    <definedName name="CILINDRO" localSheetId="19">#REF!</definedName>
    <definedName name="CILINDRO">#REF!</definedName>
    <definedName name="cinta">[55]lisprecios!#REF!</definedName>
    <definedName name="Cinta_Schotch_super_33">'[40]LISTADO '!$F$64</definedName>
    <definedName name="Cinta_scotch_23">'[40]LISTADO '!$F$65</definedName>
    <definedName name="CINTA_V_15">#REF!</definedName>
    <definedName name="CINTAAISLANTE">[103]Materiales!$C$25</definedName>
    <definedName name="CIR" localSheetId="22">IF([0]!LG=9,IF(ISERROR([0]!PVT),"",[0]!PVT),"")</definedName>
    <definedName name="CIR" localSheetId="21">IF([0]!LG=9,IF(ISERROR([0]!PVT),"",[0]!PVT),"")</definedName>
    <definedName name="CIR" localSheetId="17">IF([0]!LG=9,IF(ISERROR([0]!PVT),"",[0]!PVT),"")</definedName>
    <definedName name="CIR" localSheetId="28">IF([0]!LG=9,IF(ISERROR([0]!PVT),"",[0]!PVT),"")</definedName>
    <definedName name="CIR" localSheetId="29">IF([0]!LG=9,IF(ISERROR([0]!PVT),"",[0]!PVT),"")</definedName>
    <definedName name="CIR" localSheetId="12">IF([0]!LG=9,IF(ISERROR([0]!PVT),"",[0]!PVT),"")</definedName>
    <definedName name="CIR">IF([0]!LG=9,IF(ISERROR([0]!PVT),"",[0]!PVT),"")</definedName>
    <definedName name="CIRCUITOS">[104]Circuitos!$C$2:$C$891</definedName>
    <definedName name="CIRCUNVALAR">#REF!</definedName>
    <definedName name="Ciudades" localSheetId="17">[105]Insumos!$B$1813:$B$1912</definedName>
    <definedName name="Ciudades" localSheetId="18">[105]Insumos!$B$1813:$B$1912</definedName>
    <definedName name="Ciudades" localSheetId="28">[106]Insumos!$B$1769:$B$1868</definedName>
    <definedName name="Ciudades" localSheetId="29">[106]Insumos!$B$1769:$B$1868</definedName>
    <definedName name="Ciudades" localSheetId="12">[105]Insumos!$B$1813:$B$1912</definedName>
    <definedName name="Ciudades">[107]Insumos!$B$1769:$B$1868</definedName>
    <definedName name="Cj">#REF!</definedName>
    <definedName name="Ck">#REF!</definedName>
    <definedName name="CL">'[74]CIRCUITOS CODENSA'!#REF!</definedName>
    <definedName name="Clabe">#N/A</definedName>
    <definedName name="clara">#REF!</definedName>
    <definedName name="clase">#REF!</definedName>
    <definedName name="class2">'[75]REF - Listas'!$D$27:$D$28</definedName>
    <definedName name="class3">'[75]REF - Listas'!$F$4:$F$7</definedName>
    <definedName name="classification">'[75]REF - Listas'!$D$15:$D$24</definedName>
    <definedName name="Client">#REF!</definedName>
    <definedName name="Client_name">#REF!</definedName>
    <definedName name="Client_ref_number">#REF!</definedName>
    <definedName name="Cll">#REF!</definedName>
    <definedName name="CLube">#REF!</definedName>
    <definedName name="Cm">#REF!</definedName>
    <definedName name="CMAacDef" localSheetId="10">#REF!</definedName>
    <definedName name="CMAacDef" localSheetId="20">#REF!</definedName>
    <definedName name="CMAacDef" localSheetId="21">#REF!</definedName>
    <definedName name="CMAacDef">#REF!</definedName>
    <definedName name="CMAalDef" localSheetId="10">#REF!</definedName>
    <definedName name="CMAalDef" localSheetId="20">#REF!</definedName>
    <definedName name="CMAalDef" localSheetId="21">#REF!</definedName>
    <definedName name="CMAalDef">#REF!</definedName>
    <definedName name="CMIacDef" localSheetId="10">#REF!</definedName>
    <definedName name="CMIacDef" localSheetId="20">#REF!</definedName>
    <definedName name="CMIacDef" localSheetId="21">#REF!</definedName>
    <definedName name="CMIacDef">#REF!</definedName>
    <definedName name="CMIalDef" localSheetId="10">#REF!</definedName>
    <definedName name="CMIalDef" localSheetId="20">#REF!</definedName>
    <definedName name="CMIalDef" localSheetId="21">#REF!</definedName>
    <definedName name="CMIalDef">#REF!</definedName>
    <definedName name="CMina">[108]Cuentas!$P$11:$P$111</definedName>
    <definedName name="CMOacDef" localSheetId="10">#REF!</definedName>
    <definedName name="CMOacDef" localSheetId="20">#REF!</definedName>
    <definedName name="CMOacDef" localSheetId="21">#REF!</definedName>
    <definedName name="CMOacDef" localSheetId="17">#REF!</definedName>
    <definedName name="CMOacDef" localSheetId="18">#REF!</definedName>
    <definedName name="CMOacDef" localSheetId="12">#REF!</definedName>
    <definedName name="CMOacDef">#REF!</definedName>
    <definedName name="CMOalDef" localSheetId="10">#REF!</definedName>
    <definedName name="CMOalDef" localSheetId="20">#REF!</definedName>
    <definedName name="CMOalDef" localSheetId="21">#REF!</definedName>
    <definedName name="CMOalDef">#REF!</definedName>
    <definedName name="CMTacDef" localSheetId="10">#REF!</definedName>
    <definedName name="CMTacDef" localSheetId="20">#REF!</definedName>
    <definedName name="CMTacDef" localSheetId="21">#REF!</definedName>
    <definedName name="CMTacDef">#REF!</definedName>
    <definedName name="CMTalDef" localSheetId="10">#REF!</definedName>
    <definedName name="CMTalDef" localSheetId="20">#REF!</definedName>
    <definedName name="CMTalDef" localSheetId="21">#REF!</definedName>
    <definedName name="CMTalDef">#REF!</definedName>
    <definedName name="cmuooo5">#REF!</definedName>
    <definedName name="Cn">#REF!</definedName>
    <definedName name="Cñ">#REF!</definedName>
    <definedName name="Co">#REF!</definedName>
    <definedName name="Coal">#REF!</definedName>
    <definedName name="Coal_Closing_Stock">[109]INPUT_TEMP!#REF!</definedName>
    <definedName name="Coal_DB">#REF!</definedName>
    <definedName name="Coal1">#REF!</definedName>
    <definedName name="Coal2">'[93]NPV Summary'!#REF!</definedName>
    <definedName name="Coal3">'[93]NPV Summary'!#REF!</definedName>
    <definedName name="Coal4">#REF!</definedName>
    <definedName name="CoalFleet">#REF!</definedName>
    <definedName name="CoalLoad">#REF!</definedName>
    <definedName name="CoalOpCost">#REF!</definedName>
    <definedName name="CoalOverCap">#REF!</definedName>
    <definedName name="CoalPriceFac">[77]Sensitivities!$I$10</definedName>
    <definedName name="CoalRepl">#REF!</definedName>
    <definedName name="CoalUtil">#REF!</definedName>
    <definedName name="Cod">#REF!</definedName>
    <definedName name="code">#REF!</definedName>
    <definedName name="Codigo_M.Obra" comment="Mano de obra " localSheetId="28">[85]M.Obra!$A$35:$A$43</definedName>
    <definedName name="Codigo_M.Obra" comment="Mano de obra " localSheetId="29">[85]M.Obra!$A$35:$A$43</definedName>
    <definedName name="Codigo_M.Obra" comment="Mano de obra ">[86]M.Obra!$A$35:$A$43</definedName>
    <definedName name="codigos">[110]Banderas!$A:$A</definedName>
    <definedName name="CODO_45___3__GRAN_RADIO_C_x_E">#REF!</definedName>
    <definedName name="CODO_45___3__P.V.C">#REF!</definedName>
    <definedName name="CODO_45__2__P.V.C">#REF!</definedName>
    <definedName name="CODO_90___3__GRAN_RADIO_C_x_E">#REF!</definedName>
    <definedName name="CODO_90___3__P.V.C">#REF!</definedName>
    <definedName name="CODO_90_x_3__B_x_B">#REF!</definedName>
    <definedName name="CODO_90_x_3__B_x_EL">#REF!</definedName>
    <definedName name="CODO_P.V.C_90___1_2">#REF!</definedName>
    <definedName name="CODO_PVC_4">[31]Materiales!#REF!</definedName>
    <definedName name="CODO_PVC_6">[31]Materiales!#REF!</definedName>
    <definedName name="CODO_SANITARIO_PVC_45x110">[31]Materiales!#REF!</definedName>
    <definedName name="CODO_SANITARIO_PVC_45x160">[31]Materiales!#REF!</definedName>
    <definedName name="Codo4plg">#REF!</definedName>
    <definedName name="Codo90">#REF!</definedName>
    <definedName name="CODOS">#REF!</definedName>
    <definedName name="Codos_PVC_3">'[57]L. MAT.'!#REF!</definedName>
    <definedName name="coe">#REF!</definedName>
    <definedName name="coeficienterugosidad">'[11]INFORMACIÓN REFERENCIA'!$B$90:$C$101</definedName>
    <definedName name="COHaul">#REF!</definedName>
    <definedName name="COL_A_APU">IF([101]apu!$B1="","",IF(LEN([101]apu!$B1)=9,[101]apu!$B1,[101]apu!$A1048576))</definedName>
    <definedName name="COL_A_AUX">IF([101]Auxiliares!$B1="","",IF([101]Auxiliares!$B1048576="",[101]Auxiliares!$B1,[101]Auxiliares!$A1048576))</definedName>
    <definedName name="COL_B">IF(LEFT('[101]Ppto completo'!$D1,5)='[101]Ppto completo'!$D1,"",(LEFT('[101]Ppto completo'!$D1,5)))</definedName>
    <definedName name="COL_C">LEFT('[101]Ppto completo'!$D1,2)</definedName>
    <definedName name="COL_G">IFERROR(VLOOKUP('[101]Ppto completo'!$D1,'[101]CO Teatro'!$A$1:$AB$65536,7,0),0)</definedName>
    <definedName name="COL_H">IF(LEN('[101]Ppto completo'!$D1)=9,ROUNDUP(SUM('[101]Ppto completo'!$G1:$G1),0),"")</definedName>
    <definedName name="COL_J">IF(LEN('[101]Ppto completo'!$D1)=9,'[101]Ppto completo'!$G1*'[101]Ppto completo'!$I1,"")</definedName>
    <definedName name="COL_J_APU">IF([101]apu!$B1="","",IF(VLOOKUP([101]apu!$B1,[101]Insumos!$D$1:$J$65536,7,FALSE)="",LEFT([101]apu!$B1,2),VLOOKUP([101]apu!$B1,[101]Insumos!$D$1:$J$65536,7,FALSE)))</definedName>
    <definedName name="COL_J_AUX">IF([101]Auxiliares!$B1="","",IF(VLOOKUP([101]Auxiliares!XEW1,[101]Insumos!XEY$1:A$65536,7,FALSE)="",LEFT([101]Auxiliares!$B1,2),VLOOKUP([101]Auxiliares!XEW1,[101]Insumos!XEY$1:A$65536,7,FALSE)))</definedName>
    <definedName name="COL_K_PPTO">IF(LEN('[101]Ppto completo'!XEX1)=5,SUMIF('[101]Ppto completo'!$B$1:$B$65536,'[101]Ppto completo'!$D1,'[101]Ppto completo'!$J$1:$J$65536),"")</definedName>
    <definedName name="COL_L">IF('[101]Ppto completo'!$K1="",SUMIF('[101]Ppto completo'!$C$1:$C$65536,'[101]Ppto completo'!$D1,'[101]Ppto completo'!$K$1:$K$65536),"")</definedName>
    <definedName name="COL_M">IF(LEN('[101]Ppto completo'!$D1)=2,'[101]Ppto completo'!$L1/SUMIF('[101]Ppto completo'!$C$1:$C$65536,"&gt;&lt;""",'[101]Ppto completo'!$L$1:$L$65536),"")</definedName>
    <definedName name="COL_M_APU">IF([101]apu!$B1="","",IF(VLOOKUP([101]apu!$B1,[101]Insumos!$D$1:$J$65536,7,FALSE)="",LEFT([101]apu!$B1,2),VLOOKUP([101]apu!$B1,[101]Insumos!$D$1:$J$65536,7,FALSE)))</definedName>
    <definedName name="COLBOR">#REF!</definedName>
    <definedName name="COLLAR_DE_DERIVACION_2____1_2">#REF!</definedName>
    <definedName name="COLLAR_DE_DERIVACION_3____1_2">#REF!</definedName>
    <definedName name="COLLAR_DE_DERIVACION_DE_HF_DE_3____1_2__PARA_INSTALACION_DE_VENTOSA_EN_TUBERIA_DE_P.V.C">#REF!</definedName>
    <definedName name="columna">[55]lisprecios!#REF!</definedName>
    <definedName name="ComBid1">#REF!</definedName>
    <definedName name="ComBid1CurrCode">#REF!</definedName>
    <definedName name="ComBid1EvalTotal">#REF!</definedName>
    <definedName name="ComBid1LeadTime">#REF!</definedName>
    <definedName name="ComBid1Number">#REF!</definedName>
    <definedName name="ComBid1PayTerms">#REF!</definedName>
    <definedName name="ComBid1Penalty">#REF!</definedName>
    <definedName name="ComBid1PromiseDate">#REF!</definedName>
    <definedName name="ComBid1Rate">#REF!</definedName>
    <definedName name="ComBid1Retention">#REF!</definedName>
    <definedName name="ComBid1Total">#REF!</definedName>
    <definedName name="ComBid2">#REF!</definedName>
    <definedName name="ComBid2CurrCode">#REF!</definedName>
    <definedName name="ComBid2EvalTotal">#REF!</definedName>
    <definedName name="ComBid2LeadTime">#REF!</definedName>
    <definedName name="ComBid2Number">#REF!</definedName>
    <definedName name="ComBid2PayTerms">#REF!</definedName>
    <definedName name="ComBid2Penalty">#REF!</definedName>
    <definedName name="ComBid2PromiseDate">#REF!</definedName>
    <definedName name="ComBid2Rate">#REF!</definedName>
    <definedName name="ComBid2Retention">#REF!</definedName>
    <definedName name="ComBid2Total">#REF!</definedName>
    <definedName name="ComBid3">#REF!</definedName>
    <definedName name="ComBid3CurrCode">#REF!</definedName>
    <definedName name="ComBid3EvalTotal">#REF!</definedName>
    <definedName name="ComBid3LeadTime">#REF!</definedName>
    <definedName name="comBid3Number">#REF!</definedName>
    <definedName name="ComBid3PayTerms">#REF!</definedName>
    <definedName name="ComBid3Penalty">#REF!</definedName>
    <definedName name="ComBid3PromiseDate">#REF!</definedName>
    <definedName name="ComBid3Rate">#REF!</definedName>
    <definedName name="ComBid3Retention">#REF!</definedName>
    <definedName name="ComBid3Total">#REF!</definedName>
    <definedName name="ComBid4">#REF!</definedName>
    <definedName name="ComBid4CurrCode">#REF!</definedName>
    <definedName name="ComBid4EvalTotal">#REF!</definedName>
    <definedName name="ComBid4LeadTime">#REF!</definedName>
    <definedName name="ComBid4Number">#REF!</definedName>
    <definedName name="ComBid4PayTerms">#REF!</definedName>
    <definedName name="ComBid4Penalty">#REF!</definedName>
    <definedName name="ComBid4PromiseDate">#REF!</definedName>
    <definedName name="ComBid4Rate">#REF!</definedName>
    <definedName name="ComBid4Retention">#REF!</definedName>
    <definedName name="ComBid4Total">#REF!</definedName>
    <definedName name="ComBidRange">#REF!</definedName>
    <definedName name="Combustible">#REF!</definedName>
    <definedName name="CombustibleCostos">#REF!</definedName>
    <definedName name="COMEstAward_date">#REF!</definedName>
    <definedName name="COMJob_Number">#REF!</definedName>
    <definedName name="COMMR_description">#REF!</definedName>
    <definedName name="COMMRNumber">#REF!</definedName>
    <definedName name="COMP" localSheetId="39">#REF!</definedName>
    <definedName name="COMP" localSheetId="9">#REF!</definedName>
    <definedName name="comp" localSheetId="17">[111]PRESUP!$A:$IV</definedName>
    <definedName name="comp" localSheetId="18">[111]PRESUP!$A:$IV</definedName>
    <definedName name="comp" localSheetId="12">[111]PRESUP!$A:$IV</definedName>
    <definedName name="COMP">#REF!</definedName>
    <definedName name="compactacion">#REF!</definedName>
    <definedName name="COMPenalty">#REF!</definedName>
    <definedName name="componentes">[37]Listado!$U$2:$U$9</definedName>
    <definedName name="COMProject_Currency">#REF!</definedName>
    <definedName name="COMProject_name">#REF!</definedName>
    <definedName name="compuerta">[55]lisprecios!#REF!</definedName>
    <definedName name="CON_3000">#REF!</definedName>
    <definedName name="CON_HTA">SUMIFS([101]Auxiliares!$G$1:$G$65536,[101]Auxiliares!$A$1:$A$65536,[101]Auxiliares!$A1,[101]Auxiliares!$J$1:$J$65536,"mo")</definedName>
    <definedName name="CON_HTA_APU">SUMIFS([101]apu!$G$1:$G$65536,[101]apu!$A$1:$A$65536,[101]apu!$A1048576,[101]apu!$M$1:$M$65536,"mo")</definedName>
    <definedName name="Concepto">'[112] AdoVh'!#REF!</definedName>
    <definedName name="conceptos">[37]Listado!$AG$2:$AG$4</definedName>
    <definedName name="CONCRE123">#REF!</definedName>
    <definedName name="CONCRE124">#REF!</definedName>
    <definedName name="concre15">#REF!</definedName>
    <definedName name="CONCRE25">#REF!</definedName>
    <definedName name="concre3000">#REF!</definedName>
    <definedName name="concre35">#REF!</definedName>
    <definedName name="concreto">'[113]APU''s'!#REF!</definedName>
    <definedName name="Concreto_1500_psi">'[114]Análisis Básicos'!#REF!</definedName>
    <definedName name="CONCRETO_2000">'[32]Concreto de 2000 psi'!$I$53</definedName>
    <definedName name="Concreto_3000_PSI">'[33]Apu Basicos'!$F$40</definedName>
    <definedName name="Concreto123">#REF!</definedName>
    <definedName name="Concreto133">#REF!</definedName>
    <definedName name="concreto14">#REF!</definedName>
    <definedName name="CONCRETO20">#REF!</definedName>
    <definedName name="concreto25">#REF!</definedName>
    <definedName name="CONCRETO30">#REF!</definedName>
    <definedName name="concreto3000">'[113]APU''s'!#REF!</definedName>
    <definedName name="concreto35">#REF!</definedName>
    <definedName name="concretoplaca">#REF!</definedName>
    <definedName name="CONDI1">#REF!</definedName>
    <definedName name="CONDUCCION331">'[11]INFORMACIÓN REFERENCIA'!$B$122:$E$133</definedName>
    <definedName name="CONDUCCIONTABLA3.3.1">'[11]INFORMACIÓN REFERENCIA'!$B$122:$D$133</definedName>
    <definedName name="Conductores">#REF!</definedName>
    <definedName name="ConductoresCostos">#REF!</definedName>
    <definedName name="conexiondomiciliaria">#REF!</definedName>
    <definedName name="Congelar_Capital_Vencido">#REF!</definedName>
    <definedName name="cons">#REF!</definedName>
    <definedName name="CONSOLIDADO">#REF!</definedName>
    <definedName name="CONSORCIO">[20]UNIT081!#REF!</definedName>
    <definedName name="Consultor" localSheetId="17">[115]Datos!$B$3</definedName>
    <definedName name="Consultor" localSheetId="18">[115]Datos!$B$3</definedName>
    <definedName name="Consultor" localSheetId="12">[115]Datos!$B$3</definedName>
    <definedName name="Consultor">'[116]Datos básicos'!$B$2</definedName>
    <definedName name="consum">#REF!</definedName>
    <definedName name="consumo">[117]consumo1!$A$1:$IV$65536</definedName>
    <definedName name="CONTAB">[65]dts!$B$11</definedName>
    <definedName name="CONTADO">#REF!</definedName>
    <definedName name="ContLabCostOutput">#REF!</definedName>
    <definedName name="ContPartsCostOutput">#REF!</definedName>
    <definedName name="Contratante">'[116]Datos básicos'!$B$1</definedName>
    <definedName name="CONTRATISTA">[65]dts!$B$4</definedName>
    <definedName name="contrato" localSheetId="39">#REF!</definedName>
    <definedName name="contrato" localSheetId="20">#REF!</definedName>
    <definedName name="contrato" localSheetId="21">#REF!</definedName>
    <definedName name="contrato" localSheetId="9">#REF!</definedName>
    <definedName name="contrato" localSheetId="19">#REF!</definedName>
    <definedName name="Contrato" localSheetId="17">[115]Datos!$B$2</definedName>
    <definedName name="Contrato" localSheetId="18">[115]Datos!$B$2</definedName>
    <definedName name="Contrato" localSheetId="12">[115]Datos!$B$2</definedName>
    <definedName name="contrato">#REF!</definedName>
    <definedName name="Coordinador">[115]Datos!$B$6</definedName>
    <definedName name="COPIA">#REF!</definedName>
    <definedName name="COPIA1" localSheetId="39">#REF!</definedName>
    <definedName name="COPIA1" localSheetId="20">#REF!</definedName>
    <definedName name="COPIA1" localSheetId="21">#REF!</definedName>
    <definedName name="COPIA1">#REF!</definedName>
    <definedName name="COPIA2" localSheetId="39">#REF!</definedName>
    <definedName name="COPIA2" localSheetId="20">#REF!</definedName>
    <definedName name="COPIA2" localSheetId="21">#REF!</definedName>
    <definedName name="COPIA2">#REF!</definedName>
    <definedName name="Coraza">#REF!</definedName>
    <definedName name="Corriente">[87]AMPACITY!$B$6:$I$28</definedName>
    <definedName name="corte">#REF!</definedName>
    <definedName name="CORTE_Y_SELLO_DE_JUNTAS">[31]Materiales!#REF!</definedName>
    <definedName name="corterocoso">#REF!</definedName>
    <definedName name="cost_analysis">#REF!</definedName>
    <definedName name="COST_CENTRES">'[118]C - CENTROS DE COSTO Y GASTOS'!$A$5:$B$248</definedName>
    <definedName name="costa">#REF!</definedName>
    <definedName name="CostCode">'[119]cost codes'!$B$2:$F$54</definedName>
    <definedName name="CosteoConsultoria">#REF!</definedName>
    <definedName name="Costo_Indctos">#REF!</definedName>
    <definedName name="CostoDirecto" localSheetId="9">'ENSAYOS DE LABORATORIO'!#REF!</definedName>
    <definedName name="CostoDirecto">#REF!</definedName>
    <definedName name="CostoDirectoObra" localSheetId="9">'[73]COSTEO TOTAL OBRA'!$D$7</definedName>
    <definedName name="CostoDirectoObra">'[120]COSTEO TOTAL OBRA'!$D$7</definedName>
    <definedName name="Costopérdidas">[121]Modelo!#REF!</definedName>
    <definedName name="COSTOPERSONALTABLA1.5.3">'[11]INFORMACIÓN REFERENCIA'!$B$542:$F$545</definedName>
    <definedName name="COSTOPERSONALTABLA1.5.4">'[11]INFORMACIÓN REFERENCIA'!$B$549:$G$560</definedName>
    <definedName name="COSTOPERSONALTABLA1.5.5">'[11]INFORMACIÓN REFERENCIA'!$B$564:$G$621</definedName>
    <definedName name="COSTOREDESALCTABLA7.4">#REF!</definedName>
    <definedName name="COSTOREDESTABLA7.3">#REF!</definedName>
    <definedName name="costos">'[122]MATERIALES POR ESTRUCURA'!$A$1:$F$774</definedName>
    <definedName name="COSTOSCONDUCCIONACU">'[11]BD COSTOS UNIDAD CONSTRUCTIVA'!$B$34:$J$49</definedName>
    <definedName name="cotas" localSheetId="39">#REF!</definedName>
    <definedName name="cotas" localSheetId="20">#REF!</definedName>
    <definedName name="cotas" localSheetId="21">#REF!</definedName>
    <definedName name="cotas" localSheetId="9">#REF!</definedName>
    <definedName name="cotas" localSheetId="19">#REF!</definedName>
    <definedName name="COTAS" localSheetId="17">'[123]cotas '!$A$1:$H$184</definedName>
    <definedName name="COTAS" localSheetId="18">'[123]cotas '!$A$1:$H$184</definedName>
    <definedName name="COTAS" localSheetId="12">'[123]cotas '!$A$1:$H$184</definedName>
    <definedName name="cotas">#REF!</definedName>
    <definedName name="CotizacionARP" localSheetId="9">'[73]INFORMACION DEL FP'!$G$32:$J$36</definedName>
    <definedName name="CotizacionARP">#REF!</definedName>
    <definedName name="count">'[100]Inputs-SUMMARY'!$H$3:$BR$3</definedName>
    <definedName name="counter">[109]ASSUMPTIONS!$H$6:$AP$6</definedName>
    <definedName name="COUNTRY_OF_ORIGIN">#REF!</definedName>
    <definedName name="cp">#REF!</definedName>
    <definedName name="CPlanta">[108]Cuentas!$S$11:$S$56</definedName>
    <definedName name="Cq">#REF!</definedName>
    <definedName name="Cr">#REF!</definedName>
    <definedName name="CRandM">#REF!</definedName>
    <definedName name="CREDITO">#REF!</definedName>
    <definedName name="CRGAPR">[65]dts!$B$26</definedName>
    <definedName name="CRGELB">[65]dts!$B$22</definedName>
    <definedName name="CRGRVS">[65]dts!$B$24</definedName>
    <definedName name="CRIT1" localSheetId="39">#REF!</definedName>
    <definedName name="CRIT1" localSheetId="20">#REF!</definedName>
    <definedName name="CRIT1" localSheetId="21">#REF!</definedName>
    <definedName name="CRIT1" localSheetId="9">#REF!</definedName>
    <definedName name="CRIT1">#REF!</definedName>
    <definedName name="_xlnm.Criteria">#REF!</definedName>
    <definedName name="Criticos">#REF!</definedName>
    <definedName name="CRP">#REF!</definedName>
    <definedName name="crrc">#REF!</definedName>
    <definedName name="crrd">#REF!</definedName>
    <definedName name="CRUCE_200_CANAL_S1">#REF!</definedName>
    <definedName name="CRUCE_200_CANAL_S2">#REF!</definedName>
    <definedName name="CRUCE_200_CANAL_S3">#REF!</definedName>
    <definedName name="CRUCE_200_CANAL_S4">#REF!</definedName>
    <definedName name="CRUCE_200_CANAL_S5">#REF!</definedName>
    <definedName name="CRUCE_200_CANAL_S6">#REF!</definedName>
    <definedName name="CRUCE_8__A_S1">#REF!</definedName>
    <definedName name="CRUCE_8__A_S2">#REF!</definedName>
    <definedName name="CRUCE_8__A_S3">#REF!</definedName>
    <definedName name="CRUCE_8__A_S4">#REF!</definedName>
    <definedName name="CRUCE_8__A_S5">#REF!</definedName>
    <definedName name="CRUCE_8__A_S6">#REF!</definedName>
    <definedName name="CRUCE12__A_S1">#REF!</definedName>
    <definedName name="CRUCE12__A_S2">#REF!</definedName>
    <definedName name="CRUCE12__A_S3">#REF!</definedName>
    <definedName name="CRUCE12__A_S4">#REF!</definedName>
    <definedName name="CRUCE12__A_S5">#REF!</definedName>
    <definedName name="CRUCE12__A_S6">#REF!</definedName>
    <definedName name="CRUCE12_B_S1">#REF!</definedName>
    <definedName name="CRUCE12_B_S2">#REF!</definedName>
    <definedName name="CRUCE12_B_S3">#REF!</definedName>
    <definedName name="CRUCE12_B_S4">#REF!</definedName>
    <definedName name="CRUCE12_B_S5">#REF!</definedName>
    <definedName name="CRUCE12_B_S6">#REF!</definedName>
    <definedName name="CRUCE160_CANAL_S1">#REF!</definedName>
    <definedName name="CRUCE160_CANAL_S2">#REF!</definedName>
    <definedName name="CRUCE160_CANAL_S3">#REF!</definedName>
    <definedName name="CRUCE160_CANAL_S4">#REF!</definedName>
    <definedName name="CRUCE160_CANAL_S5">#REF!</definedName>
    <definedName name="CRUCE160_CANAL_S6">#REF!</definedName>
    <definedName name="CRUCE90_CANAL_S1">#REF!</definedName>
    <definedName name="CRUCE90_CANAL_S2">#REF!</definedName>
    <definedName name="CRUCE90_CANAL_S3">#REF!</definedName>
    <definedName name="CRUCE90_CANAL_S4">#REF!</definedName>
    <definedName name="CRUCE90_CANAL_S5">#REF!</definedName>
    <definedName name="CRUCE90_CANAL_S6">#REF!</definedName>
    <definedName name="CRUCE90_S1">#REF!</definedName>
    <definedName name="CRUCE90_S2">#REF!</definedName>
    <definedName name="CRUCE90_S3">#REF!</definedName>
    <definedName name="CRUCE90_S4">#REF!</definedName>
    <definedName name="CRUCE90_S5">#REF!</definedName>
    <definedName name="CRUCE90_S6">#REF!</definedName>
    <definedName name="Cruceta_metálica_en_ángulo_de__2m_x_2_5__x_2_5__x_1_4_.">"Prueba1"</definedName>
    <definedName name="Cs">#REF!</definedName>
    <definedName name="CT" localSheetId="17">'[74]CIRCUITOS CODENSA'!#REF!</definedName>
    <definedName name="CT" localSheetId="18">'[74]CIRCUITOS CODENSA'!#REF!</definedName>
    <definedName name="CT" localSheetId="12">'[74]CIRCUITOS CODENSA'!#REF!</definedName>
    <definedName name="ct">[24]D_AWG!$P$25</definedName>
    <definedName name="CTyre">#REF!</definedName>
    <definedName name="CU">'[74]CIRCUITOS CODENSA'!#REF!</definedName>
    <definedName name="cua" localSheetId="13">[41]Resumen!$G$45</definedName>
    <definedName name="cua" localSheetId="17">[42]Resumen!$G$38</definedName>
    <definedName name="cua" localSheetId="18">[42]Resumen!$G$38</definedName>
    <definedName name="cua" localSheetId="28">[43]Resumen!$G$57</definedName>
    <definedName name="cua" localSheetId="29">[43]Resumen!$G$57</definedName>
    <definedName name="cua" localSheetId="12">[42]Resumen!$G$38</definedName>
    <definedName name="cua">[44]Resumen!$G$57</definedName>
    <definedName name="CUAALB">[124]CUADRILLAS!$D$73</definedName>
    <definedName name="CUACON">[124]CUADRILLAS!$D$62</definedName>
    <definedName name="CUAD">#REF!</definedName>
    <definedName name="cuad1">#REF!</definedName>
    <definedName name="cuad2">#REF!</definedName>
    <definedName name="cuad3">#REF!</definedName>
    <definedName name="cuad4">#REF!</definedName>
    <definedName name="CUAD5">#REF!</definedName>
    <definedName name="cuado">#REF!</definedName>
    <definedName name="cuadr">#REF!</definedName>
    <definedName name="cuadrilla">[54]Cuadrillas!$C$13:$F$43</definedName>
    <definedName name="CUADRILLA_011">[52]Cuadrillas!$H$12</definedName>
    <definedName name="CUADRILLA_014">[52]Cuadrillas!$H$21</definedName>
    <definedName name="CUADRILLA_102">[52]Cuadrillas!$H$30</definedName>
    <definedName name="CUADRILLA_104">[52]Cuadrillas!$H$39</definedName>
    <definedName name="CUADRILLA_112">[52]Cuadrillas!$H$57</definedName>
    <definedName name="CUADRILLA_114">[52]Cuadrillas!$H$66</definedName>
    <definedName name="CUADRILLA_1212">[52]Cuadrillas!$H$48</definedName>
    <definedName name="cuadrillaa1">[125]PERSONAL!$D$22</definedName>
    <definedName name="cuadrillaa2">[125]PERSONAL!$D$27</definedName>
    <definedName name="cuadrillaa4">[55]PERSONAL!#REF!</definedName>
    <definedName name="cuadrillac1">[125]PERSONAL!$D$45</definedName>
    <definedName name="Cuadrillas">[126]Cuadrillas!$A$11:$I$77</definedName>
    <definedName name="cuadrillas2">[55]PERSONAL!#REF!</definedName>
    <definedName name="CUADRO">#N/A</definedName>
    <definedName name="CUADRO1">#REF!</definedName>
    <definedName name="CuadroEconomico">#REF!</definedName>
    <definedName name="CUAEXC">[124]CUADRILLAS!$D$49</definedName>
    <definedName name="CUAPLO">#REF!</definedName>
    <definedName name="CUATOP">#REF!</definedName>
    <definedName name="cube">#REF!</definedName>
    <definedName name="CUBE_UNIT">#REF!</definedName>
    <definedName name="cubs">[127]Hoja1!$A:$IV</definedName>
    <definedName name="CUCON">#REF!</definedName>
    <definedName name="CUEXC">#REF!</definedName>
    <definedName name="Cumm_Us_inf">[100]Workings!$H$8:$BR$8</definedName>
    <definedName name="cumplimiento">[128]Viabilidad!$H$2:$H$4</definedName>
    <definedName name="CUNET" localSheetId="39">{"via1",#N/A,TRUE,"general";"via2",#N/A,TRUE,"general";"via3",#N/A,TRUE,"general"}</definedName>
    <definedName name="CUNET" localSheetId="20">{"via1",#N/A,TRUE,"general";"via2",#N/A,TRUE,"general";"via3",#N/A,TRUE,"general"}</definedName>
    <definedName name="CUNET" localSheetId="21">{"via1",#N/A,TRUE,"general";"via2",#N/A,TRUE,"general";"via3",#N/A,TRUE,"general"}</definedName>
    <definedName name="CUNET" localSheetId="9">{"via1",#N/A,TRUE,"general";"via2",#N/A,TRUE,"general";"via3",#N/A,TRUE,"general"}</definedName>
    <definedName name="CUNET" localSheetId="19">{"via1",#N/A,TRUE,"general";"via2",#N/A,TRUE,"general";"via3",#N/A,TRUE,"general"}</definedName>
    <definedName name="CUNET" localSheetId="28">{"via1",#N/A,TRUE,"general";"via2",#N/A,TRUE,"general";"via3",#N/A,TRUE,"general"}</definedName>
    <definedName name="CUNET" localSheetId="29">{"via1",#N/A,TRUE,"general";"via2",#N/A,TRUE,"general";"via3",#N/A,TRUE,"general"}</definedName>
    <definedName name="CUNET">{"via1",#N/A,TRUE,"general";"via2",#N/A,TRUE,"general";"via3",#N/A,TRUE,"general"}</definedName>
    <definedName name="cuneta">#REF!</definedName>
    <definedName name="Cunete_pintura">'[33]LISTADO '!$F$26</definedName>
    <definedName name="CUPLOM">#REF!</definedName>
    <definedName name="curAsisCarr1A">#REF!</definedName>
    <definedName name="curCanDTFSemana">#REF!</definedName>
    <definedName name="CurCanonPorMillon">#REF!</definedName>
    <definedName name="CurCostComGl1a">#REF!</definedName>
    <definedName name="CurCostoCondMes">#REF!</definedName>
    <definedName name="CurCostoImptoTimbre">#REF!</definedName>
    <definedName name="CurCostoKm10A">#REF!</definedName>
    <definedName name="CurCostoKm11A">#REF!</definedName>
    <definedName name="CurCostoKm1A">#REF!</definedName>
    <definedName name="CurCostoKm2A">#REF!</definedName>
    <definedName name="CurCostoKm3A">#REF!</definedName>
    <definedName name="CurCostoKm4A">#REF!</definedName>
    <definedName name="CurCostoKm5A">#REF!</definedName>
    <definedName name="CurCostoKm6A">#REF!</definedName>
    <definedName name="CurCostoKm7A">#REF!</definedName>
    <definedName name="CurCostoKm8A">#REF!</definedName>
    <definedName name="CurCostoKm9A">#REF!</definedName>
    <definedName name="CurCostoLlantas">#REF!</definedName>
    <definedName name="CurCostoMttoFKm10A">#REF!</definedName>
    <definedName name="CurCostoMttoFKm1A">#REF!</definedName>
    <definedName name="CurCostoMttoFKm2A">#REF!</definedName>
    <definedName name="CurCostoMttoFKm3A">#REF!</definedName>
    <definedName name="CurCostoMttoFKm4A">#REF!</definedName>
    <definedName name="CurCostoMttoFKm5A">#REF!</definedName>
    <definedName name="CurCostoMttoFKm6A">#REF!</definedName>
    <definedName name="CurCostoMttoFKm7A">#REF!</definedName>
    <definedName name="CurCostoMttoFKm8A">#REF!</definedName>
    <definedName name="CurCostoMttoFKm9A">#REF!</definedName>
    <definedName name="CurCostoOportunidadFcroEntrega">#REF!</definedName>
    <definedName name="CurCostosMargendeNegociacion">#REF!</definedName>
    <definedName name="CurCostoVentaVehCliente">#REF!</definedName>
    <definedName name="CurDescuentoAccesorio">#REF!</definedName>
    <definedName name="CurDTFMaxima">#REF!</definedName>
    <definedName name="CurDTFminima">#REF!</definedName>
    <definedName name="CurDTFSemaTriAntic">#REF!</definedName>
    <definedName name="CurFuelCargoMensual">#REF!</definedName>
    <definedName name="CurFuelEquipo">#REF!</definedName>
    <definedName name="CurGPSCargoMensual">#REF!</definedName>
    <definedName name="CurGPSEquipo">#REF!</definedName>
    <definedName name="CurImptoRod1A">#REF!</definedName>
    <definedName name="CurImptoTimRetoma">#REF!</definedName>
    <definedName name="curIpcProye10A">#REF!</definedName>
    <definedName name="curIpcProye1A">#REF!</definedName>
    <definedName name="CurIpcProye2A">#REF!</definedName>
    <definedName name="CurIpcProye3A">#REF!</definedName>
    <definedName name="CurIpcProye4A">#REF!</definedName>
    <definedName name="CurIpcProye5A">#REF!</definedName>
    <definedName name="curIpcProye6A">#REF!</definedName>
    <definedName name="curIpcProye7A">#REF!</definedName>
    <definedName name="curIpcProye8A">#REF!</definedName>
    <definedName name="curIpcProye9A">#REF!</definedName>
    <definedName name="CurIvaAccesorios">#REF!</definedName>
    <definedName name="CurKitCarretera">#REF!</definedName>
    <definedName name="CurMerchand">#REF!</definedName>
    <definedName name="CurMontoMinImptoTimbre">#REF!</definedName>
    <definedName name="CurPickup">#REF!</definedName>
    <definedName name="currency_code">#REF!</definedName>
    <definedName name="currency_conversion_factor">#REF!</definedName>
    <definedName name="CurSeguroCanon">#REF!</definedName>
    <definedName name="CurServicioGPSDelClienteMensual">#REF!</definedName>
    <definedName name="curSOAT1A">#REF!</definedName>
    <definedName name="CurStandby">#REF!</definedName>
    <definedName name="CurTramiteAnual">#REF!</definedName>
    <definedName name="CurTramTransito">#REF!</definedName>
    <definedName name="CurUtilidadNominal">#REF!</definedName>
    <definedName name="CurvaCond">#REF!</definedName>
    <definedName name="CurValorAccesConIva">#REF!</definedName>
    <definedName name="CurValorMinAccriosReventa">#REF!</definedName>
    <definedName name="CurVariable1">#REF!</definedName>
    <definedName name="CurVariable2">#REF!</definedName>
    <definedName name="CurVariable3">#REF!</definedName>
    <definedName name="Curvas_1_2">'[40]LISTADO '!$F$88</definedName>
    <definedName name="Curvas_2">'[40]LISTADO '!$F$91</definedName>
    <definedName name="CurVlrAsegurado">#REF!</definedName>
    <definedName name="CurVlrVentaVehCliente">#REF!</definedName>
    <definedName name="curVPN">#REF!</definedName>
    <definedName name="CurVrVehicPrecPubConIvaSinDtos">#REF!</definedName>
    <definedName name="CurVrVehícPrecPubConIvaSinDtos">#REF!</definedName>
    <definedName name="CUTOP">#REF!</definedName>
    <definedName name="cv" localSheetId="39">{"TAB1",#N/A,TRUE,"GENERAL";"TAB2",#N/A,TRUE,"GENERAL";"TAB3",#N/A,TRUE,"GENERAL";"TAB4",#N/A,TRUE,"GENERAL";"TAB5",#N/A,TRUE,"GENERAL"}</definedName>
    <definedName name="cv" localSheetId="20">{"TAB1",#N/A,TRUE,"GENERAL";"TAB2",#N/A,TRUE,"GENERAL";"TAB3",#N/A,TRUE,"GENERAL";"TAB4",#N/A,TRUE,"GENERAL";"TAB5",#N/A,TRUE,"GENERAL"}</definedName>
    <definedName name="cv" localSheetId="21">{"TAB1",#N/A,TRUE,"GENERAL";"TAB2",#N/A,TRUE,"GENERAL";"TAB3",#N/A,TRUE,"GENERAL";"TAB4",#N/A,TRUE,"GENERAL";"TAB5",#N/A,TRUE,"GENERAL"}</definedName>
    <definedName name="cv" localSheetId="9">{"TAB1",#N/A,TRUE,"GENERAL";"TAB2",#N/A,TRUE,"GENERAL";"TAB3",#N/A,TRUE,"GENERAL";"TAB4",#N/A,TRUE,"GENERAL";"TAB5",#N/A,TRUE,"GENERAL"}</definedName>
    <definedName name="cv" localSheetId="19">{"TAB1",#N/A,TRUE,"GENERAL";"TAB2",#N/A,TRUE,"GENERAL";"TAB3",#N/A,TRUE,"GENERAL";"TAB4",#N/A,TRUE,"GENERAL";"TAB5",#N/A,TRUE,"GENERAL"}</definedName>
    <definedName name="Cv" localSheetId="17">#REF!</definedName>
    <definedName name="Cv" localSheetId="18">#REF!</definedName>
    <definedName name="cv" localSheetId="28">{"TAB1",#N/A,TRUE,"GENERAL";"TAB2",#N/A,TRUE,"GENERAL";"TAB3",#N/A,TRUE,"GENERAL";"TAB4",#N/A,TRUE,"GENERAL";"TAB5",#N/A,TRUE,"GENERAL"}</definedName>
    <definedName name="cv" localSheetId="29">{"TAB1",#N/A,TRUE,"GENERAL";"TAB2",#N/A,TRUE,"GENERAL";"TAB3",#N/A,TRUE,"GENERAL";"TAB4",#N/A,TRUE,"GENERAL";"TAB5",#N/A,TRUE,"GENERAL"}</definedName>
    <definedName name="Cv" localSheetId="12">#REF!</definedName>
    <definedName name="cv">{"TAB1",#N/A,TRUE,"GENERAL";"TAB2",#N/A,TRUE,"GENERAL";"TAB3",#N/A,TRUE,"GENERAL";"TAB4",#N/A,TRUE,"GENERAL";"TAB5",#N/A,TRUE,"GENERAL"}</definedName>
    <definedName name="CV2.Daily_Tonnes">#REF!</definedName>
    <definedName name="CV2.Moisture">#REF!</definedName>
    <definedName name="cvcvcvcv">#REF!</definedName>
    <definedName name="cvfvd" localSheetId="39">{"via1",#N/A,TRUE,"general";"via2",#N/A,TRUE,"general";"via3",#N/A,TRUE,"general"}</definedName>
    <definedName name="cvfvd" localSheetId="20">{"via1",#N/A,TRUE,"general";"via2",#N/A,TRUE,"general";"via3",#N/A,TRUE,"general"}</definedName>
    <definedName name="cvfvd" localSheetId="21">{"via1",#N/A,TRUE,"general";"via2",#N/A,TRUE,"general";"via3",#N/A,TRUE,"general"}</definedName>
    <definedName name="cvfvd" localSheetId="9">{"via1",#N/A,TRUE,"general";"via2",#N/A,TRUE,"general";"via3",#N/A,TRUE,"general"}</definedName>
    <definedName name="cvfvd" localSheetId="19">{"via1",#N/A,TRUE,"general";"via2",#N/A,TRUE,"general";"via3",#N/A,TRUE,"general"}</definedName>
    <definedName name="cvfvd" localSheetId="28">{"via1",#N/A,TRUE,"general";"via2",#N/A,TRUE,"general";"via3",#N/A,TRUE,"general"}</definedName>
    <definedName name="cvfvd" localSheetId="29">{"via1",#N/A,TRUE,"general";"via2",#N/A,TRUE,"general";"via3",#N/A,TRUE,"general"}</definedName>
    <definedName name="cvfvd">{"via1",#N/A,TRUE,"general";"via2",#N/A,TRUE,"general";"via3",#N/A,TRUE,"general"}</definedName>
    <definedName name="cvn" localSheetId="39">{"TAB1",#N/A,TRUE,"GENERAL";"TAB2",#N/A,TRUE,"GENERAL";"TAB3",#N/A,TRUE,"GENERAL";"TAB4",#N/A,TRUE,"GENERAL";"TAB5",#N/A,TRUE,"GENERAL"}</definedName>
    <definedName name="cvn" localSheetId="20">{"TAB1",#N/A,TRUE,"GENERAL";"TAB2",#N/A,TRUE,"GENERAL";"TAB3",#N/A,TRUE,"GENERAL";"TAB4",#N/A,TRUE,"GENERAL";"TAB5",#N/A,TRUE,"GENERAL"}</definedName>
    <definedName name="cvn" localSheetId="21">{"TAB1",#N/A,TRUE,"GENERAL";"TAB2",#N/A,TRUE,"GENERAL";"TAB3",#N/A,TRUE,"GENERAL";"TAB4",#N/A,TRUE,"GENERAL";"TAB5",#N/A,TRUE,"GENERAL"}</definedName>
    <definedName name="cvn" localSheetId="9">{"TAB1",#N/A,TRUE,"GENERAL";"TAB2",#N/A,TRUE,"GENERAL";"TAB3",#N/A,TRUE,"GENERAL";"TAB4",#N/A,TRUE,"GENERAL";"TAB5",#N/A,TRUE,"GENERAL"}</definedName>
    <definedName name="cvn" localSheetId="19">{"TAB1",#N/A,TRUE,"GENERAL";"TAB2",#N/A,TRUE,"GENERAL";"TAB3",#N/A,TRUE,"GENERAL";"TAB4",#N/A,TRUE,"GENERAL";"TAB5",#N/A,TRUE,"GENERAL"}</definedName>
    <definedName name="cvn" localSheetId="28">{"TAB1",#N/A,TRUE,"GENERAL";"TAB2",#N/A,TRUE,"GENERAL";"TAB3",#N/A,TRUE,"GENERAL";"TAB4",#N/A,TRUE,"GENERAL";"TAB5",#N/A,TRUE,"GENERAL"}</definedName>
    <definedName name="cvn" localSheetId="29">{"TAB1",#N/A,TRUE,"GENERAL";"TAB2",#N/A,TRUE,"GENERAL";"TAB3",#N/A,TRUE,"GENERAL";"TAB4",#N/A,TRUE,"GENERAL";"TAB5",#N/A,TRUE,"GENERAL"}</definedName>
    <definedName name="cvn">{"TAB1",#N/A,TRUE,"GENERAL";"TAB2",#N/A,TRUE,"GENERAL";"TAB3",#N/A,TRUE,"GENERAL";"TAB4",#N/A,TRUE,"GENERAL";"TAB5",#N/A,TRUE,"GENERAL"}</definedName>
    <definedName name="CVXC" localSheetId="39">{"via1",#N/A,TRUE,"general";"via2",#N/A,TRUE,"general";"via3",#N/A,TRUE,"general"}</definedName>
    <definedName name="CVXC" localSheetId="20">{"via1",#N/A,TRUE,"general";"via2",#N/A,TRUE,"general";"via3",#N/A,TRUE,"general"}</definedName>
    <definedName name="CVXC" localSheetId="21">{"via1",#N/A,TRUE,"general";"via2",#N/A,TRUE,"general";"via3",#N/A,TRUE,"general"}</definedName>
    <definedName name="CVXC" localSheetId="9">{"via1",#N/A,TRUE,"general";"via2",#N/A,TRUE,"general";"via3",#N/A,TRUE,"general"}</definedName>
    <definedName name="CVXC" localSheetId="19">{"via1",#N/A,TRUE,"general";"via2",#N/A,TRUE,"general";"via3",#N/A,TRUE,"general"}</definedName>
    <definedName name="CVXC" localSheetId="28">{"via1",#N/A,TRUE,"general";"via2",#N/A,TRUE,"general";"via3",#N/A,TRUE,"general"}</definedName>
    <definedName name="CVXC" localSheetId="29">{"via1",#N/A,TRUE,"general";"via2",#N/A,TRUE,"general";"via3",#N/A,TRUE,"general"}</definedName>
    <definedName name="CVXC">{"via1",#N/A,TRUE,"general";"via2",#N/A,TRUE,"general";"via3",#N/A,TRUE,"general"}</definedName>
    <definedName name="Cw">#REF!</definedName>
    <definedName name="Cx">#REF!</definedName>
    <definedName name="cxcxcxc">#REF!</definedName>
    <definedName name="Cy">#REF!</definedName>
    <definedName name="CZN_north_perc">50</definedName>
    <definedName name="CZN_south_perc">0</definedName>
    <definedName name="czz" localSheetId="20" hidden="1">#REF!</definedName>
    <definedName name="czz" localSheetId="21" hidden="1">#REF!</definedName>
    <definedName name="czz" localSheetId="9" hidden="1">#REF!</definedName>
    <definedName name="czz" localSheetId="13" hidden="1">'[15]ETAPA 50 SMMLV'!#REF!</definedName>
    <definedName name="czz" localSheetId="17" hidden="1">'[15]ETAPA 50 SMMLV'!#REF!</definedName>
    <definedName name="czz" localSheetId="18" hidden="1">'[15]ETAPA 50 SMMLV'!#REF!</definedName>
    <definedName name="czz" localSheetId="12" hidden="1">'[15]ETAPA 50 SMMLV'!#REF!</definedName>
    <definedName name="czz" hidden="1">#REF!</definedName>
    <definedName name="d" localSheetId="39">{"TAB1",#N/A,TRUE,"GENERAL";"TAB2",#N/A,TRUE,"GENERAL";"TAB3",#N/A,TRUE,"GENERAL";"TAB4",#N/A,TRUE,"GENERAL";"TAB5",#N/A,TRUE,"GENERAL"}</definedName>
    <definedName name="d" localSheetId="20">{"TAB1",#N/A,TRUE,"GENERAL";"TAB2",#N/A,TRUE,"GENERAL";"TAB3",#N/A,TRUE,"GENERAL";"TAB4",#N/A,TRUE,"GENERAL";"TAB5",#N/A,TRUE,"GENERAL"}</definedName>
    <definedName name="d" localSheetId="21">{"TAB1",#N/A,TRUE,"GENERAL";"TAB2",#N/A,TRUE,"GENERAL";"TAB3",#N/A,TRUE,"GENERAL";"TAB4",#N/A,TRUE,"GENERAL";"TAB5",#N/A,TRUE,"GENERAL"}</definedName>
    <definedName name="d" localSheetId="9">{"TAB1",#N/A,TRUE,"GENERAL";"TAB2",#N/A,TRUE,"GENERAL";"TAB3",#N/A,TRUE,"GENERAL";"TAB4",#N/A,TRUE,"GENERAL";"TAB5",#N/A,TRUE,"GENERAL"}</definedName>
    <definedName name="d" localSheetId="19">{"TAB1",#N/A,TRUE,"GENERAL";"TAB2",#N/A,TRUE,"GENERAL";"TAB3",#N/A,TRUE,"GENERAL";"TAB4",#N/A,TRUE,"GENERAL";"TAB5",#N/A,TRUE,"GENERAL"}</definedName>
    <definedName name="D" localSheetId="17">#REF!</definedName>
    <definedName name="D" localSheetId="18">#REF!</definedName>
    <definedName name="d" localSheetId="28">{"TAB1",#N/A,TRUE,"GENERAL";"TAB2",#N/A,TRUE,"GENERAL";"TAB3",#N/A,TRUE,"GENERAL";"TAB4",#N/A,TRUE,"GENERAL";"TAB5",#N/A,TRUE,"GENERAL"}</definedName>
    <definedName name="d" localSheetId="29">{"TAB1",#N/A,TRUE,"GENERAL";"TAB2",#N/A,TRUE,"GENERAL";"TAB3",#N/A,TRUE,"GENERAL";"TAB4",#N/A,TRUE,"GENERAL";"TAB5",#N/A,TRUE,"GENERAL"}</definedName>
    <definedName name="D" localSheetId="12">#REF!</definedName>
    <definedName name="d">{"TAB1",#N/A,TRUE,"GENERAL";"TAB2",#N/A,TRUE,"GENERAL";"TAB3",#N/A,TRUE,"GENERAL";"TAB4",#N/A,TRUE,"GENERAL";"TAB5",#N/A,TRUE,"GENERAL"}</definedName>
    <definedName name="d_CUBIERTA">#REF!</definedName>
    <definedName name="d_percápita">#REF!</definedName>
    <definedName name="d_PH">[24]D_AWG!$V$37</definedName>
    <definedName name="DADADAD" localSheetId="20" hidden="1">{#N/A,#N/A,TRUE,"CODIGO DEPENDENCIA"}</definedName>
    <definedName name="DADADAD" localSheetId="21" hidden="1">{#N/A,#N/A,TRUE,"CODIGO DEPENDENCIA"}</definedName>
    <definedName name="DADADAD" localSheetId="9" hidden="1">{#N/A,#N/A,TRUE,"CODIGO DEPENDENCIA"}</definedName>
    <definedName name="DADADAD" localSheetId="19" hidden="1">{#N/A,#N/A,TRUE,"CODIGO DEPENDENCIA"}</definedName>
    <definedName name="DADADAD" localSheetId="13" hidden="1">{#N/A,#N/A,TRUE,"CODIGO DEPENDENCIA"}</definedName>
    <definedName name="DADADAD" localSheetId="17" hidden="1">{#N/A,#N/A,TRUE,"CODIGO DEPENDENCIA"}</definedName>
    <definedName name="DADADAD" localSheetId="18" hidden="1">{#N/A,#N/A,TRUE,"CODIGO DEPENDENCIA"}</definedName>
    <definedName name="DADADAD" localSheetId="28" hidden="1">{#N/A,#N/A,TRUE,"CODIGO DEPENDENCIA"}</definedName>
    <definedName name="DADADAD" localSheetId="29" hidden="1">{#N/A,#N/A,TRUE,"CODIGO DEPENDENCIA"}</definedName>
    <definedName name="DADADAD" localSheetId="12" hidden="1">{#N/A,#N/A,TRUE,"CODIGO DEPENDENCIA"}</definedName>
    <definedName name="DADADAD" hidden="1">{#N/A,#N/A,TRUE,"CODIGO DEPENDENCIA"}</definedName>
    <definedName name="DANI">[90]ITEMS!$B$6:$B$176</definedName>
    <definedName name="dario" localSheetId="39">'[129]GPI 526'!#REF!</definedName>
    <definedName name="dario" localSheetId="9">'[129]GPI 526'!#REF!</definedName>
    <definedName name="dario">'[129]GPI 526'!#REF!</definedName>
    <definedName name="DASD" localSheetId="39">{"TAB1",#N/A,TRUE,"GENERAL";"TAB2",#N/A,TRUE,"GENERAL";"TAB3",#N/A,TRUE,"GENERAL";"TAB4",#N/A,TRUE,"GENERAL";"TAB5",#N/A,TRUE,"GENERAL"}</definedName>
    <definedName name="DASD" localSheetId="20">{"TAB1",#N/A,TRUE,"GENERAL";"TAB2",#N/A,TRUE,"GENERAL";"TAB3",#N/A,TRUE,"GENERAL";"TAB4",#N/A,TRUE,"GENERAL";"TAB5",#N/A,TRUE,"GENERAL"}</definedName>
    <definedName name="DASD" localSheetId="21">{"TAB1",#N/A,TRUE,"GENERAL";"TAB2",#N/A,TRUE,"GENERAL";"TAB3",#N/A,TRUE,"GENERAL";"TAB4",#N/A,TRUE,"GENERAL";"TAB5",#N/A,TRUE,"GENERAL"}</definedName>
    <definedName name="DASD" localSheetId="9">{"TAB1",#N/A,TRUE,"GENERAL";"TAB2",#N/A,TRUE,"GENERAL";"TAB3",#N/A,TRUE,"GENERAL";"TAB4",#N/A,TRUE,"GENERAL";"TAB5",#N/A,TRUE,"GENERAL"}</definedName>
    <definedName name="DASD" localSheetId="19">{"TAB1",#N/A,TRUE,"GENERAL";"TAB2",#N/A,TRUE,"GENERAL";"TAB3",#N/A,TRUE,"GENERAL";"TAB4",#N/A,TRUE,"GENERAL";"TAB5",#N/A,TRUE,"GENERAL"}</definedName>
    <definedName name="DASD" localSheetId="28">{"TAB1",#N/A,TRUE,"GENERAL";"TAB2",#N/A,TRUE,"GENERAL";"TAB3",#N/A,TRUE,"GENERAL";"TAB4",#N/A,TRUE,"GENERAL";"TAB5",#N/A,TRUE,"GENERAL"}</definedName>
    <definedName name="DASD" localSheetId="29">{"TAB1",#N/A,TRUE,"GENERAL";"TAB2",#N/A,TRUE,"GENERAL";"TAB3",#N/A,TRUE,"GENERAL";"TAB4",#N/A,TRUE,"GENERAL";"TAB5",#N/A,TRUE,"GENERAL"}</definedName>
    <definedName name="DASD">{"TAB1",#N/A,TRUE,"GENERAL";"TAB2",#N/A,TRUE,"GENERAL";"TAB3",#N/A,TRUE,"GENERAL";"TAB4",#N/A,TRUE,"GENERAL";"TAB5",#N/A,TRUE,"GENERAL"}</definedName>
    <definedName name="DAT">#REF!</definedName>
    <definedName name="Data">[130]Sheet1!$F$18:$H$977</definedName>
    <definedName name="Data_Base">#REF!</definedName>
    <definedName name="Date">[131]Constants!$B$9</definedName>
    <definedName name="Datos" localSheetId="9">#REF!</definedName>
    <definedName name="Datos" localSheetId="17">#REF!</definedName>
    <definedName name="Datos" localSheetId="18">#REF!</definedName>
    <definedName name="Datos" localSheetId="12">#REF!</definedName>
    <definedName name="Datos">#REF!</definedName>
    <definedName name="DATOS_CONTRATO">#REF!</definedName>
    <definedName name="datos1" localSheetId="17">'[132]Base de Diseño'!$A$1:$G$286</definedName>
    <definedName name="datos1" localSheetId="18">'[132]Base de Diseño'!$A$1:$G$286</definedName>
    <definedName name="datos1" localSheetId="12">'[132]Base de Diseño'!$A$1:$G$286</definedName>
    <definedName name="datos1">'[133]Base de Diseño'!$A$1:$D$204</definedName>
    <definedName name="datos2">'[134]Base de Diseño'!$AF$2:$AK$245</definedName>
    <definedName name="DATOS211111" localSheetId="39">#REF!</definedName>
    <definedName name="DATOS211111" localSheetId="20">#REF!</definedName>
    <definedName name="DATOS211111" localSheetId="21">#REF!</definedName>
    <definedName name="DATOS211111" localSheetId="9">#REF!</definedName>
    <definedName name="DATOS211111" localSheetId="19">#REF!</definedName>
    <definedName name="DATOS211111">#REF!</definedName>
    <definedName name="datos3" localSheetId="39">#REF!</definedName>
    <definedName name="datos3" localSheetId="20">#REF!</definedName>
    <definedName name="datos3" localSheetId="21">#REF!</definedName>
    <definedName name="datos3">#REF!</definedName>
    <definedName name="DATOS8555555555555555555555555555" localSheetId="39">#REF!</definedName>
    <definedName name="DATOS8555555555555555555555555555" localSheetId="20">#REF!</definedName>
    <definedName name="DATOS8555555555555555555555555555" localSheetId="21">#REF!</definedName>
    <definedName name="DATOS8555555555555555555555555555">#REF!</definedName>
    <definedName name="Days_in_Month">#REF!</definedName>
    <definedName name="dbb" localSheetId="39">'[26]Gabinetes ctrol, prot. y med. '!#REF!</definedName>
    <definedName name="dbb" localSheetId="20">'[26]Gabinetes ctrol, prot. y med. '!#REF!</definedName>
    <definedName name="dbb" localSheetId="21">'[26]Gabinetes ctrol, prot. y med. '!#REF!</definedName>
    <definedName name="dbb">'[26]Gabinetes ctrol, prot. y med. '!#REF!</definedName>
    <definedName name="dbfdfbi" localSheetId="39">{"TAB1",#N/A,TRUE,"GENERAL";"TAB2",#N/A,TRUE,"GENERAL";"TAB3",#N/A,TRUE,"GENERAL";"TAB4",#N/A,TRUE,"GENERAL";"TAB5",#N/A,TRUE,"GENERAL"}</definedName>
    <definedName name="dbfdfbi" localSheetId="20">{"TAB1",#N/A,TRUE,"GENERAL";"TAB2",#N/A,TRUE,"GENERAL";"TAB3",#N/A,TRUE,"GENERAL";"TAB4",#N/A,TRUE,"GENERAL";"TAB5",#N/A,TRUE,"GENERAL"}</definedName>
    <definedName name="dbfdfbi" localSheetId="21">{"TAB1",#N/A,TRUE,"GENERAL";"TAB2",#N/A,TRUE,"GENERAL";"TAB3",#N/A,TRUE,"GENERAL";"TAB4",#N/A,TRUE,"GENERAL";"TAB5",#N/A,TRUE,"GENERAL"}</definedName>
    <definedName name="dbfdfbi" localSheetId="9">{"TAB1",#N/A,TRUE,"GENERAL";"TAB2",#N/A,TRUE,"GENERAL";"TAB3",#N/A,TRUE,"GENERAL";"TAB4",#N/A,TRUE,"GENERAL";"TAB5",#N/A,TRUE,"GENERAL"}</definedName>
    <definedName name="dbfdfbi" localSheetId="19">{"TAB1",#N/A,TRUE,"GENERAL";"TAB2",#N/A,TRUE,"GENERAL";"TAB3",#N/A,TRUE,"GENERAL";"TAB4",#N/A,TRUE,"GENERAL";"TAB5",#N/A,TRUE,"GENERAL"}</definedName>
    <definedName name="dbfdfbi" localSheetId="28">{"TAB1",#N/A,TRUE,"GENERAL";"TAB2",#N/A,TRUE,"GENERAL";"TAB3",#N/A,TRUE,"GENERAL";"TAB4",#N/A,TRUE,"GENERAL";"TAB5",#N/A,TRUE,"GENERAL"}</definedName>
    <definedName name="dbfdfbi" localSheetId="29">{"TAB1",#N/A,TRUE,"GENERAL";"TAB2",#N/A,TRUE,"GENERAL";"TAB3",#N/A,TRUE,"GENERAL";"TAB4",#N/A,TRUE,"GENERAL";"TAB5",#N/A,TRUE,"GENERAL"}</definedName>
    <definedName name="dbfdfbi">{"TAB1",#N/A,TRUE,"GENERAL";"TAB2",#N/A,TRUE,"GENERAL";"TAB3",#N/A,TRUE,"GENERAL";"TAB4",#N/A,TRUE,"GENERAL";"TAB5",#N/A,TRUE,"GENERAL"}</definedName>
    <definedName name="dblgarantiaExtendida">#REF!</definedName>
    <definedName name="dblPunRentabilidad">#REF!</definedName>
    <definedName name="dblUtilVehiculo">#REF!</definedName>
    <definedName name="dc">#REF!</definedName>
    <definedName name="DCF">#REF!</definedName>
    <definedName name="DCSDCTV" localSheetId="39">{"via1",#N/A,TRUE,"general";"via2",#N/A,TRUE,"general";"via3",#N/A,TRUE,"general"}</definedName>
    <definedName name="DCSDCTV" localSheetId="20">{"via1",#N/A,TRUE,"general";"via2",#N/A,TRUE,"general";"via3",#N/A,TRUE,"general"}</definedName>
    <definedName name="DCSDCTV" localSheetId="21">{"via1",#N/A,TRUE,"general";"via2",#N/A,TRUE,"general";"via3",#N/A,TRUE,"general"}</definedName>
    <definedName name="DCSDCTV" localSheetId="9">{"via1",#N/A,TRUE,"general";"via2",#N/A,TRUE,"general";"via3",#N/A,TRUE,"general"}</definedName>
    <definedName name="DCSDCTV" localSheetId="19">{"via1",#N/A,TRUE,"general";"via2",#N/A,TRUE,"general";"via3",#N/A,TRUE,"general"}</definedName>
    <definedName name="DCSDCTV" localSheetId="28">{"via1",#N/A,TRUE,"general";"via2",#N/A,TRUE,"general";"via3",#N/A,TRUE,"general"}</definedName>
    <definedName name="DCSDCTV" localSheetId="29">{"via1",#N/A,TRUE,"general";"via2",#N/A,TRUE,"general";"via3",#N/A,TRUE,"general"}</definedName>
    <definedName name="DCSDCTV">{"via1",#N/A,TRUE,"general";"via2",#N/A,TRUE,"general";"via3",#N/A,TRUE,"general"}</definedName>
    <definedName name="DD">#REF!</definedName>
    <definedName name="ddd" localSheetId="39">{"via1",#N/A,TRUE,"general";"via2",#N/A,TRUE,"general";"via3",#N/A,TRUE,"general"}</definedName>
    <definedName name="ddd" localSheetId="20">{"via1",#N/A,TRUE,"general";"via2",#N/A,TRUE,"general";"via3",#N/A,TRUE,"general"}</definedName>
    <definedName name="ddd" localSheetId="21">{"via1",#N/A,TRUE,"general";"via2",#N/A,TRUE,"general";"via3",#N/A,TRUE,"general"}</definedName>
    <definedName name="ddd" localSheetId="9">{"via1",#N/A,TRUE,"general";"via2",#N/A,TRUE,"general";"via3",#N/A,TRUE,"general"}</definedName>
    <definedName name="ddd" localSheetId="19">{"via1",#N/A,TRUE,"general";"via2",#N/A,TRUE,"general";"via3",#N/A,TRUE,"general"}</definedName>
    <definedName name="ddd" localSheetId="17">#REF!</definedName>
    <definedName name="ddd" localSheetId="18">#REF!</definedName>
    <definedName name="ddd" localSheetId="28">{"via1",#N/A,TRUE,"general";"via2",#N/A,TRUE,"general";"via3",#N/A,TRUE,"general"}</definedName>
    <definedName name="ddd" localSheetId="29">{"via1",#N/A,TRUE,"general";"via2",#N/A,TRUE,"general";"via3",#N/A,TRUE,"general"}</definedName>
    <definedName name="ddd" localSheetId="12">#REF!</definedName>
    <definedName name="ddd">{"via1",#N/A,TRUE,"general";"via2",#N/A,TRUE,"general";"via3",#N/A,TRUE,"general"}</definedName>
    <definedName name="DDDD">#N/A</definedName>
    <definedName name="ddddd">#REF!</definedName>
    <definedName name="ddddddddd">#REF!</definedName>
    <definedName name="ddddt" localSheetId="39">{"via1",#N/A,TRUE,"general";"via2",#N/A,TRUE,"general";"via3",#N/A,TRUE,"general"}</definedName>
    <definedName name="ddddt" localSheetId="20">{"via1",#N/A,TRUE,"general";"via2",#N/A,TRUE,"general";"via3",#N/A,TRUE,"general"}</definedName>
    <definedName name="ddddt" localSheetId="21">{"via1",#N/A,TRUE,"general";"via2",#N/A,TRUE,"general";"via3",#N/A,TRUE,"general"}</definedName>
    <definedName name="ddddt" localSheetId="9">{"via1",#N/A,TRUE,"general";"via2",#N/A,TRUE,"general";"via3",#N/A,TRUE,"general"}</definedName>
    <definedName name="ddddt" localSheetId="19">{"via1",#N/A,TRUE,"general";"via2",#N/A,TRUE,"general";"via3",#N/A,TRUE,"general"}</definedName>
    <definedName name="ddddt" localSheetId="28">{"via1",#N/A,TRUE,"general";"via2",#N/A,TRUE,"general";"via3",#N/A,TRUE,"general"}</definedName>
    <definedName name="ddddt" localSheetId="29">{"via1",#N/A,TRUE,"general";"via2",#N/A,TRUE,"general";"via3",#N/A,TRUE,"general"}</definedName>
    <definedName name="ddddt">{"via1",#N/A,TRUE,"general";"via2",#N/A,TRUE,"general";"via3",#N/A,TRUE,"general"}</definedName>
    <definedName name="ddewdw" localSheetId="39">{"TAB1",#N/A,TRUE,"GENERAL";"TAB2",#N/A,TRUE,"GENERAL";"TAB3",#N/A,TRUE,"GENERAL";"TAB4",#N/A,TRUE,"GENERAL";"TAB5",#N/A,TRUE,"GENERAL"}</definedName>
    <definedName name="ddewdw" localSheetId="20">{"TAB1",#N/A,TRUE,"GENERAL";"TAB2",#N/A,TRUE,"GENERAL";"TAB3",#N/A,TRUE,"GENERAL";"TAB4",#N/A,TRUE,"GENERAL";"TAB5",#N/A,TRUE,"GENERAL"}</definedName>
    <definedName name="ddewdw" localSheetId="21">{"TAB1",#N/A,TRUE,"GENERAL";"TAB2",#N/A,TRUE,"GENERAL";"TAB3",#N/A,TRUE,"GENERAL";"TAB4",#N/A,TRUE,"GENERAL";"TAB5",#N/A,TRUE,"GENERAL"}</definedName>
    <definedName name="ddewdw" localSheetId="9">{"TAB1",#N/A,TRUE,"GENERAL";"TAB2",#N/A,TRUE,"GENERAL";"TAB3",#N/A,TRUE,"GENERAL";"TAB4",#N/A,TRUE,"GENERAL";"TAB5",#N/A,TRUE,"GENERAL"}</definedName>
    <definedName name="ddewdw" localSheetId="19">{"TAB1",#N/A,TRUE,"GENERAL";"TAB2",#N/A,TRUE,"GENERAL";"TAB3",#N/A,TRUE,"GENERAL";"TAB4",#N/A,TRUE,"GENERAL";"TAB5",#N/A,TRUE,"GENERAL"}</definedName>
    <definedName name="ddewdw" localSheetId="28">{"TAB1",#N/A,TRUE,"GENERAL";"TAB2",#N/A,TRUE,"GENERAL";"TAB3",#N/A,TRUE,"GENERAL";"TAB4",#N/A,TRUE,"GENERAL";"TAB5",#N/A,TRUE,"GENERAL"}</definedName>
    <definedName name="ddewdw" localSheetId="29">{"TAB1",#N/A,TRUE,"GENERAL";"TAB2",#N/A,TRUE,"GENERAL";"TAB3",#N/A,TRUE,"GENERAL";"TAB4",#N/A,TRUE,"GENERAL";"TAB5",#N/A,TRUE,"GENERAL"}</definedName>
    <definedName name="ddewdw">{"TAB1",#N/A,TRUE,"GENERAL";"TAB2",#N/A,TRUE,"GENERAL";"TAB3",#N/A,TRUE,"GENERAL";"TAB4",#N/A,TRUE,"GENERAL";"TAB5",#N/A,TRUE,"GENERAL"}</definedName>
    <definedName name="ddfdh" localSheetId="39">{"TAB1",#N/A,TRUE,"GENERAL";"TAB2",#N/A,TRUE,"GENERAL";"TAB3",#N/A,TRUE,"GENERAL";"TAB4",#N/A,TRUE,"GENERAL";"TAB5",#N/A,TRUE,"GENERAL"}</definedName>
    <definedName name="ddfdh" localSheetId="20">{"TAB1",#N/A,TRUE,"GENERAL";"TAB2",#N/A,TRUE,"GENERAL";"TAB3",#N/A,TRUE,"GENERAL";"TAB4",#N/A,TRUE,"GENERAL";"TAB5",#N/A,TRUE,"GENERAL"}</definedName>
    <definedName name="ddfdh" localSheetId="21">{"TAB1",#N/A,TRUE,"GENERAL";"TAB2",#N/A,TRUE,"GENERAL";"TAB3",#N/A,TRUE,"GENERAL";"TAB4",#N/A,TRUE,"GENERAL";"TAB5",#N/A,TRUE,"GENERAL"}</definedName>
    <definedName name="ddfdh" localSheetId="9">{"TAB1",#N/A,TRUE,"GENERAL";"TAB2",#N/A,TRUE,"GENERAL";"TAB3",#N/A,TRUE,"GENERAL";"TAB4",#N/A,TRUE,"GENERAL";"TAB5",#N/A,TRUE,"GENERAL"}</definedName>
    <definedName name="ddfdh" localSheetId="19">{"TAB1",#N/A,TRUE,"GENERAL";"TAB2",#N/A,TRUE,"GENERAL";"TAB3",#N/A,TRUE,"GENERAL";"TAB4",#N/A,TRUE,"GENERAL";"TAB5",#N/A,TRUE,"GENERAL"}</definedName>
    <definedName name="ddfdh" localSheetId="28">{"TAB1",#N/A,TRUE,"GENERAL";"TAB2",#N/A,TRUE,"GENERAL";"TAB3",#N/A,TRUE,"GENERAL";"TAB4",#N/A,TRUE,"GENERAL";"TAB5",#N/A,TRUE,"GENERAL"}</definedName>
    <definedName name="ddfdh" localSheetId="29">{"TAB1",#N/A,TRUE,"GENERAL";"TAB2",#N/A,TRUE,"GENERAL";"TAB3",#N/A,TRUE,"GENERAL";"TAB4",#N/A,TRUE,"GENERAL";"TAB5",#N/A,TRUE,"GENERAL"}</definedName>
    <definedName name="ddfdh">{"TAB1",#N/A,TRUE,"GENERAL";"TAB2",#N/A,TRUE,"GENERAL";"TAB3",#N/A,TRUE,"GENERAL";"TAB4",#N/A,TRUE,"GENERAL";"TAB5",#N/A,TRUE,"GENERAL"}</definedName>
    <definedName name="DDGSDP" localSheetId="39">{"TAB1",#N/A,TRUE,"GENERAL";"TAB2",#N/A,TRUE,"GENERAL";"TAB3",#N/A,TRUE,"GENERAL";"TAB4",#N/A,TRUE,"GENERAL";"TAB5",#N/A,TRUE,"GENERAL"}</definedName>
    <definedName name="DDGSDP" localSheetId="20">{"TAB1",#N/A,TRUE,"GENERAL";"TAB2",#N/A,TRUE,"GENERAL";"TAB3",#N/A,TRUE,"GENERAL";"TAB4",#N/A,TRUE,"GENERAL";"TAB5",#N/A,TRUE,"GENERAL"}</definedName>
    <definedName name="DDGSDP" localSheetId="21">{"TAB1",#N/A,TRUE,"GENERAL";"TAB2",#N/A,TRUE,"GENERAL";"TAB3",#N/A,TRUE,"GENERAL";"TAB4",#N/A,TRUE,"GENERAL";"TAB5",#N/A,TRUE,"GENERAL"}</definedName>
    <definedName name="DDGSDP" localSheetId="9">{"TAB1",#N/A,TRUE,"GENERAL";"TAB2",#N/A,TRUE,"GENERAL";"TAB3",#N/A,TRUE,"GENERAL";"TAB4",#N/A,TRUE,"GENERAL";"TAB5",#N/A,TRUE,"GENERAL"}</definedName>
    <definedName name="DDGSDP" localSheetId="19">{"TAB1",#N/A,TRUE,"GENERAL";"TAB2",#N/A,TRUE,"GENERAL";"TAB3",#N/A,TRUE,"GENERAL";"TAB4",#N/A,TRUE,"GENERAL";"TAB5",#N/A,TRUE,"GENERAL"}</definedName>
    <definedName name="DDGSDP" localSheetId="28">{"TAB1",#N/A,TRUE,"GENERAL";"TAB2",#N/A,TRUE,"GENERAL";"TAB3",#N/A,TRUE,"GENERAL";"TAB4",#N/A,TRUE,"GENERAL";"TAB5",#N/A,TRUE,"GENERAL"}</definedName>
    <definedName name="DDGSDP" localSheetId="29">{"TAB1",#N/A,TRUE,"GENERAL";"TAB2",#N/A,TRUE,"GENERAL";"TAB3",#N/A,TRUE,"GENERAL";"TAB4",#N/A,TRUE,"GENERAL";"TAB5",#N/A,TRUE,"GENERAL"}</definedName>
    <definedName name="DDGSDP">{"TAB1",#N/A,TRUE,"GENERAL";"TAB2",#N/A,TRUE,"GENERAL";"TAB3",#N/A,TRUE,"GENERAL";"TAB4",#N/A,TRUE,"GENERAL";"TAB5",#N/A,TRUE,"GENERAL"}</definedName>
    <definedName name="Dealpb" localSheetId="13" hidden="1">#REF!</definedName>
    <definedName name="Dealpb" localSheetId="17" hidden="1">#REF!</definedName>
    <definedName name="Dealpb" localSheetId="18" hidden="1">#REF!</definedName>
    <definedName name="Dealpb" localSheetId="12" hidden="1">#REF!</definedName>
    <definedName name="Dealpb" hidden="1">#REF!</definedName>
    <definedName name="Debt_Purchase_Price_Funding">[135]CONTROL!$G$45</definedName>
    <definedName name="Debt_S5_EA_Sch">[109]INPUT_TEMP!#REF!</definedName>
    <definedName name="Debt_S6_EA_Sch">[109]INPUT_TEMP!#REF!</definedName>
    <definedName name="DEC">#REF!</definedName>
    <definedName name="decbs">#REF!</definedName>
    <definedName name="decision">[128]Viabilidad!$I$2:$I$3</definedName>
    <definedName name="Decjv">#REF!</definedName>
    <definedName name="Decjv2">#REF!</definedName>
    <definedName name="deded" localSheetId="39">{"TAB1",#N/A,TRUE,"GENERAL";"TAB2",#N/A,TRUE,"GENERAL";"TAB3",#N/A,TRUE,"GENERAL";"TAB4",#N/A,TRUE,"GENERAL";"TAB5",#N/A,TRUE,"GENERAL"}</definedName>
    <definedName name="deded" localSheetId="20">{"TAB1",#N/A,TRUE,"GENERAL";"TAB2",#N/A,TRUE,"GENERAL";"TAB3",#N/A,TRUE,"GENERAL";"TAB4",#N/A,TRUE,"GENERAL";"TAB5",#N/A,TRUE,"GENERAL"}</definedName>
    <definedName name="deded" localSheetId="21">{"TAB1",#N/A,TRUE,"GENERAL";"TAB2",#N/A,TRUE,"GENERAL";"TAB3",#N/A,TRUE,"GENERAL";"TAB4",#N/A,TRUE,"GENERAL";"TAB5",#N/A,TRUE,"GENERAL"}</definedName>
    <definedName name="deded" localSheetId="9">{"TAB1",#N/A,TRUE,"GENERAL";"TAB2",#N/A,TRUE,"GENERAL";"TAB3",#N/A,TRUE,"GENERAL";"TAB4",#N/A,TRUE,"GENERAL";"TAB5",#N/A,TRUE,"GENERAL"}</definedName>
    <definedName name="deded" localSheetId="19">{"TAB1",#N/A,TRUE,"GENERAL";"TAB2",#N/A,TRUE,"GENERAL";"TAB3",#N/A,TRUE,"GENERAL";"TAB4",#N/A,TRUE,"GENERAL";"TAB5",#N/A,TRUE,"GENERAL"}</definedName>
    <definedName name="deded" localSheetId="28">{"TAB1",#N/A,TRUE,"GENERAL";"TAB2",#N/A,TRUE,"GENERAL";"TAB3",#N/A,TRUE,"GENERAL";"TAB4",#N/A,TRUE,"GENERAL";"TAB5",#N/A,TRUE,"GENERAL"}</definedName>
    <definedName name="deded" localSheetId="29">{"TAB1",#N/A,TRUE,"GENERAL";"TAB2",#N/A,TRUE,"GENERAL";"TAB3",#N/A,TRUE,"GENERAL";"TAB4",#N/A,TRUE,"GENERAL";"TAB5",#N/A,TRUE,"GENERAL"}</definedName>
    <definedName name="deded">{"TAB1",#N/A,TRUE,"GENERAL";"TAB2",#N/A,TRUE,"GENERAL";"TAB3",#N/A,TRUE,"GENERAL";"TAB4",#N/A,TRUE,"GENERAL";"TAB5",#N/A,TRUE,"GENERAL"}</definedName>
    <definedName name="default_leadtime">#REF!</definedName>
    <definedName name="defd" localSheetId="39">{"via1",#N/A,TRUE,"general";"via2",#N/A,TRUE,"general";"via3",#N/A,TRUE,"general"}</definedName>
    <definedName name="defd" localSheetId="20">{"via1",#N/A,TRUE,"general";"via2",#N/A,TRUE,"general";"via3",#N/A,TRUE,"general"}</definedName>
    <definedName name="defd" localSheetId="21">{"via1",#N/A,TRUE,"general";"via2",#N/A,TRUE,"general";"via3",#N/A,TRUE,"general"}</definedName>
    <definedName name="defd" localSheetId="9">{"via1",#N/A,TRUE,"general";"via2",#N/A,TRUE,"general";"via3",#N/A,TRUE,"general"}</definedName>
    <definedName name="defd" localSheetId="19">{"via1",#N/A,TRUE,"general";"via2",#N/A,TRUE,"general";"via3",#N/A,TRUE,"general"}</definedName>
    <definedName name="defd" localSheetId="28">{"via1",#N/A,TRUE,"general";"via2",#N/A,TRUE,"general";"via3",#N/A,TRUE,"general"}</definedName>
    <definedName name="defd" localSheetId="29">{"via1",#N/A,TRUE,"general";"via2",#N/A,TRUE,"general";"via3",#N/A,TRUE,"general"}</definedName>
    <definedName name="defd">{"via1",#N/A,TRUE,"general";"via2",#N/A,TRUE,"general";"via3",#N/A,TRUE,"general"}</definedName>
    <definedName name="Deflexión">#REF!</definedName>
    <definedName name="DEMANDA">#REF!</definedName>
    <definedName name="demanto" localSheetId="9">#REF!</definedName>
    <definedName name="demanto">#REF!</definedName>
    <definedName name="demolicion">#REF!</definedName>
    <definedName name="demolicioncuneta">#REF!</definedName>
    <definedName name="den_1a">[24]D_AWG!$N$26</definedName>
    <definedName name="den_2da">[24]D_AWG!$N$27</definedName>
    <definedName name="den_aisl">[24]D_AWG!$O$35</definedName>
    <definedName name="den_ch">[24]D_AWG!$AA$47</definedName>
    <definedName name="den_cond">[24]D_AWG!$D$29</definedName>
    <definedName name="DENS">#REF!</definedName>
    <definedName name="densi">#REF!</definedName>
    <definedName name="Dep_IAS_tot">[100]Tax!#REF!</definedName>
    <definedName name="DEPARTAMENTO" localSheetId="10">#REF!</definedName>
    <definedName name="DEPARTAMENTO" localSheetId="20">'CRONOGRAMA Y FLUJO (OXI)'!#REF!</definedName>
    <definedName name="DEPARTAMENTO" localSheetId="21">'CRONOGRAMA Y FLUJO .'!#REF!</definedName>
    <definedName name="DEPARTAMENTO" localSheetId="19">#REF!</definedName>
    <definedName name="DEPARTAMENTO" localSheetId="17">#REF!</definedName>
    <definedName name="DEPARTAMENTO" localSheetId="18">#REF!</definedName>
    <definedName name="DEPARTAMENTO" localSheetId="12">#REF!</definedName>
    <definedName name="DEPARTAMENTO">#REF!</definedName>
    <definedName name="Department">'[136]REF - Listas'!$D$4:$D$12</definedName>
    <definedName name="DEPENDENCAS" localSheetId="28">[137]DEPENDENCIAS!$B$2:$B$21</definedName>
    <definedName name="DEPENDENCAS" localSheetId="29">[137]DEPENDENCIAS!$B$2:$B$21</definedName>
    <definedName name="DEPENDENCAS">[138]DEPENDENCIAS!$B$2:$B$21</definedName>
    <definedName name="Depreciation">#REF!</definedName>
    <definedName name="DepreciationPB" localSheetId="20" hidden="1">#REF!</definedName>
    <definedName name="DepreciationPB" localSheetId="21" hidden="1">#REF!</definedName>
    <definedName name="DepreciationPB" localSheetId="13" hidden="1">#REF!</definedName>
    <definedName name="DepreciationPB" hidden="1">#REF!</definedName>
    <definedName name="DER">[139]DIST!$C$7:$D$2942</definedName>
    <definedName name="DES">#REF!</definedName>
    <definedName name="DESC_APU" localSheetId="17">IF([101]apu!XFC1="",IF([101]apu!XFD1="",IF([101]apu!XFC1048576="","",DIRECTO),""),DESCRIPCION_APU)</definedName>
    <definedName name="DESC_APU" localSheetId="28">IF([101]apu!XFC1="",IF([101]apu!XFD1="",IF([101]apu!XFC1048576="","",DIRECTO),""),DESCRIPCION_APU)</definedName>
    <definedName name="DESC_APU" localSheetId="29">IF([101]apu!XFC1="",IF([101]apu!XFD1="",IF([101]apu!XFC1048576="","",DIRECTO),""),DESCRIPCION_APU)</definedName>
    <definedName name="DESC_APU" localSheetId="12">IF([101]apu!XFC1="",IF([101]apu!XFD1="",IF([101]apu!XFC1048576="","",DIRECTO),""),DESCRIPCION_APU)</definedName>
    <definedName name="DESC_APU">IF([101]apu!XFC1="",IF([101]apu!XFD1="",IF([101]apu!XFC1048576="","",DIRECTO),""),DESCRIPCION_APU)</definedName>
    <definedName name="DESC_AUX">IF([101]Auxiliares!$A1="",IF([101]Auxiliares!$A1048576="","","DIRECTO:  "&amp;TEXT(ROUNDUP(SUMIF([101]Auxiliares!$A$1:$A$65536,[101]Auxiliares!$A1048576,[101]Auxiliares!$G$1:$G$65536)/2,0),"#,##0")&amp;" / "&amp;VLOOKUP([101]Auxiliares!$A1048576,[101]Insumos!$D$1:$F$65536,3,FALSE)),IF([101]Auxiliares!$A1="","",VLOOKUP([101]Auxiliares!$B1,[101]Insumos!$D$1:$E$65536,2,FALSE)))</definedName>
    <definedName name="desc_rps">[140]des_rps!$A$1:$A$364</definedName>
    <definedName name="DESC1">[141]ITEMS!$B$2</definedName>
    <definedName name="DESC521">[142]ITEMS!$B$522</definedName>
    <definedName name="descriminado" localSheetId="17">IF([0]!Loan_Amount*[0]!Interest_Rate*[0]!Loan_Years*[0]!Loan_Start&gt;0,1,0)</definedName>
    <definedName name="descriminado" localSheetId="28">IF([0]!Loan_Amount*[0]!Interest_Rate*[0]!Loan_Years*[0]!Loan_Start&gt;0,1,0)</definedName>
    <definedName name="descriminado" localSheetId="29">IF([0]!Loan_Amount*[0]!Interest_Rate*[0]!Loan_Years*[0]!Loan_Start&gt;0,1,0)</definedName>
    <definedName name="descriminado" localSheetId="12">IF([0]!Loan_Amount*[0]!Interest_Rate*[0]!Loan_Years*[0]!Loan_Start&gt;0,1,0)</definedName>
    <definedName name="descriminado">IF([0]!Loan_Amount*[0]!Interest_Rate*[0]!Loan_Years*[0]!Loan_Start&gt;0,1,0)</definedName>
    <definedName name="Descrip_cuadrillas">[126]Cuadrillas!$A$15:$A$77</definedName>
    <definedName name="Descrip_equipos">[126]Equ!$A$15:$A$102</definedName>
    <definedName name="Descrip_transporte">[126]Trans!$A$18:$A$65</definedName>
    <definedName name="Descripción">[126]Mat!$A$11:$A$1041</definedName>
    <definedName name="DESCRIPCION_APU">#N/A</definedName>
    <definedName name="description">#REF!</definedName>
    <definedName name="DESCRP1">[53]DATOS!$D$2</definedName>
    <definedName name="DESCRP2">[53]DATOS!$D$3</definedName>
    <definedName name="design">'[143]Design (3)'!$A$12:$CM$71</definedName>
    <definedName name="design2">[143]Design!$A$24:$CM$66</definedName>
    <definedName name="Designer">#REF!</definedName>
    <definedName name="DestinoConsultoria" localSheetId="9">'[73]IMPUESTOS Y VR TOTAL'!$F$52</definedName>
    <definedName name="DestinoConsultoria">#REF!</definedName>
    <definedName name="DestinoObra" localSheetId="9">'[73]IMPUESTOS Y VR TOTAL'!$D$10</definedName>
    <definedName name="DestinoObra">#REF!</definedName>
    <definedName name="DetailsBid1">#REF!</definedName>
    <definedName name="DetailsBid2">#REF!</definedName>
    <definedName name="DetailsBid3">#REF!</definedName>
    <definedName name="DetailsBid4">#REF!</definedName>
    <definedName name="DetailsBidRange">#REF!</definedName>
    <definedName name="deuda">[117]deuda!$A$1:$IV$65536</definedName>
    <definedName name="deuda2">[144]deuda!$A$1:$IV$65536</definedName>
    <definedName name="DEX">#REF!</definedName>
    <definedName name="df">#REF!</definedName>
    <definedName name="dfa" localSheetId="39">{"TAB1",#N/A,TRUE,"GENERAL";"TAB2",#N/A,TRUE,"GENERAL";"TAB3",#N/A,TRUE,"GENERAL";"TAB4",#N/A,TRUE,"GENERAL";"TAB5",#N/A,TRUE,"GENERAL"}</definedName>
    <definedName name="dfa" localSheetId="20">{"TAB1",#N/A,TRUE,"GENERAL";"TAB2",#N/A,TRUE,"GENERAL";"TAB3",#N/A,TRUE,"GENERAL";"TAB4",#N/A,TRUE,"GENERAL";"TAB5",#N/A,TRUE,"GENERAL"}</definedName>
    <definedName name="dfa" localSheetId="21">{"TAB1",#N/A,TRUE,"GENERAL";"TAB2",#N/A,TRUE,"GENERAL";"TAB3",#N/A,TRUE,"GENERAL";"TAB4",#N/A,TRUE,"GENERAL";"TAB5",#N/A,TRUE,"GENERAL"}</definedName>
    <definedName name="dfa" localSheetId="9">{"TAB1",#N/A,TRUE,"GENERAL";"TAB2",#N/A,TRUE,"GENERAL";"TAB3",#N/A,TRUE,"GENERAL";"TAB4",#N/A,TRUE,"GENERAL";"TAB5",#N/A,TRUE,"GENERAL"}</definedName>
    <definedName name="dfa" localSheetId="19">{"TAB1",#N/A,TRUE,"GENERAL";"TAB2",#N/A,TRUE,"GENERAL";"TAB3",#N/A,TRUE,"GENERAL";"TAB4",#N/A,TRUE,"GENERAL";"TAB5",#N/A,TRUE,"GENERAL"}</definedName>
    <definedName name="dfa" localSheetId="28">{"TAB1",#N/A,TRUE,"GENERAL";"TAB2",#N/A,TRUE,"GENERAL";"TAB3",#N/A,TRUE,"GENERAL";"TAB4",#N/A,TRUE,"GENERAL";"TAB5",#N/A,TRUE,"GENERAL"}</definedName>
    <definedName name="dfa" localSheetId="29">{"TAB1",#N/A,TRUE,"GENERAL";"TAB2",#N/A,TRUE,"GENERAL";"TAB3",#N/A,TRUE,"GENERAL";"TAB4",#N/A,TRUE,"GENERAL";"TAB5",#N/A,TRUE,"GENERAL"}</definedName>
    <definedName name="dfa">{"TAB1",#N/A,TRUE,"GENERAL";"TAB2",#N/A,TRUE,"GENERAL";"TAB3",#N/A,TRUE,"GENERAL";"TAB4",#N/A,TRUE,"GENERAL";"TAB5",#N/A,TRUE,"GENERAL"}</definedName>
    <definedName name="dfasd" localSheetId="39">{"TAB1",#N/A,TRUE,"GENERAL";"TAB2",#N/A,TRUE,"GENERAL";"TAB3",#N/A,TRUE,"GENERAL";"TAB4",#N/A,TRUE,"GENERAL";"TAB5",#N/A,TRUE,"GENERAL"}</definedName>
    <definedName name="dfasd" localSheetId="20">{"TAB1",#N/A,TRUE,"GENERAL";"TAB2",#N/A,TRUE,"GENERAL";"TAB3",#N/A,TRUE,"GENERAL";"TAB4",#N/A,TRUE,"GENERAL";"TAB5",#N/A,TRUE,"GENERAL"}</definedName>
    <definedName name="dfasd" localSheetId="21">{"TAB1",#N/A,TRUE,"GENERAL";"TAB2",#N/A,TRUE,"GENERAL";"TAB3",#N/A,TRUE,"GENERAL";"TAB4",#N/A,TRUE,"GENERAL";"TAB5",#N/A,TRUE,"GENERAL"}</definedName>
    <definedName name="dfasd" localSheetId="9">{"TAB1",#N/A,TRUE,"GENERAL";"TAB2",#N/A,TRUE,"GENERAL";"TAB3",#N/A,TRUE,"GENERAL";"TAB4",#N/A,TRUE,"GENERAL";"TAB5",#N/A,TRUE,"GENERAL"}</definedName>
    <definedName name="dfasd" localSheetId="19">{"TAB1",#N/A,TRUE,"GENERAL";"TAB2",#N/A,TRUE,"GENERAL";"TAB3",#N/A,TRUE,"GENERAL";"TAB4",#N/A,TRUE,"GENERAL";"TAB5",#N/A,TRUE,"GENERAL"}</definedName>
    <definedName name="dfasd" localSheetId="28">{"TAB1",#N/A,TRUE,"GENERAL";"TAB2",#N/A,TRUE,"GENERAL";"TAB3",#N/A,TRUE,"GENERAL";"TAB4",#N/A,TRUE,"GENERAL";"TAB5",#N/A,TRUE,"GENERAL"}</definedName>
    <definedName name="dfasd" localSheetId="29">{"TAB1",#N/A,TRUE,"GENERAL";"TAB2",#N/A,TRUE,"GENERAL";"TAB3",#N/A,TRUE,"GENERAL";"TAB4",#N/A,TRUE,"GENERAL";"TAB5",#N/A,TRUE,"GENERAL"}</definedName>
    <definedName name="dfasd">{"TAB1",#N/A,TRUE,"GENERAL";"TAB2",#N/A,TRUE,"GENERAL";"TAB3",#N/A,TRUE,"GENERAL";"TAB4",#N/A,TRUE,"GENERAL";"TAB5",#N/A,TRUE,"GENERAL"}</definedName>
    <definedName name="DFASDF">#REF!</definedName>
    <definedName name="DFBNJ" localSheetId="39">{"via1",#N/A,TRUE,"general";"via2",#N/A,TRUE,"general";"via3",#N/A,TRUE,"general"}</definedName>
    <definedName name="DFBNJ" localSheetId="20">{"via1",#N/A,TRUE,"general";"via2",#N/A,TRUE,"general";"via3",#N/A,TRUE,"general"}</definedName>
    <definedName name="DFBNJ" localSheetId="21">{"via1",#N/A,TRUE,"general";"via2",#N/A,TRUE,"general";"via3",#N/A,TRUE,"general"}</definedName>
    <definedName name="DFBNJ" localSheetId="9">{"via1",#N/A,TRUE,"general";"via2",#N/A,TRUE,"general";"via3",#N/A,TRUE,"general"}</definedName>
    <definedName name="DFBNJ" localSheetId="19">{"via1",#N/A,TRUE,"general";"via2",#N/A,TRUE,"general";"via3",#N/A,TRUE,"general"}</definedName>
    <definedName name="DFBNJ" localSheetId="28">{"via1",#N/A,TRUE,"general";"via2",#N/A,TRUE,"general";"via3",#N/A,TRUE,"general"}</definedName>
    <definedName name="DFBNJ" localSheetId="29">{"via1",#N/A,TRUE,"general";"via2",#N/A,TRUE,"general";"via3",#N/A,TRUE,"general"}</definedName>
    <definedName name="DFBNJ">{"via1",#N/A,TRUE,"general";"via2",#N/A,TRUE,"general";"via3",#N/A,TRUE,"general"}</definedName>
    <definedName name="dfcvc">#REF!</definedName>
    <definedName name="dfdaa">#REF!</definedName>
    <definedName name="dfdf">#REF!</definedName>
    <definedName name="dfds" localSheetId="39">{"TAB1",#N/A,TRUE,"GENERAL";"TAB2",#N/A,TRUE,"GENERAL";"TAB3",#N/A,TRUE,"GENERAL";"TAB4",#N/A,TRUE,"GENERAL";"TAB5",#N/A,TRUE,"GENERAL"}</definedName>
    <definedName name="dfds" localSheetId="20">{"TAB1",#N/A,TRUE,"GENERAL";"TAB2",#N/A,TRUE,"GENERAL";"TAB3",#N/A,TRUE,"GENERAL";"TAB4",#N/A,TRUE,"GENERAL";"TAB5",#N/A,TRUE,"GENERAL"}</definedName>
    <definedName name="dfds" localSheetId="21">{"TAB1",#N/A,TRUE,"GENERAL";"TAB2",#N/A,TRUE,"GENERAL";"TAB3",#N/A,TRUE,"GENERAL";"TAB4",#N/A,TRUE,"GENERAL";"TAB5",#N/A,TRUE,"GENERAL"}</definedName>
    <definedName name="dfds" localSheetId="9">{"TAB1",#N/A,TRUE,"GENERAL";"TAB2",#N/A,TRUE,"GENERAL";"TAB3",#N/A,TRUE,"GENERAL";"TAB4",#N/A,TRUE,"GENERAL";"TAB5",#N/A,TRUE,"GENERAL"}</definedName>
    <definedName name="dfds" localSheetId="19">{"TAB1",#N/A,TRUE,"GENERAL";"TAB2",#N/A,TRUE,"GENERAL";"TAB3",#N/A,TRUE,"GENERAL";"TAB4",#N/A,TRUE,"GENERAL";"TAB5",#N/A,TRUE,"GENERAL"}</definedName>
    <definedName name="dfds" localSheetId="28">{"TAB1",#N/A,TRUE,"GENERAL";"TAB2",#N/A,TRUE,"GENERAL";"TAB3",#N/A,TRUE,"GENERAL";"TAB4",#N/A,TRUE,"GENERAL";"TAB5",#N/A,TRUE,"GENERAL"}</definedName>
    <definedName name="dfds" localSheetId="29">{"TAB1",#N/A,TRUE,"GENERAL";"TAB2",#N/A,TRUE,"GENERAL";"TAB3",#N/A,TRUE,"GENERAL";"TAB4",#N/A,TRUE,"GENERAL";"TAB5",#N/A,TRUE,"GENERAL"}</definedName>
    <definedName name="dfds">{"TAB1",#N/A,TRUE,"GENERAL";"TAB2",#N/A,TRUE,"GENERAL";"TAB3",#N/A,TRUE,"GENERAL";"TAB4",#N/A,TRUE,"GENERAL";"TAB5",#N/A,TRUE,"GENERAL"}</definedName>
    <definedName name="dfdsfi" localSheetId="39">{"via1",#N/A,TRUE,"general";"via2",#N/A,TRUE,"general";"via3",#N/A,TRUE,"general"}</definedName>
    <definedName name="dfdsfi" localSheetId="20">{"via1",#N/A,TRUE,"general";"via2",#N/A,TRUE,"general";"via3",#N/A,TRUE,"general"}</definedName>
    <definedName name="dfdsfi" localSheetId="21">{"via1",#N/A,TRUE,"general";"via2",#N/A,TRUE,"general";"via3",#N/A,TRUE,"general"}</definedName>
    <definedName name="dfdsfi" localSheetId="9">{"via1",#N/A,TRUE,"general";"via2",#N/A,TRUE,"general";"via3",#N/A,TRUE,"general"}</definedName>
    <definedName name="dfdsfi" localSheetId="19">{"via1",#N/A,TRUE,"general";"via2",#N/A,TRUE,"general";"via3",#N/A,TRUE,"general"}</definedName>
    <definedName name="dfdsfi" localSheetId="28">{"via1",#N/A,TRUE,"general";"via2",#N/A,TRUE,"general";"via3",#N/A,TRUE,"general"}</definedName>
    <definedName name="dfdsfi" localSheetId="29">{"via1",#N/A,TRUE,"general";"via2",#N/A,TRUE,"general";"via3",#N/A,TRUE,"general"}</definedName>
    <definedName name="dfdsfi">{"via1",#N/A,TRUE,"general";"via2",#N/A,TRUE,"general";"via3",#N/A,TRUE,"general"}</definedName>
    <definedName name="dffffe" localSheetId="39">{"TAB1",#N/A,TRUE,"GENERAL";"TAB2",#N/A,TRUE,"GENERAL";"TAB3",#N/A,TRUE,"GENERAL";"TAB4",#N/A,TRUE,"GENERAL";"TAB5",#N/A,TRUE,"GENERAL"}</definedName>
    <definedName name="dffffe" localSheetId="20">{"TAB1",#N/A,TRUE,"GENERAL";"TAB2",#N/A,TRUE,"GENERAL";"TAB3",#N/A,TRUE,"GENERAL";"TAB4",#N/A,TRUE,"GENERAL";"TAB5",#N/A,TRUE,"GENERAL"}</definedName>
    <definedName name="dffffe" localSheetId="21">{"TAB1",#N/A,TRUE,"GENERAL";"TAB2",#N/A,TRUE,"GENERAL";"TAB3",#N/A,TRUE,"GENERAL";"TAB4",#N/A,TRUE,"GENERAL";"TAB5",#N/A,TRUE,"GENERAL"}</definedName>
    <definedName name="dffffe" localSheetId="9">{"TAB1",#N/A,TRUE,"GENERAL";"TAB2",#N/A,TRUE,"GENERAL";"TAB3",#N/A,TRUE,"GENERAL";"TAB4",#N/A,TRUE,"GENERAL";"TAB5",#N/A,TRUE,"GENERAL"}</definedName>
    <definedName name="dffffe" localSheetId="19">{"TAB1",#N/A,TRUE,"GENERAL";"TAB2",#N/A,TRUE,"GENERAL";"TAB3",#N/A,TRUE,"GENERAL";"TAB4",#N/A,TRUE,"GENERAL";"TAB5",#N/A,TRUE,"GENERAL"}</definedName>
    <definedName name="dffffe" localSheetId="28">{"TAB1",#N/A,TRUE,"GENERAL";"TAB2",#N/A,TRUE,"GENERAL";"TAB3",#N/A,TRUE,"GENERAL";"TAB4",#N/A,TRUE,"GENERAL";"TAB5",#N/A,TRUE,"GENERAL"}</definedName>
    <definedName name="dffffe" localSheetId="29">{"TAB1",#N/A,TRUE,"GENERAL";"TAB2",#N/A,TRUE,"GENERAL";"TAB3",#N/A,TRUE,"GENERAL";"TAB4",#N/A,TRUE,"GENERAL";"TAB5",#N/A,TRUE,"GENERAL"}</definedName>
    <definedName name="dffffe">{"TAB1",#N/A,TRUE,"GENERAL";"TAB2",#N/A,TRUE,"GENERAL";"TAB3",#N/A,TRUE,"GENERAL";"TAB4",#N/A,TRUE,"GENERAL";"TAB5",#N/A,TRUE,"GENERAL"}</definedName>
    <definedName name="DFG" localSheetId="39">{"via1",#N/A,TRUE,"general";"via2",#N/A,TRUE,"general";"via3",#N/A,TRUE,"general"}</definedName>
    <definedName name="DFG" localSheetId="20">{"via1",#N/A,TRUE,"general";"via2",#N/A,TRUE,"general";"via3",#N/A,TRUE,"general"}</definedName>
    <definedName name="DFG" localSheetId="21">{"via1",#N/A,TRUE,"general";"via2",#N/A,TRUE,"general";"via3",#N/A,TRUE,"general"}</definedName>
    <definedName name="DFG" localSheetId="9">{"via1",#N/A,TRUE,"general";"via2",#N/A,TRUE,"general";"via3",#N/A,TRUE,"general"}</definedName>
    <definedName name="DFG" localSheetId="19">{"via1",#N/A,TRUE,"general";"via2",#N/A,TRUE,"general";"via3",#N/A,TRUE,"general"}</definedName>
    <definedName name="DFG" localSheetId="28">{"via1",#N/A,TRUE,"general";"via2",#N/A,TRUE,"general";"via3",#N/A,TRUE,"general"}</definedName>
    <definedName name="DFG" localSheetId="29">{"via1",#N/A,TRUE,"general";"via2",#N/A,TRUE,"general";"via3",#N/A,TRUE,"general"}</definedName>
    <definedName name="DFG">{"via1",#N/A,TRUE,"general";"via2",#N/A,TRUE,"general";"via3",#N/A,TRUE,"general"}</definedName>
    <definedName name="DFGBHJ" localSheetId="39">{"via1",#N/A,TRUE,"general";"via2",#N/A,TRUE,"general";"via3",#N/A,TRUE,"general"}</definedName>
    <definedName name="DFGBHJ" localSheetId="20">{"via1",#N/A,TRUE,"general";"via2",#N/A,TRUE,"general";"via3",#N/A,TRUE,"general"}</definedName>
    <definedName name="DFGBHJ" localSheetId="21">{"via1",#N/A,TRUE,"general";"via2",#N/A,TRUE,"general";"via3",#N/A,TRUE,"general"}</definedName>
    <definedName name="DFGBHJ" localSheetId="9">{"via1",#N/A,TRUE,"general";"via2",#N/A,TRUE,"general";"via3",#N/A,TRUE,"general"}</definedName>
    <definedName name="DFGBHJ" localSheetId="19">{"via1",#N/A,TRUE,"general";"via2",#N/A,TRUE,"general";"via3",#N/A,TRUE,"general"}</definedName>
    <definedName name="DFGBHJ" localSheetId="28">{"via1",#N/A,TRUE,"general";"via2",#N/A,TRUE,"general";"via3",#N/A,TRUE,"general"}</definedName>
    <definedName name="DFGBHJ" localSheetId="29">{"via1",#N/A,TRUE,"general";"via2",#N/A,TRUE,"general";"via3",#N/A,TRUE,"general"}</definedName>
    <definedName name="DFGBHJ">{"via1",#N/A,TRUE,"general";"via2",#N/A,TRUE,"general";"via3",#N/A,TRUE,"general"}</definedName>
    <definedName name="DFGDFG" localSheetId="39">{"via1",#N/A,TRUE,"general";"via2",#N/A,TRUE,"general";"via3",#N/A,TRUE,"general"}</definedName>
    <definedName name="DFGDFG" localSheetId="20">{"via1",#N/A,TRUE,"general";"via2",#N/A,TRUE,"general";"via3",#N/A,TRUE,"general"}</definedName>
    <definedName name="DFGDFG" localSheetId="21">{"via1",#N/A,TRUE,"general";"via2",#N/A,TRUE,"general";"via3",#N/A,TRUE,"general"}</definedName>
    <definedName name="DFGDFG" localSheetId="9">{"via1",#N/A,TRUE,"general";"via2",#N/A,TRUE,"general";"via3",#N/A,TRUE,"general"}</definedName>
    <definedName name="DFGDFG" localSheetId="19">{"via1",#N/A,TRUE,"general";"via2",#N/A,TRUE,"general";"via3",#N/A,TRUE,"general"}</definedName>
    <definedName name="DFGDFG" localSheetId="28">{"via1",#N/A,TRUE,"general";"via2",#N/A,TRUE,"general";"via3",#N/A,TRUE,"general"}</definedName>
    <definedName name="DFGDFG" localSheetId="29">{"via1",#N/A,TRUE,"general";"via2",#N/A,TRUE,"general";"via3",#N/A,TRUE,"general"}</definedName>
    <definedName name="DFGDFG">{"via1",#N/A,TRUE,"general";"via2",#N/A,TRUE,"general";"via3",#N/A,TRUE,"general"}</definedName>
    <definedName name="DFGDYYB" localSheetId="39">{"TAB1",#N/A,TRUE,"GENERAL";"TAB2",#N/A,TRUE,"GENERAL";"TAB3",#N/A,TRUE,"GENERAL";"TAB4",#N/A,TRUE,"GENERAL";"TAB5",#N/A,TRUE,"GENERAL"}</definedName>
    <definedName name="DFGDYYB" localSheetId="20">{"TAB1",#N/A,TRUE,"GENERAL";"TAB2",#N/A,TRUE,"GENERAL";"TAB3",#N/A,TRUE,"GENERAL";"TAB4",#N/A,TRUE,"GENERAL";"TAB5",#N/A,TRUE,"GENERAL"}</definedName>
    <definedName name="DFGDYYB" localSheetId="21">{"TAB1",#N/A,TRUE,"GENERAL";"TAB2",#N/A,TRUE,"GENERAL";"TAB3",#N/A,TRUE,"GENERAL";"TAB4",#N/A,TRUE,"GENERAL";"TAB5",#N/A,TRUE,"GENERAL"}</definedName>
    <definedName name="DFGDYYB" localSheetId="9">{"TAB1",#N/A,TRUE,"GENERAL";"TAB2",#N/A,TRUE,"GENERAL";"TAB3",#N/A,TRUE,"GENERAL";"TAB4",#N/A,TRUE,"GENERAL";"TAB5",#N/A,TRUE,"GENERAL"}</definedName>
    <definedName name="DFGDYYB" localSheetId="19">{"TAB1",#N/A,TRUE,"GENERAL";"TAB2",#N/A,TRUE,"GENERAL";"TAB3",#N/A,TRUE,"GENERAL";"TAB4",#N/A,TRUE,"GENERAL";"TAB5",#N/A,TRUE,"GENERAL"}</definedName>
    <definedName name="DFGDYYB" localSheetId="28">{"TAB1",#N/A,TRUE,"GENERAL";"TAB2",#N/A,TRUE,"GENERAL";"TAB3",#N/A,TRUE,"GENERAL";"TAB4",#N/A,TRUE,"GENERAL";"TAB5",#N/A,TRUE,"GENERAL"}</definedName>
    <definedName name="DFGDYYB" localSheetId="29">{"TAB1",#N/A,TRUE,"GENERAL";"TAB2",#N/A,TRUE,"GENERAL";"TAB3",#N/A,TRUE,"GENERAL";"TAB4",#N/A,TRUE,"GENERAL";"TAB5",#N/A,TRUE,"GENERAL"}</definedName>
    <definedName name="DFGDYYB">{"TAB1",#N/A,TRUE,"GENERAL";"TAB2",#N/A,TRUE,"GENERAL";"TAB3",#N/A,TRUE,"GENERAL";"TAB4",#N/A,TRUE,"GENERAL";"TAB5",#N/A,TRUE,"GENERAL"}</definedName>
    <definedName name="dfgf" localSheetId="39">{"via1",#N/A,TRUE,"general";"via2",#N/A,TRUE,"general";"via3",#N/A,TRUE,"general"}</definedName>
    <definedName name="dfgf" localSheetId="20">{"via1",#N/A,TRUE,"general";"via2",#N/A,TRUE,"general";"via3",#N/A,TRUE,"general"}</definedName>
    <definedName name="dfgf" localSheetId="21">{"via1",#N/A,TRUE,"general";"via2",#N/A,TRUE,"general";"via3",#N/A,TRUE,"general"}</definedName>
    <definedName name="dfgf" localSheetId="9">{"via1",#N/A,TRUE,"general";"via2",#N/A,TRUE,"general";"via3",#N/A,TRUE,"general"}</definedName>
    <definedName name="dfgf" localSheetId="19">{"via1",#N/A,TRUE,"general";"via2",#N/A,TRUE,"general";"via3",#N/A,TRUE,"general"}</definedName>
    <definedName name="dfgf" localSheetId="28">{"via1",#N/A,TRUE,"general";"via2",#N/A,TRUE,"general";"via3",#N/A,TRUE,"general"}</definedName>
    <definedName name="dfgf" localSheetId="29">{"via1",#N/A,TRUE,"general";"via2",#N/A,TRUE,"general";"via3",#N/A,TRUE,"general"}</definedName>
    <definedName name="dfgf">{"via1",#N/A,TRUE,"general";"via2",#N/A,TRUE,"general";"via3",#N/A,TRUE,"general"}</definedName>
    <definedName name="DFGFBOP" localSheetId="39">{"TAB1",#N/A,TRUE,"GENERAL";"TAB2",#N/A,TRUE,"GENERAL";"TAB3",#N/A,TRUE,"GENERAL";"TAB4",#N/A,TRUE,"GENERAL";"TAB5",#N/A,TRUE,"GENERAL"}</definedName>
    <definedName name="DFGFBOP" localSheetId="20">{"TAB1",#N/A,TRUE,"GENERAL";"TAB2",#N/A,TRUE,"GENERAL";"TAB3",#N/A,TRUE,"GENERAL";"TAB4",#N/A,TRUE,"GENERAL";"TAB5",#N/A,TRUE,"GENERAL"}</definedName>
    <definedName name="DFGFBOP" localSheetId="21">{"TAB1",#N/A,TRUE,"GENERAL";"TAB2",#N/A,TRUE,"GENERAL";"TAB3",#N/A,TRUE,"GENERAL";"TAB4",#N/A,TRUE,"GENERAL";"TAB5",#N/A,TRUE,"GENERAL"}</definedName>
    <definedName name="DFGFBOP" localSheetId="9">{"TAB1",#N/A,TRUE,"GENERAL";"TAB2",#N/A,TRUE,"GENERAL";"TAB3",#N/A,TRUE,"GENERAL";"TAB4",#N/A,TRUE,"GENERAL";"TAB5",#N/A,TRUE,"GENERAL"}</definedName>
    <definedName name="DFGFBOP" localSheetId="19">{"TAB1",#N/A,TRUE,"GENERAL";"TAB2",#N/A,TRUE,"GENERAL";"TAB3",#N/A,TRUE,"GENERAL";"TAB4",#N/A,TRUE,"GENERAL";"TAB5",#N/A,TRUE,"GENERAL"}</definedName>
    <definedName name="DFGFBOP" localSheetId="28">{"TAB1",#N/A,TRUE,"GENERAL";"TAB2",#N/A,TRUE,"GENERAL";"TAB3",#N/A,TRUE,"GENERAL";"TAB4",#N/A,TRUE,"GENERAL";"TAB5",#N/A,TRUE,"GENERAL"}</definedName>
    <definedName name="DFGFBOP" localSheetId="29">{"TAB1",#N/A,TRUE,"GENERAL";"TAB2",#N/A,TRUE,"GENERAL";"TAB3",#N/A,TRUE,"GENERAL";"TAB4",#N/A,TRUE,"GENERAL";"TAB5",#N/A,TRUE,"GENERAL"}</definedName>
    <definedName name="DFGFBOP">{"TAB1",#N/A,TRUE,"GENERAL";"TAB2",#N/A,TRUE,"GENERAL";"TAB3",#N/A,TRUE,"GENERAL";"TAB4",#N/A,TRUE,"GENERAL";"TAB5",#N/A,TRUE,"GENERAL"}</definedName>
    <definedName name="DFGFDG" localSheetId="39">{"TAB1",#N/A,TRUE,"GENERAL";"TAB2",#N/A,TRUE,"GENERAL";"TAB3",#N/A,TRUE,"GENERAL";"TAB4",#N/A,TRUE,"GENERAL";"TAB5",#N/A,TRUE,"GENERAL"}</definedName>
    <definedName name="DFGFDG" localSheetId="20">{"TAB1",#N/A,TRUE,"GENERAL";"TAB2",#N/A,TRUE,"GENERAL";"TAB3",#N/A,TRUE,"GENERAL";"TAB4",#N/A,TRUE,"GENERAL";"TAB5",#N/A,TRUE,"GENERAL"}</definedName>
    <definedName name="DFGFDG" localSheetId="21">{"TAB1",#N/A,TRUE,"GENERAL";"TAB2",#N/A,TRUE,"GENERAL";"TAB3",#N/A,TRUE,"GENERAL";"TAB4",#N/A,TRUE,"GENERAL";"TAB5",#N/A,TRUE,"GENERAL"}</definedName>
    <definedName name="DFGFDG" localSheetId="9">{"TAB1",#N/A,TRUE,"GENERAL";"TAB2",#N/A,TRUE,"GENERAL";"TAB3",#N/A,TRUE,"GENERAL";"TAB4",#N/A,TRUE,"GENERAL";"TAB5",#N/A,TRUE,"GENERAL"}</definedName>
    <definedName name="DFGFDG" localSheetId="19">{"TAB1",#N/A,TRUE,"GENERAL";"TAB2",#N/A,TRUE,"GENERAL";"TAB3",#N/A,TRUE,"GENERAL";"TAB4",#N/A,TRUE,"GENERAL";"TAB5",#N/A,TRUE,"GENERAL"}</definedName>
    <definedName name="DFGFDG" localSheetId="28">{"TAB1",#N/A,TRUE,"GENERAL";"TAB2",#N/A,TRUE,"GENERAL";"TAB3",#N/A,TRUE,"GENERAL";"TAB4",#N/A,TRUE,"GENERAL";"TAB5",#N/A,TRUE,"GENERAL"}</definedName>
    <definedName name="DFGFDG" localSheetId="29">{"TAB1",#N/A,TRUE,"GENERAL";"TAB2",#N/A,TRUE,"GENERAL";"TAB3",#N/A,TRUE,"GENERAL";"TAB4",#N/A,TRUE,"GENERAL";"TAB5",#N/A,TRUE,"GENERAL"}</definedName>
    <definedName name="DFGFDG">{"TAB1",#N/A,TRUE,"GENERAL";"TAB2",#N/A,TRUE,"GENERAL";"TAB3",#N/A,TRUE,"GENERAL";"TAB4",#N/A,TRUE,"GENERAL";"TAB5",#N/A,TRUE,"GENERAL"}</definedName>
    <definedName name="DFGV" localSheetId="39">{"TAB1",#N/A,TRUE,"GENERAL";"TAB2",#N/A,TRUE,"GENERAL";"TAB3",#N/A,TRUE,"GENERAL";"TAB4",#N/A,TRUE,"GENERAL";"TAB5",#N/A,TRUE,"GENERAL"}</definedName>
    <definedName name="DFGV" localSheetId="20">{"TAB1",#N/A,TRUE,"GENERAL";"TAB2",#N/A,TRUE,"GENERAL";"TAB3",#N/A,TRUE,"GENERAL";"TAB4",#N/A,TRUE,"GENERAL";"TAB5",#N/A,TRUE,"GENERAL"}</definedName>
    <definedName name="DFGV" localSheetId="21">{"TAB1",#N/A,TRUE,"GENERAL";"TAB2",#N/A,TRUE,"GENERAL";"TAB3",#N/A,TRUE,"GENERAL";"TAB4",#N/A,TRUE,"GENERAL";"TAB5",#N/A,TRUE,"GENERAL"}</definedName>
    <definedName name="DFGV" localSheetId="9">{"TAB1",#N/A,TRUE,"GENERAL";"TAB2",#N/A,TRUE,"GENERAL";"TAB3",#N/A,TRUE,"GENERAL";"TAB4",#N/A,TRUE,"GENERAL";"TAB5",#N/A,TRUE,"GENERAL"}</definedName>
    <definedName name="DFGV" localSheetId="19">{"TAB1",#N/A,TRUE,"GENERAL";"TAB2",#N/A,TRUE,"GENERAL";"TAB3",#N/A,TRUE,"GENERAL";"TAB4",#N/A,TRUE,"GENERAL";"TAB5",#N/A,TRUE,"GENERAL"}</definedName>
    <definedName name="DFGV" localSheetId="28">{"TAB1",#N/A,TRUE,"GENERAL";"TAB2",#N/A,TRUE,"GENERAL";"TAB3",#N/A,TRUE,"GENERAL";"TAB4",#N/A,TRUE,"GENERAL";"TAB5",#N/A,TRUE,"GENERAL"}</definedName>
    <definedName name="DFGV" localSheetId="29">{"TAB1",#N/A,TRUE,"GENERAL";"TAB2",#N/A,TRUE,"GENERAL";"TAB3",#N/A,TRUE,"GENERAL";"TAB4",#N/A,TRUE,"GENERAL";"TAB5",#N/A,TRUE,"GENERAL"}</definedName>
    <definedName name="DFGV">{"TAB1",#N/A,TRUE,"GENERAL";"TAB2",#N/A,TRUE,"GENERAL";"TAB3",#N/A,TRUE,"GENERAL";"TAB4",#N/A,TRUE,"GENERAL";"TAB5",#N/A,TRUE,"GENERAL"}</definedName>
    <definedName name="dfgypuj" localSheetId="39">{"TAB1",#N/A,TRUE,"GENERAL";"TAB2",#N/A,TRUE,"GENERAL";"TAB3",#N/A,TRUE,"GENERAL";"TAB4",#N/A,TRUE,"GENERAL";"TAB5",#N/A,TRUE,"GENERAL"}</definedName>
    <definedName name="dfgypuj" localSheetId="20">{"TAB1",#N/A,TRUE,"GENERAL";"TAB2",#N/A,TRUE,"GENERAL";"TAB3",#N/A,TRUE,"GENERAL";"TAB4",#N/A,TRUE,"GENERAL";"TAB5",#N/A,TRUE,"GENERAL"}</definedName>
    <definedName name="dfgypuj" localSheetId="21">{"TAB1",#N/A,TRUE,"GENERAL";"TAB2",#N/A,TRUE,"GENERAL";"TAB3",#N/A,TRUE,"GENERAL";"TAB4",#N/A,TRUE,"GENERAL";"TAB5",#N/A,TRUE,"GENERAL"}</definedName>
    <definedName name="dfgypuj" localSheetId="9">{"TAB1",#N/A,TRUE,"GENERAL";"TAB2",#N/A,TRUE,"GENERAL";"TAB3",#N/A,TRUE,"GENERAL";"TAB4",#N/A,TRUE,"GENERAL";"TAB5",#N/A,TRUE,"GENERAL"}</definedName>
    <definedName name="dfgypuj" localSheetId="19">{"TAB1",#N/A,TRUE,"GENERAL";"TAB2",#N/A,TRUE,"GENERAL";"TAB3",#N/A,TRUE,"GENERAL";"TAB4",#N/A,TRUE,"GENERAL";"TAB5",#N/A,TRUE,"GENERAL"}</definedName>
    <definedName name="dfgypuj" localSheetId="28">{"TAB1",#N/A,TRUE,"GENERAL";"TAB2",#N/A,TRUE,"GENERAL";"TAB3",#N/A,TRUE,"GENERAL";"TAB4",#N/A,TRUE,"GENERAL";"TAB5",#N/A,TRUE,"GENERAL"}</definedName>
    <definedName name="dfgypuj" localSheetId="29">{"TAB1",#N/A,TRUE,"GENERAL";"TAB2",#N/A,TRUE,"GENERAL";"TAB3",#N/A,TRUE,"GENERAL";"TAB4",#N/A,TRUE,"GENERAL";"TAB5",#N/A,TRUE,"GENERAL"}</definedName>
    <definedName name="dfgypuj">{"TAB1",#N/A,TRUE,"GENERAL";"TAB2",#N/A,TRUE,"GENERAL";"TAB3",#N/A,TRUE,"GENERAL";"TAB4",#N/A,TRUE,"GENERAL";"TAB5",#N/A,TRUE,"GENERAL"}</definedName>
    <definedName name="dfh" localSheetId="39">{"TAB1",#N/A,TRUE,"GENERAL";"TAB2",#N/A,TRUE,"GENERAL";"TAB3",#N/A,TRUE,"GENERAL";"TAB4",#N/A,TRUE,"GENERAL";"TAB5",#N/A,TRUE,"GENERAL"}</definedName>
    <definedName name="dfh" localSheetId="20">{"TAB1",#N/A,TRUE,"GENERAL";"TAB2",#N/A,TRUE,"GENERAL";"TAB3",#N/A,TRUE,"GENERAL";"TAB4",#N/A,TRUE,"GENERAL";"TAB5",#N/A,TRUE,"GENERAL"}</definedName>
    <definedName name="dfh" localSheetId="21">{"TAB1",#N/A,TRUE,"GENERAL";"TAB2",#N/A,TRUE,"GENERAL";"TAB3",#N/A,TRUE,"GENERAL";"TAB4",#N/A,TRUE,"GENERAL";"TAB5",#N/A,TRUE,"GENERAL"}</definedName>
    <definedName name="dfh" localSheetId="9">{"TAB1",#N/A,TRUE,"GENERAL";"TAB2",#N/A,TRUE,"GENERAL";"TAB3",#N/A,TRUE,"GENERAL";"TAB4",#N/A,TRUE,"GENERAL";"TAB5",#N/A,TRUE,"GENERAL"}</definedName>
    <definedName name="dfh" localSheetId="19">{"TAB1",#N/A,TRUE,"GENERAL";"TAB2",#N/A,TRUE,"GENERAL";"TAB3",#N/A,TRUE,"GENERAL";"TAB4",#N/A,TRUE,"GENERAL";"TAB5",#N/A,TRUE,"GENERAL"}</definedName>
    <definedName name="dfh" localSheetId="28">{"TAB1",#N/A,TRUE,"GENERAL";"TAB2",#N/A,TRUE,"GENERAL";"TAB3",#N/A,TRUE,"GENERAL";"TAB4",#N/A,TRUE,"GENERAL";"TAB5",#N/A,TRUE,"GENERAL"}</definedName>
    <definedName name="dfh" localSheetId="29">{"TAB1",#N/A,TRUE,"GENERAL";"TAB2",#N/A,TRUE,"GENERAL";"TAB3",#N/A,TRUE,"GENERAL";"TAB4",#N/A,TRUE,"GENERAL";"TAB5",#N/A,TRUE,"GENERAL"}</definedName>
    <definedName name="dfh">{"TAB1",#N/A,TRUE,"GENERAL";"TAB2",#N/A,TRUE,"GENERAL";"TAB3",#N/A,TRUE,"GENERAL";"TAB4",#N/A,TRUE,"GENERAL";"TAB5",#N/A,TRUE,"GENERAL"}</definedName>
    <definedName name="dfhdr" localSheetId="39">{"via1",#N/A,TRUE,"general";"via2",#N/A,TRUE,"general";"via3",#N/A,TRUE,"general"}</definedName>
    <definedName name="dfhdr" localSheetId="20">{"via1",#N/A,TRUE,"general";"via2",#N/A,TRUE,"general";"via3",#N/A,TRUE,"general"}</definedName>
    <definedName name="dfhdr" localSheetId="21">{"via1",#N/A,TRUE,"general";"via2",#N/A,TRUE,"general";"via3",#N/A,TRUE,"general"}</definedName>
    <definedName name="dfhdr" localSheetId="9">{"via1",#N/A,TRUE,"general";"via2",#N/A,TRUE,"general";"via3",#N/A,TRUE,"general"}</definedName>
    <definedName name="dfhdr" localSheetId="19">{"via1",#N/A,TRUE,"general";"via2",#N/A,TRUE,"general";"via3",#N/A,TRUE,"general"}</definedName>
    <definedName name="dfhdr" localSheetId="28">{"via1",#N/A,TRUE,"general";"via2",#N/A,TRUE,"general";"via3",#N/A,TRUE,"general"}</definedName>
    <definedName name="dfhdr" localSheetId="29">{"via1",#N/A,TRUE,"general";"via2",#N/A,TRUE,"general";"via3",#N/A,TRUE,"general"}</definedName>
    <definedName name="dfhdr">{"via1",#N/A,TRUE,"general";"via2",#N/A,TRUE,"general";"via3",#N/A,TRUE,"general"}</definedName>
    <definedName name="dfhgh" localSheetId="39">{"via1",#N/A,TRUE,"general";"via2",#N/A,TRUE,"general";"via3",#N/A,TRUE,"general"}</definedName>
    <definedName name="dfhgh" localSheetId="20">{"via1",#N/A,TRUE,"general";"via2",#N/A,TRUE,"general";"via3",#N/A,TRUE,"general"}</definedName>
    <definedName name="dfhgh" localSheetId="21">{"via1",#N/A,TRUE,"general";"via2",#N/A,TRUE,"general";"via3",#N/A,TRUE,"general"}</definedName>
    <definedName name="dfhgh" localSheetId="9">{"via1",#N/A,TRUE,"general";"via2",#N/A,TRUE,"general";"via3",#N/A,TRUE,"general"}</definedName>
    <definedName name="dfhgh" localSheetId="19">{"via1",#N/A,TRUE,"general";"via2",#N/A,TRUE,"general";"via3",#N/A,TRUE,"general"}</definedName>
    <definedName name="dfhgh" localSheetId="28">{"via1",#N/A,TRUE,"general";"via2",#N/A,TRUE,"general";"via3",#N/A,TRUE,"general"}</definedName>
    <definedName name="dfhgh" localSheetId="29">{"via1",#N/A,TRUE,"general";"via2",#N/A,TRUE,"general";"via3",#N/A,TRUE,"general"}</definedName>
    <definedName name="dfhgh">{"via1",#N/A,TRUE,"general";"via2",#N/A,TRUE,"general";"via3",#N/A,TRUE,"general"}</definedName>
    <definedName name="dfj" localSheetId="39">{"via1",#N/A,TRUE,"general";"via2",#N/A,TRUE,"general";"via3",#N/A,TRUE,"general"}</definedName>
    <definedName name="dfj" localSheetId="20">{"via1",#N/A,TRUE,"general";"via2",#N/A,TRUE,"general";"via3",#N/A,TRUE,"general"}</definedName>
    <definedName name="dfj" localSheetId="21">{"via1",#N/A,TRUE,"general";"via2",#N/A,TRUE,"general";"via3",#N/A,TRUE,"general"}</definedName>
    <definedName name="dfj" localSheetId="9">{"via1",#N/A,TRUE,"general";"via2",#N/A,TRUE,"general";"via3",#N/A,TRUE,"general"}</definedName>
    <definedName name="dfj" localSheetId="19">{"via1",#N/A,TRUE,"general";"via2",#N/A,TRUE,"general";"via3",#N/A,TRUE,"general"}</definedName>
    <definedName name="dfj" localSheetId="28">{"via1",#N/A,TRUE,"general";"via2",#N/A,TRUE,"general";"via3",#N/A,TRUE,"general"}</definedName>
    <definedName name="dfj" localSheetId="29">{"via1",#N/A,TRUE,"general";"via2",#N/A,TRUE,"general";"via3",#N/A,TRUE,"general"}</definedName>
    <definedName name="dfj">{"via1",#N/A,TRUE,"general";"via2",#N/A,TRUE,"general";"via3",#N/A,TRUE,"general"}</definedName>
    <definedName name="DFRFRF" localSheetId="39">{"via1",#N/A,TRUE,"general";"via2",#N/A,TRUE,"general";"via3",#N/A,TRUE,"general"}</definedName>
    <definedName name="DFRFRF" localSheetId="20">{"via1",#N/A,TRUE,"general";"via2",#N/A,TRUE,"general";"via3",#N/A,TRUE,"general"}</definedName>
    <definedName name="DFRFRF" localSheetId="21">{"via1",#N/A,TRUE,"general";"via2",#N/A,TRUE,"general";"via3",#N/A,TRUE,"general"}</definedName>
    <definedName name="DFRFRF" localSheetId="9">{"via1",#N/A,TRUE,"general";"via2",#N/A,TRUE,"general";"via3",#N/A,TRUE,"general"}</definedName>
    <definedName name="DFRFRF" localSheetId="19">{"via1",#N/A,TRUE,"general";"via2",#N/A,TRUE,"general";"via3",#N/A,TRUE,"general"}</definedName>
    <definedName name="DFRFRF" localSheetId="28">{"via1",#N/A,TRUE,"general";"via2",#N/A,TRUE,"general";"via3",#N/A,TRUE,"general"}</definedName>
    <definedName name="DFRFRF" localSheetId="29">{"via1",#N/A,TRUE,"general";"via2",#N/A,TRUE,"general";"via3",#N/A,TRUE,"general"}</definedName>
    <definedName name="DFRFRF">{"via1",#N/A,TRUE,"general";"via2",#N/A,TRUE,"general";"via3",#N/A,TRUE,"general"}</definedName>
    <definedName name="DFVUI" localSheetId="39">{"via1",#N/A,TRUE,"general";"via2",#N/A,TRUE,"general";"via3",#N/A,TRUE,"general"}</definedName>
    <definedName name="DFVUI" localSheetId="20">{"via1",#N/A,TRUE,"general";"via2",#N/A,TRUE,"general";"via3",#N/A,TRUE,"general"}</definedName>
    <definedName name="DFVUI" localSheetId="21">{"via1",#N/A,TRUE,"general";"via2",#N/A,TRUE,"general";"via3",#N/A,TRUE,"general"}</definedName>
    <definedName name="DFVUI" localSheetId="9">{"via1",#N/A,TRUE,"general";"via2",#N/A,TRUE,"general";"via3",#N/A,TRUE,"general"}</definedName>
    <definedName name="DFVUI" localSheetId="19">{"via1",#N/A,TRUE,"general";"via2",#N/A,TRUE,"general";"via3",#N/A,TRUE,"general"}</definedName>
    <definedName name="DFVUI" localSheetId="28">{"via1",#N/A,TRUE,"general";"via2",#N/A,TRUE,"general";"via3",#N/A,TRUE,"general"}</definedName>
    <definedName name="DFVUI" localSheetId="29">{"via1",#N/A,TRUE,"general";"via2",#N/A,TRUE,"general";"via3",#N/A,TRUE,"general"}</definedName>
    <definedName name="DFVUI">{"via1",#N/A,TRUE,"general";"via2",#N/A,TRUE,"general";"via3",#N/A,TRUE,"general"}</definedName>
    <definedName name="dg" localSheetId="39">{"via1",#N/A,TRUE,"general";"via2",#N/A,TRUE,"general";"via3",#N/A,TRUE,"general"}</definedName>
    <definedName name="dg" localSheetId="20">{"via1",#N/A,TRUE,"general";"via2",#N/A,TRUE,"general";"via3",#N/A,TRUE,"general"}</definedName>
    <definedName name="dg" localSheetId="21">{"via1",#N/A,TRUE,"general";"via2",#N/A,TRUE,"general";"via3",#N/A,TRUE,"general"}</definedName>
    <definedName name="dg" localSheetId="9">{"via1",#N/A,TRUE,"general";"via2",#N/A,TRUE,"general";"via3",#N/A,TRUE,"general"}</definedName>
    <definedName name="dg" localSheetId="19">{"via1",#N/A,TRUE,"general";"via2",#N/A,TRUE,"general";"via3",#N/A,TRUE,"general"}</definedName>
    <definedName name="dg" localSheetId="28">{"via1",#N/A,TRUE,"general";"via2",#N/A,TRUE,"general";"via3",#N/A,TRUE,"general"}</definedName>
    <definedName name="dg" localSheetId="29">{"via1",#N/A,TRUE,"general";"via2",#N/A,TRUE,"general";"via3",#N/A,TRUE,"general"}</definedName>
    <definedName name="dg">{"via1",#N/A,TRUE,"general";"via2",#N/A,TRUE,"general";"via3",#N/A,TRUE,"general"}</definedName>
    <definedName name="dgdgr" localSheetId="39">{"via1",#N/A,TRUE,"general";"via2",#N/A,TRUE,"general";"via3",#N/A,TRUE,"general"}</definedName>
    <definedName name="dgdgr" localSheetId="20">{"via1",#N/A,TRUE,"general";"via2",#N/A,TRUE,"general";"via3",#N/A,TRUE,"general"}</definedName>
    <definedName name="dgdgr" localSheetId="21">{"via1",#N/A,TRUE,"general";"via2",#N/A,TRUE,"general";"via3",#N/A,TRUE,"general"}</definedName>
    <definedName name="dgdgr" localSheetId="9">{"via1",#N/A,TRUE,"general";"via2",#N/A,TRUE,"general";"via3",#N/A,TRUE,"general"}</definedName>
    <definedName name="dgdgr" localSheetId="19">{"via1",#N/A,TRUE,"general";"via2",#N/A,TRUE,"general";"via3",#N/A,TRUE,"general"}</definedName>
    <definedName name="dgdgr" localSheetId="28">{"via1",#N/A,TRUE,"general";"via2",#N/A,TRUE,"general";"via3",#N/A,TRUE,"general"}</definedName>
    <definedName name="dgdgr" localSheetId="29">{"via1",#N/A,TRUE,"general";"via2",#N/A,TRUE,"general";"via3",#N/A,TRUE,"general"}</definedName>
    <definedName name="dgdgr">{"via1",#N/A,TRUE,"general";"via2",#N/A,TRUE,"general";"via3",#N/A,TRUE,"general"}</definedName>
    <definedName name="dgfd" localSheetId="39">{"TAB1",#N/A,TRUE,"GENERAL";"TAB2",#N/A,TRUE,"GENERAL";"TAB3",#N/A,TRUE,"GENERAL";"TAB4",#N/A,TRUE,"GENERAL";"TAB5",#N/A,TRUE,"GENERAL"}</definedName>
    <definedName name="dgfd" localSheetId="20">{"TAB1",#N/A,TRUE,"GENERAL";"TAB2",#N/A,TRUE,"GENERAL";"TAB3",#N/A,TRUE,"GENERAL";"TAB4",#N/A,TRUE,"GENERAL";"TAB5",#N/A,TRUE,"GENERAL"}</definedName>
    <definedName name="dgfd" localSheetId="21">{"TAB1",#N/A,TRUE,"GENERAL";"TAB2",#N/A,TRUE,"GENERAL";"TAB3",#N/A,TRUE,"GENERAL";"TAB4",#N/A,TRUE,"GENERAL";"TAB5",#N/A,TRUE,"GENERAL"}</definedName>
    <definedName name="dgfd" localSheetId="9">{"TAB1",#N/A,TRUE,"GENERAL";"TAB2",#N/A,TRUE,"GENERAL";"TAB3",#N/A,TRUE,"GENERAL";"TAB4",#N/A,TRUE,"GENERAL";"TAB5",#N/A,TRUE,"GENERAL"}</definedName>
    <definedName name="dgfd" localSheetId="19">{"TAB1",#N/A,TRUE,"GENERAL";"TAB2",#N/A,TRUE,"GENERAL";"TAB3",#N/A,TRUE,"GENERAL";"TAB4",#N/A,TRUE,"GENERAL";"TAB5",#N/A,TRUE,"GENERAL"}</definedName>
    <definedName name="dgfd" localSheetId="28">{"TAB1",#N/A,TRUE,"GENERAL";"TAB2",#N/A,TRUE,"GENERAL";"TAB3",#N/A,TRUE,"GENERAL";"TAB4",#N/A,TRUE,"GENERAL";"TAB5",#N/A,TRUE,"GENERAL"}</definedName>
    <definedName name="dgfd" localSheetId="29">{"TAB1",#N/A,TRUE,"GENERAL";"TAB2",#N/A,TRUE,"GENERAL";"TAB3",#N/A,TRUE,"GENERAL";"TAB4",#N/A,TRUE,"GENERAL";"TAB5",#N/A,TRUE,"GENERAL"}</definedName>
    <definedName name="dgfd">{"TAB1",#N/A,TRUE,"GENERAL";"TAB2",#N/A,TRUE,"GENERAL";"TAB3",#N/A,TRUE,"GENERAL";"TAB4",#N/A,TRUE,"GENERAL";"TAB5",#N/A,TRUE,"GENERAL"}</definedName>
    <definedName name="DGFDFVSDF" localSheetId="39">{"via1",#N/A,TRUE,"general";"via2",#N/A,TRUE,"general";"via3",#N/A,TRUE,"general"}</definedName>
    <definedName name="DGFDFVSDF" localSheetId="20">{"via1",#N/A,TRUE,"general";"via2",#N/A,TRUE,"general";"via3",#N/A,TRUE,"general"}</definedName>
    <definedName name="DGFDFVSDF" localSheetId="21">{"via1",#N/A,TRUE,"general";"via2",#N/A,TRUE,"general";"via3",#N/A,TRUE,"general"}</definedName>
    <definedName name="DGFDFVSDF" localSheetId="9">{"via1",#N/A,TRUE,"general";"via2",#N/A,TRUE,"general";"via3",#N/A,TRUE,"general"}</definedName>
    <definedName name="DGFDFVSDF" localSheetId="19">{"via1",#N/A,TRUE,"general";"via2",#N/A,TRUE,"general";"via3",#N/A,TRUE,"general"}</definedName>
    <definedName name="DGFDFVSDF" localSheetId="28">{"via1",#N/A,TRUE,"general";"via2",#N/A,TRUE,"general";"via3",#N/A,TRUE,"general"}</definedName>
    <definedName name="DGFDFVSDF" localSheetId="29">{"via1",#N/A,TRUE,"general";"via2",#N/A,TRUE,"general";"via3",#N/A,TRUE,"general"}</definedName>
    <definedName name="DGFDFVSDF">{"via1",#N/A,TRUE,"general";"via2",#N/A,TRUE,"general";"via3",#N/A,TRUE,"general"}</definedName>
    <definedName name="dgfdg" localSheetId="39">{"via1",#N/A,TRUE,"general";"via2",#N/A,TRUE,"general";"via3",#N/A,TRUE,"general"}</definedName>
    <definedName name="dgfdg" localSheetId="20">{"via1",#N/A,TRUE,"general";"via2",#N/A,TRUE,"general";"via3",#N/A,TRUE,"general"}</definedName>
    <definedName name="dgfdg" localSheetId="21">{"via1",#N/A,TRUE,"general";"via2",#N/A,TRUE,"general";"via3",#N/A,TRUE,"general"}</definedName>
    <definedName name="dgfdg" localSheetId="9">{"via1",#N/A,TRUE,"general";"via2",#N/A,TRUE,"general";"via3",#N/A,TRUE,"general"}</definedName>
    <definedName name="dgfdg" localSheetId="19">{"via1",#N/A,TRUE,"general";"via2",#N/A,TRUE,"general";"via3",#N/A,TRUE,"general"}</definedName>
    <definedName name="dgfdg" localSheetId="28">{"via1",#N/A,TRUE,"general";"via2",#N/A,TRUE,"general";"via3",#N/A,TRUE,"general"}</definedName>
    <definedName name="dgfdg" localSheetId="29">{"via1",#N/A,TRUE,"general";"via2",#N/A,TRUE,"general";"via3",#N/A,TRUE,"general"}</definedName>
    <definedName name="dgfdg">{"via1",#N/A,TRUE,"general";"via2",#N/A,TRUE,"general";"via3",#N/A,TRUE,"general"}</definedName>
    <definedName name="DGFG" localSheetId="39">{"via1",#N/A,TRUE,"general";"via2",#N/A,TRUE,"general";"via3",#N/A,TRUE,"general"}</definedName>
    <definedName name="DGFG" localSheetId="20">{"via1",#N/A,TRUE,"general";"via2",#N/A,TRUE,"general";"via3",#N/A,TRUE,"general"}</definedName>
    <definedName name="DGFG" localSheetId="21">{"via1",#N/A,TRUE,"general";"via2",#N/A,TRUE,"general";"via3",#N/A,TRUE,"general"}</definedName>
    <definedName name="DGFG" localSheetId="9">{"via1",#N/A,TRUE,"general";"via2",#N/A,TRUE,"general";"via3",#N/A,TRUE,"general"}</definedName>
    <definedName name="DGFG" localSheetId="19">{"via1",#N/A,TRUE,"general";"via2",#N/A,TRUE,"general";"via3",#N/A,TRUE,"general"}</definedName>
    <definedName name="DGFG" localSheetId="28">{"via1",#N/A,TRUE,"general";"via2",#N/A,TRUE,"general";"via3",#N/A,TRUE,"general"}</definedName>
    <definedName name="DGFG" localSheetId="29">{"via1",#N/A,TRUE,"general";"via2",#N/A,TRUE,"general";"via3",#N/A,TRUE,"general"}</definedName>
    <definedName name="DGFG">{"via1",#N/A,TRUE,"general";"via2",#N/A,TRUE,"general";"via3",#N/A,TRUE,"general"}</definedName>
    <definedName name="dgfsado" localSheetId="39">{"TAB1",#N/A,TRUE,"GENERAL";"TAB2",#N/A,TRUE,"GENERAL";"TAB3",#N/A,TRUE,"GENERAL";"TAB4",#N/A,TRUE,"GENERAL";"TAB5",#N/A,TRUE,"GENERAL"}</definedName>
    <definedName name="dgfsado" localSheetId="20">{"TAB1",#N/A,TRUE,"GENERAL";"TAB2",#N/A,TRUE,"GENERAL";"TAB3",#N/A,TRUE,"GENERAL";"TAB4",#N/A,TRUE,"GENERAL";"TAB5",#N/A,TRUE,"GENERAL"}</definedName>
    <definedName name="dgfsado" localSheetId="21">{"TAB1",#N/A,TRUE,"GENERAL";"TAB2",#N/A,TRUE,"GENERAL";"TAB3",#N/A,TRUE,"GENERAL";"TAB4",#N/A,TRUE,"GENERAL";"TAB5",#N/A,TRUE,"GENERAL"}</definedName>
    <definedName name="dgfsado" localSheetId="9">{"TAB1",#N/A,TRUE,"GENERAL";"TAB2",#N/A,TRUE,"GENERAL";"TAB3",#N/A,TRUE,"GENERAL";"TAB4",#N/A,TRUE,"GENERAL";"TAB5",#N/A,TRUE,"GENERAL"}</definedName>
    <definedName name="dgfsado" localSheetId="19">{"TAB1",#N/A,TRUE,"GENERAL";"TAB2",#N/A,TRUE,"GENERAL";"TAB3",#N/A,TRUE,"GENERAL";"TAB4",#N/A,TRUE,"GENERAL";"TAB5",#N/A,TRUE,"GENERAL"}</definedName>
    <definedName name="dgfsado" localSheetId="28">{"TAB1",#N/A,TRUE,"GENERAL";"TAB2",#N/A,TRUE,"GENERAL";"TAB3",#N/A,TRUE,"GENERAL";"TAB4",#N/A,TRUE,"GENERAL";"TAB5",#N/A,TRUE,"GENERAL"}</definedName>
    <definedName name="dgfsado" localSheetId="29">{"TAB1",#N/A,TRUE,"GENERAL";"TAB2",#N/A,TRUE,"GENERAL";"TAB3",#N/A,TRUE,"GENERAL";"TAB4",#N/A,TRUE,"GENERAL";"TAB5",#N/A,TRUE,"GENERAL"}</definedName>
    <definedName name="dgfsado">{"TAB1",#N/A,TRUE,"GENERAL";"TAB2",#N/A,TRUE,"GENERAL";"TAB3",#N/A,TRUE,"GENERAL";"TAB4",#N/A,TRUE,"GENERAL";"TAB5",#N/A,TRUE,"GENERAL"}</definedName>
    <definedName name="dgrdeb" localSheetId="39">{"TAB1",#N/A,TRUE,"GENERAL";"TAB2",#N/A,TRUE,"GENERAL";"TAB3",#N/A,TRUE,"GENERAL";"TAB4",#N/A,TRUE,"GENERAL";"TAB5",#N/A,TRUE,"GENERAL"}</definedName>
    <definedName name="dgrdeb" localSheetId="20">{"TAB1",#N/A,TRUE,"GENERAL";"TAB2",#N/A,TRUE,"GENERAL";"TAB3",#N/A,TRUE,"GENERAL";"TAB4",#N/A,TRUE,"GENERAL";"TAB5",#N/A,TRUE,"GENERAL"}</definedName>
    <definedName name="dgrdeb" localSheetId="21">{"TAB1",#N/A,TRUE,"GENERAL";"TAB2",#N/A,TRUE,"GENERAL";"TAB3",#N/A,TRUE,"GENERAL";"TAB4",#N/A,TRUE,"GENERAL";"TAB5",#N/A,TRUE,"GENERAL"}</definedName>
    <definedName name="dgrdeb" localSheetId="9">{"TAB1",#N/A,TRUE,"GENERAL";"TAB2",#N/A,TRUE,"GENERAL";"TAB3",#N/A,TRUE,"GENERAL";"TAB4",#N/A,TRUE,"GENERAL";"TAB5",#N/A,TRUE,"GENERAL"}</definedName>
    <definedName name="dgrdeb" localSheetId="19">{"TAB1",#N/A,TRUE,"GENERAL";"TAB2",#N/A,TRUE,"GENERAL";"TAB3",#N/A,TRUE,"GENERAL";"TAB4",#N/A,TRUE,"GENERAL";"TAB5",#N/A,TRUE,"GENERAL"}</definedName>
    <definedName name="dgrdeb" localSheetId="28">{"TAB1",#N/A,TRUE,"GENERAL";"TAB2",#N/A,TRUE,"GENERAL";"TAB3",#N/A,TRUE,"GENERAL";"TAB4",#N/A,TRUE,"GENERAL";"TAB5",#N/A,TRUE,"GENERAL"}</definedName>
    <definedName name="dgrdeb" localSheetId="29">{"TAB1",#N/A,TRUE,"GENERAL";"TAB2",#N/A,TRUE,"GENERAL";"TAB3",#N/A,TRUE,"GENERAL";"TAB4",#N/A,TRUE,"GENERAL";"TAB5",#N/A,TRUE,"GENERAL"}</definedName>
    <definedName name="dgrdeb">{"TAB1",#N/A,TRUE,"GENERAL";"TAB2",#N/A,TRUE,"GENERAL";"TAB3",#N/A,TRUE,"GENERAL";"TAB4",#N/A,TRUE,"GENERAL";"TAB5",#N/A,TRUE,"GENERAL"}</definedName>
    <definedName name="dgreg" localSheetId="39">{"via1",#N/A,TRUE,"general";"via2",#N/A,TRUE,"general";"via3",#N/A,TRUE,"general"}</definedName>
    <definedName name="dgreg" localSheetId="20">{"via1",#N/A,TRUE,"general";"via2",#N/A,TRUE,"general";"via3",#N/A,TRUE,"general"}</definedName>
    <definedName name="dgreg" localSheetId="21">{"via1",#N/A,TRUE,"general";"via2",#N/A,TRUE,"general";"via3",#N/A,TRUE,"general"}</definedName>
    <definedName name="dgreg" localSheetId="9">{"via1",#N/A,TRUE,"general";"via2",#N/A,TRUE,"general";"via3",#N/A,TRUE,"general"}</definedName>
    <definedName name="dgreg" localSheetId="19">{"via1",#N/A,TRUE,"general";"via2",#N/A,TRUE,"general";"via3",#N/A,TRUE,"general"}</definedName>
    <definedName name="dgreg" localSheetId="28">{"via1",#N/A,TRUE,"general";"via2",#N/A,TRUE,"general";"via3",#N/A,TRUE,"general"}</definedName>
    <definedName name="dgreg" localSheetId="29">{"via1",#N/A,TRUE,"general";"via2",#N/A,TRUE,"general";"via3",#N/A,TRUE,"general"}</definedName>
    <definedName name="dgreg">{"via1",#N/A,TRUE,"general";"via2",#N/A,TRUE,"general";"via3",#N/A,TRUE,"general"}</definedName>
    <definedName name="DH" localSheetId="39">{"via1",#N/A,TRUE,"general";"via2",#N/A,TRUE,"general";"via3",#N/A,TRUE,"general"}</definedName>
    <definedName name="DH" localSheetId="20">{"via1",#N/A,TRUE,"general";"via2",#N/A,TRUE,"general";"via3",#N/A,TRUE,"general"}</definedName>
    <definedName name="DH" localSheetId="21">{"via1",#N/A,TRUE,"general";"via2",#N/A,TRUE,"general";"via3",#N/A,TRUE,"general"}</definedName>
    <definedName name="DH" localSheetId="9">{"via1",#N/A,TRUE,"general";"via2",#N/A,TRUE,"general";"via3",#N/A,TRUE,"general"}</definedName>
    <definedName name="DH" localSheetId="19">{"via1",#N/A,TRUE,"general";"via2",#N/A,TRUE,"general";"via3",#N/A,TRUE,"general"}</definedName>
    <definedName name="DH" localSheetId="28">{"via1",#N/A,TRUE,"general";"via2",#N/A,TRUE,"general";"via3",#N/A,TRUE,"general"}</definedName>
    <definedName name="DH" localSheetId="29">{"via1",#N/A,TRUE,"general";"via2",#N/A,TRUE,"general";"via3",#N/A,TRUE,"general"}</definedName>
    <definedName name="DH">{"via1",#N/A,TRUE,"general";"via2",#N/A,TRUE,"general";"via3",#N/A,TRUE,"general"}</definedName>
    <definedName name="dhdth" localSheetId="39">{"TAB1",#N/A,TRUE,"GENERAL";"TAB2",#N/A,TRUE,"GENERAL";"TAB3",#N/A,TRUE,"GENERAL";"TAB4",#N/A,TRUE,"GENERAL";"TAB5",#N/A,TRUE,"GENERAL"}</definedName>
    <definedName name="dhdth" localSheetId="20">{"TAB1",#N/A,TRUE,"GENERAL";"TAB2",#N/A,TRUE,"GENERAL";"TAB3",#N/A,TRUE,"GENERAL";"TAB4",#N/A,TRUE,"GENERAL";"TAB5",#N/A,TRUE,"GENERAL"}</definedName>
    <definedName name="dhdth" localSheetId="21">{"TAB1",#N/A,TRUE,"GENERAL";"TAB2",#N/A,TRUE,"GENERAL";"TAB3",#N/A,TRUE,"GENERAL";"TAB4",#N/A,TRUE,"GENERAL";"TAB5",#N/A,TRUE,"GENERAL"}</definedName>
    <definedName name="dhdth" localSheetId="9">{"TAB1",#N/A,TRUE,"GENERAL";"TAB2",#N/A,TRUE,"GENERAL";"TAB3",#N/A,TRUE,"GENERAL";"TAB4",#N/A,TRUE,"GENERAL";"TAB5",#N/A,TRUE,"GENERAL"}</definedName>
    <definedName name="dhdth" localSheetId="19">{"TAB1",#N/A,TRUE,"GENERAL";"TAB2",#N/A,TRUE,"GENERAL";"TAB3",#N/A,TRUE,"GENERAL";"TAB4",#N/A,TRUE,"GENERAL";"TAB5",#N/A,TRUE,"GENERAL"}</definedName>
    <definedName name="dhdth" localSheetId="28">{"TAB1",#N/A,TRUE,"GENERAL";"TAB2",#N/A,TRUE,"GENERAL";"TAB3",#N/A,TRUE,"GENERAL";"TAB4",#N/A,TRUE,"GENERAL";"TAB5",#N/A,TRUE,"GENERAL"}</definedName>
    <definedName name="dhdth" localSheetId="29">{"TAB1",#N/A,TRUE,"GENERAL";"TAB2",#N/A,TRUE,"GENERAL";"TAB3",#N/A,TRUE,"GENERAL";"TAB4",#N/A,TRUE,"GENERAL";"TAB5",#N/A,TRUE,"GENERAL"}</definedName>
    <definedName name="dhdth">{"TAB1",#N/A,TRUE,"GENERAL";"TAB2",#N/A,TRUE,"GENERAL";"TAB3",#N/A,TRUE,"GENERAL";"TAB4",#N/A,TRUE,"GENERAL";"TAB5",#N/A,TRUE,"GENERAL"}</definedName>
    <definedName name="dhgh" localSheetId="39">{"via1",#N/A,TRUE,"general";"via2",#N/A,TRUE,"general";"via3",#N/A,TRUE,"general"}</definedName>
    <definedName name="dhgh" localSheetId="20">{"via1",#N/A,TRUE,"general";"via2",#N/A,TRUE,"general";"via3",#N/A,TRUE,"general"}</definedName>
    <definedName name="dhgh" localSheetId="21">{"via1",#N/A,TRUE,"general";"via2",#N/A,TRUE,"general";"via3",#N/A,TRUE,"general"}</definedName>
    <definedName name="dhgh" localSheetId="9">{"via1",#N/A,TRUE,"general";"via2",#N/A,TRUE,"general";"via3",#N/A,TRUE,"general"}</definedName>
    <definedName name="dhgh" localSheetId="19">{"via1",#N/A,TRUE,"general";"via2",#N/A,TRUE,"general";"via3",#N/A,TRUE,"general"}</definedName>
    <definedName name="dhgh" localSheetId="28">{"via1",#N/A,TRUE,"general";"via2",#N/A,TRUE,"general";"via3",#N/A,TRUE,"general"}</definedName>
    <definedName name="dhgh" localSheetId="29">{"via1",#N/A,TRUE,"general";"via2",#N/A,TRUE,"general";"via3",#N/A,TRUE,"general"}</definedName>
    <definedName name="dhgh">{"via1",#N/A,TRUE,"general";"via2",#N/A,TRUE,"general";"via3",#N/A,TRUE,"general"}</definedName>
    <definedName name="dhp">'[26]Gabinetes ctrol, prot. y med. '!#REF!</definedName>
    <definedName name="di">#REF!</definedName>
    <definedName name="dia24hr">#REF!</definedName>
    <definedName name="diametros">#REF!</definedName>
    <definedName name="dias">#REF!</definedName>
    <definedName name="DIAS_DEL_MES">#REF!</definedName>
    <definedName name="dias_semana">#REF!</definedName>
    <definedName name="Dias_semanales">#REF!</definedName>
    <definedName name="DIAS_SEMANAS">#REF!</definedName>
    <definedName name="DIASDELMES">#REF!</definedName>
    <definedName name="DIASROTACION">#REF!</definedName>
    <definedName name="DiasSupuestosCierre">#REF!</definedName>
    <definedName name="DIC">#REF!</definedName>
    <definedName name="dic00">[17]Dólar!#REF!</definedName>
    <definedName name="diego">#REF!</definedName>
    <definedName name="diego1">#REF!</definedName>
    <definedName name="Dif.Este">#REF!</definedName>
    <definedName name="Dif.Norte">#REF!</definedName>
    <definedName name="DifConsultoriaFM">#REF!</definedName>
    <definedName name="diferencial">[55]lisprecios!#REF!</definedName>
    <definedName name="DIRECTO">"DIRECTO:  "&amp;TEXT(ROUNDUP(SUMIF([101]apu!$A$1:$A$65536,[101]apu!$A1048576,[101]apu!$G$1:$G$65536)/2,0),"#,##0")&amp;" / "&amp;VLOOKUP([101]apu!$A1048576,'[101]Ppto completo'!$D$1:$F$65536,3,FALSE)</definedName>
    <definedName name="DIRECTO1">[145]APU!$U$132</definedName>
    <definedName name="DIRECTO10">[145]APU!$U$681</definedName>
    <definedName name="DIRECTO100">[145]APU!$U$6171</definedName>
    <definedName name="DIRECTO101">[145]APU!$U$6232</definedName>
    <definedName name="DIRECTO102">[145]APU!$U$6293</definedName>
    <definedName name="DIRECTO103">[145]APU!$U$6354</definedName>
    <definedName name="DIRECTO104">[145]APU!$U$6415</definedName>
    <definedName name="DIRECTO105">[145]APU!$U$6476</definedName>
    <definedName name="DIRECTO11">[145]APU!$U$742</definedName>
    <definedName name="DIRECTO12">[145]APU!$U$803</definedName>
    <definedName name="DIRECTO124">[145]APU!$U$7635</definedName>
    <definedName name="DIRECTO125">[145]APU!$U$7696</definedName>
    <definedName name="DIRECTO126">[145]APU!$U$7757</definedName>
    <definedName name="DIRECTO127">[145]APU!$U$7818</definedName>
    <definedName name="DIRECTO128">[145]APU!$U$7879</definedName>
    <definedName name="DIRECTO129">[145]APU!$U$7940</definedName>
    <definedName name="DIRECTO13">[145]APU!$U$864</definedName>
    <definedName name="DIRECTO130">[145]APU!$U$8001</definedName>
    <definedName name="DIRECTO131">[145]APU!$U$8062</definedName>
    <definedName name="DIRECTO132">[145]APU!$U$8123</definedName>
    <definedName name="DIRECTO133">[145]APU!$U$8184</definedName>
    <definedName name="DIRECTO134">[145]APU!$U$8245</definedName>
    <definedName name="DIRECTO14">[145]APU!$U$925</definedName>
    <definedName name="DIRECTO15">[145]APU!$U$986</definedName>
    <definedName name="DIRECTO16">[145]APU!$U$1047</definedName>
    <definedName name="DIRECTO17">[145]APU!$U$1108</definedName>
    <definedName name="DIRECTO18">[145]APU!$U$1169</definedName>
    <definedName name="DIRECTO2">[145]APU!$U$193</definedName>
    <definedName name="DIRECTO2.10">[145]APU!$U$14889</definedName>
    <definedName name="DIRECTO2.11">[145]APU!$U$14950</definedName>
    <definedName name="DIRECTO2.12">[145]APU!$U$15011</definedName>
    <definedName name="DIRECTO2.9">[145]APU!$U$11839</definedName>
    <definedName name="DIRECTO21">[145]APU!$U$1352</definedName>
    <definedName name="DIRECTO22">[145]APU!$U$1413</definedName>
    <definedName name="DIRECTO23">[145]APU!$U$1474</definedName>
    <definedName name="DIRECTO24">[145]APU!$U$1535</definedName>
    <definedName name="DIRECTO25">[145]APU!$U$1596</definedName>
    <definedName name="DIRECTO26">[145]APU!$U$1657</definedName>
    <definedName name="DIRECTO27">[145]APU!$U$1718</definedName>
    <definedName name="DIRECTO28">[145]APU!$U$1779</definedName>
    <definedName name="DIRECTO29">[145]APU!$U$1840</definedName>
    <definedName name="DIRECTO3">[145]APU!$U$254</definedName>
    <definedName name="DIRECTO3.15">[145]APU!$U$8667</definedName>
    <definedName name="DIRECTO3.16">[145]APU!$U$8728</definedName>
    <definedName name="DIRECTO3.17">[145]APU!$U$8789</definedName>
    <definedName name="DIRECTO3.18">[145]APU!$U$8850</definedName>
    <definedName name="DIRECTO3.19">[145]APU!$U$8911</definedName>
    <definedName name="DIRECTO3.20">[145]APU!$U$8972</definedName>
    <definedName name="DIRECTO3.21">[145]APU!$U$11961</definedName>
    <definedName name="DIRECTO3.22">[145]APU!$U$14523</definedName>
    <definedName name="DIRECTO3.23">[145]APU!$U$15133</definedName>
    <definedName name="DIRECTO3.24">[145]APU!$U$16292</definedName>
    <definedName name="DIRECTO3.25">[145]APU!$U$16353</definedName>
    <definedName name="DIRECTO3.26">[145]APU!$U$16414</definedName>
    <definedName name="DIRECTO3.27">[145]APU!$U$16475</definedName>
    <definedName name="DIRECTO3.28">[145]APU!$U$16536</definedName>
    <definedName name="DIRECTO30">[145]APU!$U$1901</definedName>
    <definedName name="DIRECTO31">[145]APU!$U$1962</definedName>
    <definedName name="DIRECTO32">[145]APU!$U$2023</definedName>
    <definedName name="DIRECTO33">[145]APU!$U$2084</definedName>
    <definedName name="DIRECTO34">[145]APU!$U$2145</definedName>
    <definedName name="DIRECTO35">[145]APU!$U$2206</definedName>
    <definedName name="DIRECTO36">[145]APU!$U$2267</definedName>
    <definedName name="DIRECTO368">[146]APU!$U$21411</definedName>
    <definedName name="DIRECTO369">[146]APU!$U$21469</definedName>
    <definedName name="DIRECTO37">[145]APU!$U$2328</definedName>
    <definedName name="DIRECTO370">[146]APU!$U$21527</definedName>
    <definedName name="DIRECTO371">[146]APU!$U$21585</definedName>
    <definedName name="DIRECTO372">[146]APU!$U$21643</definedName>
    <definedName name="DIRECTO373">[146]APU!$U$21701</definedName>
    <definedName name="DIRECTO374">[146]APU!$U$21759</definedName>
    <definedName name="DIRECTO375">[146]APU!$U$21817</definedName>
    <definedName name="DIRECTO376">[146]APU!$U$21875</definedName>
    <definedName name="DIRECTO377">[146]APU!$U$21933</definedName>
    <definedName name="DIRECTO378">[146]APU!$U$21991</definedName>
    <definedName name="DIRECTO379">[146]APU!$U$22049</definedName>
    <definedName name="DIRECTO38">[145]APU!$U$2389</definedName>
    <definedName name="DIRECTO380">[146]APU!$U$22107</definedName>
    <definedName name="DIRECTO39">[145]APU!$U$2450</definedName>
    <definedName name="DIRECTO4">[145]APU!$U$315</definedName>
    <definedName name="DIRECTO4.20">[145]APU!$U$9216</definedName>
    <definedName name="DIRECTO4.21">[145]APU!$U$9277</definedName>
    <definedName name="DIRECTO4.22">[145]APU!$U$9338</definedName>
    <definedName name="DIRECTO4.23">[145]APU!$U$9399</definedName>
    <definedName name="DIRECTO4.24">[145]APU!$U$9460</definedName>
    <definedName name="DIRECTO4.25">[145]APU!$U$9521</definedName>
    <definedName name="DIRECTO4.26">[145]APU!$U$9582</definedName>
    <definedName name="DIRECTO4.27">[145]APU!$U$9643</definedName>
    <definedName name="DIRECTO4.28">[145]APU!$U$9704</definedName>
    <definedName name="DIRECTO4.29">[145]APU!$U$9765</definedName>
    <definedName name="DIRECTO4.30">[145]APU!$U$9826</definedName>
    <definedName name="DIRECTO4.31">[145]APU!$U$9887</definedName>
    <definedName name="DIRECTO4.32">[145]APU!$U$9948</definedName>
    <definedName name="DIRECTO4.33">[145]APU!$U$10009</definedName>
    <definedName name="DIRECTO4.34">[145]APU!$U$10070</definedName>
    <definedName name="DIRECTO4.35">[145]APU!$U$11595</definedName>
    <definedName name="DIRECTO4.36">[145]APU!$U$11656</definedName>
    <definedName name="DIRECTO4.37">[145]APU!$U$15987</definedName>
    <definedName name="DIRECTO4.38">[145]APU!$U$15194</definedName>
    <definedName name="DIRECTO4.39">[145]APU!$U$14279</definedName>
    <definedName name="DIRECTO4.40">[145]APU!$U$14340</definedName>
    <definedName name="DIRECTO4.41">[145]APU!$U$14401</definedName>
    <definedName name="DIRECTO4.42">[145]APU!$U$14462</definedName>
    <definedName name="DIRECTO4.43">[145]APU!$U$14584</definedName>
    <definedName name="DIRECTO4.44">[145]APU!$U$16048</definedName>
    <definedName name="DIRECTO4.45">[145]APU!$U$16109</definedName>
    <definedName name="DIRECTO4.46">[145]APU!$U$14706</definedName>
    <definedName name="DIRECTO4.47">[145]APU!$U$15926</definedName>
    <definedName name="DIRECTO4.48">[145]APU!$U$16170</definedName>
    <definedName name="DIRECTO4.49">[145]APU!$U$16231</definedName>
    <definedName name="DIRECTO4.50">[145]APU!$U$16902</definedName>
    <definedName name="DIRECTO4.51">[145]APU!$U$17634</definedName>
    <definedName name="DIRECTO4.52">[145]APU!$U$17695</definedName>
    <definedName name="DIRECTO40">[145]APU!$U$2511</definedName>
    <definedName name="DIRECTO41">[145]APU!$U$2572</definedName>
    <definedName name="DIRECTO42">[145]APU!$U$2633</definedName>
    <definedName name="DIRECTO43">[145]APU!$U$2694</definedName>
    <definedName name="DIRECTO44">[145]APU!$U$2755</definedName>
    <definedName name="DIRECTO45">[145]APU!$U$2816</definedName>
    <definedName name="DIRECTO46">[145]APU!$U$2877</definedName>
    <definedName name="DIRECTO47">[145]APU!$U$2938</definedName>
    <definedName name="DIRECTO48">[145]APU!$U$2999</definedName>
    <definedName name="DIRECTO481">[146]APU!$U$22165</definedName>
    <definedName name="DIRECTO482">[146]APU!$U$22223</definedName>
    <definedName name="DIRECTO483">[146]APU!$U$22281</definedName>
    <definedName name="DIRECTO484">[146]APU!$U$22339</definedName>
    <definedName name="DIRECTO485">[146]APU!$U$22397</definedName>
    <definedName name="DIRECTO486">[146]APU!$U$22455</definedName>
    <definedName name="DIRECTO487">[146]APU!$U$22513</definedName>
    <definedName name="DIRECTO488">[146]APU!$U$22571</definedName>
    <definedName name="DIRECTO489">[146]APU!$U$22629</definedName>
    <definedName name="DIRECTO49">[145]APU!$U$3060</definedName>
    <definedName name="DIRECTO490">[146]APU!$U$22687</definedName>
    <definedName name="DIRECTO491">[146]APU!$U$22745</definedName>
    <definedName name="DIRECTO492">[146]APU!$U$22803</definedName>
    <definedName name="DIRECTO493">[146]APU!$U$22861</definedName>
    <definedName name="DIRECTO494">[146]APU!$U$22919</definedName>
    <definedName name="DIRECTO495">[146]APU!$U$22977</definedName>
    <definedName name="DIRECTO496">[146]APU!$U$23035</definedName>
    <definedName name="DIRECTO497">[146]APU!$U$23093</definedName>
    <definedName name="DIRECTO498">[146]APU!$U$23151</definedName>
    <definedName name="DIRECTO499">[146]APU!$U$23209</definedName>
    <definedName name="DIRECTO5">[145]APU!$U$376</definedName>
    <definedName name="DIRECTO5.100">[145]APU!$U$12449</definedName>
    <definedName name="DIRECTO5.101">[145]APU!$U$12510</definedName>
    <definedName name="DIRECTO5.104">[145]APU!$U$12571</definedName>
    <definedName name="DIRECTO5.105">[145]APU!$U$12632</definedName>
    <definedName name="DIRECTO5.106">[145]APU!$U$12693</definedName>
    <definedName name="DIRECTO5.107">[145]APU!$U$12754</definedName>
    <definedName name="DIRECTO5.108">[145]APU!$U$12815</definedName>
    <definedName name="DIRECTO5.109">[145]APU!$U$12876</definedName>
    <definedName name="DIRECTO5.111">[145]APU!$U$12937</definedName>
    <definedName name="DIRECTO5.112">[145]APU!$U$12998</definedName>
    <definedName name="DIRECTO5.113">[145]APU!$U$14767</definedName>
    <definedName name="DIRECTO5.114">[145]APU!$U$14828</definedName>
    <definedName name="DIRECTO5.115">[145]APU!$U$15072</definedName>
    <definedName name="DIRECTO5.53">[145]APU!$U$10131</definedName>
    <definedName name="DIRECTO5.54">[145]APU!$U$10192</definedName>
    <definedName name="DIRECTO5.55">[145]APU!$U$10253</definedName>
    <definedName name="DIRECTO5.56">[145]APU!$U$10314</definedName>
    <definedName name="DIRECTO5.57">[145]APU!$U$10375</definedName>
    <definedName name="DIRECTO5.58">[145]APU!$U$10436</definedName>
    <definedName name="DIRECTO5.59">[145]APU!$U$10497</definedName>
    <definedName name="DIRECTO5.60">[145]APU!$U$10558</definedName>
    <definedName name="DIRECTO5.61">[145]APU!$U$10619</definedName>
    <definedName name="DIRECTO5.62">[145]APU!$U$10680</definedName>
    <definedName name="DIRECTO5.63">[145]APU!$U$10741</definedName>
    <definedName name="DIRECTO5.64">[145]APU!$U$10802</definedName>
    <definedName name="DIRECTO5.65">[145]APU!$U$10863</definedName>
    <definedName name="DIRECTO5.66">[145]APU!$U$10924</definedName>
    <definedName name="DIRECTO5.67">[145]APU!$U$10985</definedName>
    <definedName name="DIRECTO5.68">[145]APU!$U$11046</definedName>
    <definedName name="DIRECTO5.69">[145]APU!$U$11107</definedName>
    <definedName name="DIRECTO5.70">[145]APU!$U$11168</definedName>
    <definedName name="DIRECTO5.71">[145]APU!$U$11229</definedName>
    <definedName name="DIRECTO5.72">[145]APU!$U$12022</definedName>
    <definedName name="DIRECTO5.73">[145]APU!$U$12083</definedName>
    <definedName name="DIRECTO5.74">[145]APU!$U$12144</definedName>
    <definedName name="DIRECTO5.77">[145]APU!$U$12205</definedName>
    <definedName name="DIRECTO5.78">[145]APU!$U$12327</definedName>
    <definedName name="DIRECTO5.79">[145]APU!$U$12388</definedName>
    <definedName name="DIRECTO5.80">[145]APU!$U$12266</definedName>
    <definedName name="DIRECTO5.82">[145]APU!$U$14035</definedName>
    <definedName name="DIRECTO5.83">[145]APU!$U$14096</definedName>
    <definedName name="DIRECTO5.84">[145]APU!$U$13364</definedName>
    <definedName name="DIRECTO5.85">[145]APU!$U$13425</definedName>
    <definedName name="DIRECTO5.86">[145]APU!$U$13486</definedName>
    <definedName name="DIRECTO5.87">[145]APU!$U$13547</definedName>
    <definedName name="DIRECTO5.88">[145]APU!$U$13608</definedName>
    <definedName name="DIRECTO5.89">[145]APU!$U$13669</definedName>
    <definedName name="DIRECTO5.90">[145]APU!$U$13730</definedName>
    <definedName name="DIRECTO5.91">[145]APU!$U$13791</definedName>
    <definedName name="DIRECTO5.92">[145]APU!$U$13852</definedName>
    <definedName name="DIRECTO5.93">[145]APU!$U$13913</definedName>
    <definedName name="DIRECTO5.94">[145]APU!$U$13974</definedName>
    <definedName name="DIRECTO5.95">[145]APU!$U$13059</definedName>
    <definedName name="DIRECTO5.96">[145]APU!$U$13120</definedName>
    <definedName name="DIRECTO5.97">[145]APU!$U$13181</definedName>
    <definedName name="DIRECTO5.98">[145]APU!$U$13242</definedName>
    <definedName name="DIRECTO5.99">[145]APU!$U$13303</definedName>
    <definedName name="DIRECTO50">[145]APU!$U$3121</definedName>
    <definedName name="DIRECTO500">[146]APU!$U$23267</definedName>
    <definedName name="DIRECTO501">[146]APU!$U$23325</definedName>
    <definedName name="DIRECTO502">[146]APU!$U$23383</definedName>
    <definedName name="DIRECTO503">[146]APU!$U$23441</definedName>
    <definedName name="DIRECTO504">[146]APU!$U$23499</definedName>
    <definedName name="DIRECTO505">[146]APU!$U$23557</definedName>
    <definedName name="DIRECTO506">[146]APU!$U$23615</definedName>
    <definedName name="DIRECTO507">[146]APU!$U$23673</definedName>
    <definedName name="DIRECTO508">[146]APU!$U$23731</definedName>
    <definedName name="DIRECTO509">[146]APU!$U$23789</definedName>
    <definedName name="DIRECTO51">[145]APU!$U$3182</definedName>
    <definedName name="DIRECTO510">[146]APU!$U$23847</definedName>
    <definedName name="DIRECTO511">[146]APU!$U$23905</definedName>
    <definedName name="DIRECTO512">[146]APU!$U$23963</definedName>
    <definedName name="DIRECTO513">[146]APU!$U$24021</definedName>
    <definedName name="DIRECTO514">[146]APU!$U$24079</definedName>
    <definedName name="DIRECTO515">[146]APU!$U$24137</definedName>
    <definedName name="DIRECTO516">[146]APU!$U$24195</definedName>
    <definedName name="DIRECTO517">[146]APU!$U$24253</definedName>
    <definedName name="DIRECTO518">[146]APU!$U$24311</definedName>
    <definedName name="DIRECTO519">[146]APU!$U$24369</definedName>
    <definedName name="DIRECTO52">[145]APU!$U$3243</definedName>
    <definedName name="DIRECTO520">[146]APU!$U$24427</definedName>
    <definedName name="DIRECTO521">[146]APU!$U$24485</definedName>
    <definedName name="DIRECTO522">[146]APU!$U$24543</definedName>
    <definedName name="DIRECTO523">[146]APU!$U$24601</definedName>
    <definedName name="DIRECTO524">[146]APU!$U$24659</definedName>
    <definedName name="DIRECTO525">[146]APU!$U$24717</definedName>
    <definedName name="DIRECTO526">[146]APU!$U$24775</definedName>
    <definedName name="DIRECTO527">[146]APU!$U$24833</definedName>
    <definedName name="DIRECTO528">[146]APU!$U$24891</definedName>
    <definedName name="DIRECTO529">[146]APU!$U$24949</definedName>
    <definedName name="DIRECTO53">[145]APU!$U$3304</definedName>
    <definedName name="DIRECTO530">[146]APU!$U$25007</definedName>
    <definedName name="DIRECTO531">[146]APU!$U$25065</definedName>
    <definedName name="DIRECTO532">[146]APU!$U$25123</definedName>
    <definedName name="DIRECTO533">[146]APU!$U$25181</definedName>
    <definedName name="DIRECTO534">[146]APU!$U$25239</definedName>
    <definedName name="DIRECTO535">[146]APU!$U$25297</definedName>
    <definedName name="DIRECTO536">[146]APU!$U$25355</definedName>
    <definedName name="DIRECTO537">[146]APU!$U$25413</definedName>
    <definedName name="DIRECTO538">[146]APU!$U$25471</definedName>
    <definedName name="DIRECTO539">[146]APU!$U$25529</definedName>
    <definedName name="DIRECTO54">[145]APU!$U$3365</definedName>
    <definedName name="DIRECTO540">[146]APU!$U$25587</definedName>
    <definedName name="DIRECTO541">[146]APU!$U$25645</definedName>
    <definedName name="DIRECTO542">[146]APU!$U$25703</definedName>
    <definedName name="DIRECTO543">[146]APU!$U$25761</definedName>
    <definedName name="DIRECTO544">[146]APU!$U$25819</definedName>
    <definedName name="DIRECTO545">[146]APU!$U$25877</definedName>
    <definedName name="DIRECTO546">[146]APU!$U$25935</definedName>
    <definedName name="DIRECTO547">[146]APU!$U$25993</definedName>
    <definedName name="DIRECTO548">[146]APU!$U$26051</definedName>
    <definedName name="DIRECTO549">[146]APU!$U$26109</definedName>
    <definedName name="DIRECTO55">[145]APU!$U$3426</definedName>
    <definedName name="DIRECTO550">[146]APU!$U$26167</definedName>
    <definedName name="DIRECTO551">[146]APU!$U$26225</definedName>
    <definedName name="DIRECTO552">[146]APU!$U$26283</definedName>
    <definedName name="DIRECTO553">[146]APU!$U$26341</definedName>
    <definedName name="DIRECTO554">[146]APU!$U$26399</definedName>
    <definedName name="DIRECTO555">[146]APU!$U$26457</definedName>
    <definedName name="directo556">[146]APU!$U$26515</definedName>
    <definedName name="DIRECTO557">[146]APU!$U$26573</definedName>
    <definedName name="DIRECTO558">[146]APU!$U$26631</definedName>
    <definedName name="DIRECTO559">[146]APU!$U$26689</definedName>
    <definedName name="DIRECTO56">[145]APU!$U$3487</definedName>
    <definedName name="DIRECTO560">[146]APU!$U$26747</definedName>
    <definedName name="DIRECTO561">[146]APU!$U$26805</definedName>
    <definedName name="DIRECTO562">[146]APU!$U$26863</definedName>
    <definedName name="directo563">[146]APU!$U$26921</definedName>
    <definedName name="DIRECTO57">[145]APU!$U$3548</definedName>
    <definedName name="DIRECTO58">[145]APU!$U$3609</definedName>
    <definedName name="DIRECTO59">[145]APU!$U$3670</definedName>
    <definedName name="DIRECTO6">[145]APU!$U$437</definedName>
    <definedName name="DIRECTO60">[145]APU!$U$3731</definedName>
    <definedName name="DIRECTO61">[145]APU!$U$3792</definedName>
    <definedName name="DIRECTO62">[145]APU!$U$3853</definedName>
    <definedName name="DIRECTO63">[145]APU!$U$3914</definedName>
    <definedName name="DIRECTO64">[145]APU!$U$3975</definedName>
    <definedName name="DIRECTO65">[145]APU!$U$4036</definedName>
    <definedName name="DIRECTO66">[145]APU!$U$4097</definedName>
    <definedName name="DIRECTO67">[145]APU!$U$4158</definedName>
    <definedName name="DIRECTO68">[145]APU!$U$4219</definedName>
    <definedName name="DIRECTO69">[145]APU!$U$4280</definedName>
    <definedName name="DIRECTO7">[145]APU!$U$498</definedName>
    <definedName name="DIRECTO7.12">[145]APU!$U$8305</definedName>
    <definedName name="DIRECTO7.13">[145]APU!$U$8366</definedName>
    <definedName name="DIRECTO7.14">[145]APU!$U$8427</definedName>
    <definedName name="DIRECTO7.15">[145]APU!$U$8488</definedName>
    <definedName name="DIRECTO7.16">[145]APU!$U$8606</definedName>
    <definedName name="DIRECTO7.17">[145]APU!$U$11290</definedName>
    <definedName name="DIRECTO7.18">[145]APU!$U$11351</definedName>
    <definedName name="DIRECTO7.19">[145]APU!$U$11412</definedName>
    <definedName name="DIRECTO7.20">[145]APU!$U$11473</definedName>
    <definedName name="DIRECTO7.21">[145]APU!$U$11534</definedName>
    <definedName name="DIRECTO7.22">[145]APU!$U$11717</definedName>
    <definedName name="DIRECTO7.23">[145]APU!$U$11778</definedName>
    <definedName name="DIRECTO7.24">[145]APU!$U$14645</definedName>
    <definedName name="DIRECTO7.25">[145]APU!$U$15255</definedName>
    <definedName name="DIRECTO7.26">[145]APU!$U$15316</definedName>
    <definedName name="DIRECTO7.27">[145]APU!$U$15377</definedName>
    <definedName name="DIRECTO7.28">[145]APU!$U$15438</definedName>
    <definedName name="DIRECTO7.29">[145]APU!$U$15499</definedName>
    <definedName name="DIRECTO7.30">[145]APU!$U$15560</definedName>
    <definedName name="DIRECTO7.31">[145]APU!$U$15621</definedName>
    <definedName name="DIRECTO7.32">[145]APU!$U$15682</definedName>
    <definedName name="DIRECTO7.33">[145]APU!$U$15743</definedName>
    <definedName name="DIRECTO7.34">[145]APU!$U$15804</definedName>
    <definedName name="DIRECTO7.35">[145]APU!$U$15865</definedName>
    <definedName name="DIRECTO7.36">[145]APU!$U$17085</definedName>
    <definedName name="DIRECTO7.37">[145]APU!$U$17268</definedName>
    <definedName name="DIRECTO7.38">[145]APU!$U$17207</definedName>
    <definedName name="DIRECTO7.39">[145]APU!$U$17390</definedName>
    <definedName name="DIRECTO7.40">[145]APU!$U$17451</definedName>
    <definedName name="DIRECTO7.41">[145]APU!$U$17512</definedName>
    <definedName name="DIRECTO7.42">[145]APU!$U$17146</definedName>
    <definedName name="DIRECTO7.43">[145]APU!$U$17573</definedName>
    <definedName name="DIRECTO7.44">[145]APU!$U$17329</definedName>
    <definedName name="DIRECTO70">[145]APU!$U$4341</definedName>
    <definedName name="DIRECTO71">[145]APU!$U$4402</definedName>
    <definedName name="DIRECTO72">[145]APU!$U$4463</definedName>
    <definedName name="DIRECTO73">[145]APU!$U$4524</definedName>
    <definedName name="DIRECTO74">[145]APU!$U$4585</definedName>
    <definedName name="DIRECTO75">[145]APU!$U$4646</definedName>
    <definedName name="DIRECTO76">[145]APU!$U$4707</definedName>
    <definedName name="DIRECTO77">[145]APU!$U$4768</definedName>
    <definedName name="DIRECTO78">[145]APU!$U$4829</definedName>
    <definedName name="DIRECTO79">[145]APU!$U$4890</definedName>
    <definedName name="DIRECTO8">[145]APU!$U$559</definedName>
    <definedName name="DIRECTO80">[145]APU!$U$4951</definedName>
    <definedName name="DIRECTO81">[145]APU!$U$5012</definedName>
    <definedName name="DIRECTO82">[145]APU!$U$5073</definedName>
    <definedName name="DIRECTO83">[145]APU!$U$5134</definedName>
    <definedName name="DIRECTO84">[145]APU!$U$5195</definedName>
    <definedName name="DIRECTO85">[145]APU!$U$5256</definedName>
    <definedName name="DIRECTO86">[145]APU!$U$5317</definedName>
    <definedName name="DIRECTO87">[145]APU!$U$5378</definedName>
    <definedName name="DIRECTO88">[145]APU!$U$5439</definedName>
    <definedName name="DIRECTO89">[145]APU!$U$5500</definedName>
    <definedName name="DIRECTO9">[145]APU!$U$620</definedName>
    <definedName name="DIRECTO9.1">[145]APU!$U$16597</definedName>
    <definedName name="DIRECTO9.2">[145]APU!$U$16658</definedName>
    <definedName name="DIRECTO9.3">[145]APU!$U$16719</definedName>
    <definedName name="DIRECTO9.4">[145]APU!$U$16780</definedName>
    <definedName name="DIRECTO9.5">[145]APU!$U$16841</definedName>
    <definedName name="DIRECTO90">[145]APU!$U$5561</definedName>
    <definedName name="DIRECTO91">[145]APU!$U$5622</definedName>
    <definedName name="DIRECTO92">[145]APU!$U$5683</definedName>
    <definedName name="DIRECTO93">[145]APU!$U$5744</definedName>
    <definedName name="DIRECTO94">[145]APU!$U$5805</definedName>
    <definedName name="DIRECTO95">[145]APU!$U$5866</definedName>
    <definedName name="DIRECTO96">[145]APU!$U$5927</definedName>
    <definedName name="DIRECTO97">[145]APU!$U$5988</definedName>
    <definedName name="DIRECTO98">[145]APU!$U$6049</definedName>
    <definedName name="DIRECTO99">[145]APU!$U$6110</definedName>
    <definedName name="Director_Administrativo">#REF!</definedName>
    <definedName name="Discount_Lumpsum">#REF!</definedName>
    <definedName name="discount_percent">#REF!</definedName>
    <definedName name="discount2">[147]Cover!#REF!</definedName>
    <definedName name="discount3">[147]Cover!#REF!</definedName>
    <definedName name="discount4">[147]Cover!#REF!</definedName>
    <definedName name="DiscRateHigh">#REF!</definedName>
    <definedName name="DiscRateMed">#REF!</definedName>
    <definedName name="DISPONIBILIDAD">#REF!</definedName>
    <definedName name="Distancia">#REF!</definedName>
    <definedName name="DISTANCIA_ARENA">'[52]Concretos y morteros'!$J$12</definedName>
    <definedName name="DISTANCIA_CEMENTO">'[52]Concretos y morteros'!$L$12</definedName>
    <definedName name="DISTANCIA_TRITURADO">'[52]Concretos y morteros'!$K$12</definedName>
    <definedName name="distrital">#REF!</definedName>
    <definedName name="div_pay">[109]ASSUMPTIONS!#REF!</definedName>
    <definedName name="dj">#REF!</definedName>
    <definedName name="djdytj" localSheetId="39">{"TAB1",#N/A,TRUE,"GENERAL";"TAB2",#N/A,TRUE,"GENERAL";"TAB3",#N/A,TRUE,"GENERAL";"TAB4",#N/A,TRUE,"GENERAL";"TAB5",#N/A,TRUE,"GENERAL"}</definedName>
    <definedName name="djdytj" localSheetId="20">{"TAB1",#N/A,TRUE,"GENERAL";"TAB2",#N/A,TRUE,"GENERAL";"TAB3",#N/A,TRUE,"GENERAL";"TAB4",#N/A,TRUE,"GENERAL";"TAB5",#N/A,TRUE,"GENERAL"}</definedName>
    <definedName name="djdytj" localSheetId="21">{"TAB1",#N/A,TRUE,"GENERAL";"TAB2",#N/A,TRUE,"GENERAL";"TAB3",#N/A,TRUE,"GENERAL";"TAB4",#N/A,TRUE,"GENERAL";"TAB5",#N/A,TRUE,"GENERAL"}</definedName>
    <definedName name="djdytj" localSheetId="9">{"TAB1",#N/A,TRUE,"GENERAL";"TAB2",#N/A,TRUE,"GENERAL";"TAB3",#N/A,TRUE,"GENERAL";"TAB4",#N/A,TRUE,"GENERAL";"TAB5",#N/A,TRUE,"GENERAL"}</definedName>
    <definedName name="djdytj" localSheetId="19">{"TAB1",#N/A,TRUE,"GENERAL";"TAB2",#N/A,TRUE,"GENERAL";"TAB3",#N/A,TRUE,"GENERAL";"TAB4",#N/A,TRUE,"GENERAL";"TAB5",#N/A,TRUE,"GENERAL"}</definedName>
    <definedName name="djdytj" localSheetId="28">{"TAB1",#N/A,TRUE,"GENERAL";"TAB2",#N/A,TRUE,"GENERAL";"TAB3",#N/A,TRUE,"GENERAL";"TAB4",#N/A,TRUE,"GENERAL";"TAB5",#N/A,TRUE,"GENERAL"}</definedName>
    <definedName name="djdytj" localSheetId="29">{"TAB1",#N/A,TRUE,"GENERAL";"TAB2",#N/A,TRUE,"GENERAL";"TAB3",#N/A,TRUE,"GENERAL";"TAB4",#N/A,TRUE,"GENERAL";"TAB5",#N/A,TRUE,"GENERAL"}</definedName>
    <definedName name="djdytj">{"TAB1",#N/A,TRUE,"GENERAL";"TAB2",#N/A,TRUE,"GENERAL";"TAB3",#N/A,TRUE,"GENERAL";"TAB4",#N/A,TRUE,"GENERAL";"TAB5",#N/A,TRUE,"GENERAL"}</definedName>
    <definedName name="dl" localSheetId="13">'[41]Mano de Obra'!$B$96</definedName>
    <definedName name="dl" localSheetId="17">'[42]Mano de Obra'!$B$97</definedName>
    <definedName name="dl" localSheetId="18">'[42]Mano de Obra'!$B$97</definedName>
    <definedName name="dl" localSheetId="28">'[43]Mano de Obra'!$B$90</definedName>
    <definedName name="dl" localSheetId="29">'[43]Mano de Obra'!$B$90</definedName>
    <definedName name="dl" localSheetId="12">'[42]Mano de Obra'!$B$97</definedName>
    <definedName name="dl">'[44]Mano de Obra'!$B$90</definedName>
    <definedName name="DM">#REF!</definedName>
    <definedName name="DMD">#REF!</definedName>
    <definedName name="do">#REF!</definedName>
    <definedName name="Documentstatus">#REF!</definedName>
    <definedName name="Documentstatus1">'[75]REF - Listas'!$B$4:$B$11</definedName>
    <definedName name="DOM160X20_S1">#REF!</definedName>
    <definedName name="DOM160X20_S2">#REF!</definedName>
    <definedName name="DOM160X20_S3">#REF!</definedName>
    <definedName name="DOM160X20_S4">#REF!</definedName>
    <definedName name="DOM160X20_S5">#REF!</definedName>
    <definedName name="DOM160X20_S6">#REF!</definedName>
    <definedName name="DOM160X32_S1">#REF!</definedName>
    <definedName name="DOM160X32_S2">#REF!</definedName>
    <definedName name="DOM160X32_S3">#REF!</definedName>
    <definedName name="DOM160X32_S4">#REF!</definedName>
    <definedName name="DOM160X32_S5">#REF!</definedName>
    <definedName name="DOM160X32_S6">#REF!</definedName>
    <definedName name="DOM200X20_S1">#REF!</definedName>
    <definedName name="DOM200X20_S2">#REF!</definedName>
    <definedName name="DOM200X20_S3">#REF!</definedName>
    <definedName name="DOM200X20_S4">#REF!</definedName>
    <definedName name="DOM200X20_S5">#REF!</definedName>
    <definedName name="DOM200X20_S6">#REF!</definedName>
    <definedName name="DOM200X32_S1">#REF!</definedName>
    <definedName name="DOM200X32_S2">#REF!</definedName>
    <definedName name="DOM200X32_S3">#REF!</definedName>
    <definedName name="DOM200X32_S4">#REF!</definedName>
    <definedName name="DOM200X32_S5">#REF!</definedName>
    <definedName name="DOM200X32_S6">#REF!</definedName>
    <definedName name="DOM90X20_S1">#REF!</definedName>
    <definedName name="DOM90X20_S2">#REF!</definedName>
    <definedName name="DOM90X20_S3">#REF!</definedName>
    <definedName name="DOM90X20_S4">#REF!</definedName>
    <definedName name="DOM90X20_S5">#REF!</definedName>
    <definedName name="DOM90X20_S6">#REF!</definedName>
    <definedName name="DOM90X32_S1">#REF!</definedName>
    <definedName name="DOM90X32_S2">#REF!</definedName>
    <definedName name="DOM90X32_S3">#REF!</definedName>
    <definedName name="DOM90X32_S4">#REF!</definedName>
    <definedName name="DOM90X32_S5">#REF!</definedName>
    <definedName name="DOM90X32_S6">#REF!</definedName>
    <definedName name="DOMESP90X63_S1">#REF!</definedName>
    <definedName name="DOMESP90X63_S2">#REF!</definedName>
    <definedName name="DOMESP90X63_S3">#REF!</definedName>
    <definedName name="DOMESP90X63_S4">#REF!</definedName>
    <definedName name="DOMESP90X63_S5">#REF!</definedName>
    <definedName name="DOMESP90X63_S6">#REF!</definedName>
    <definedName name="DOR">#REF!</definedName>
    <definedName name="DOT">#REF!</definedName>
    <definedName name="dota">#REF!</definedName>
    <definedName name="Dp">#REF!</definedName>
    <definedName name="dr" localSheetId="9">'[26]Gabinetes ctrol, prot. y med. '!#REF!</definedName>
    <definedName name="dr">'[26]Gabinetes ctrol, prot. y med. '!#REF!</definedName>
    <definedName name="DRAWING_LEAD_TIME">#REF!</definedName>
    <definedName name="drf">#REF!</definedName>
    <definedName name="drr" localSheetId="9">'[26]Gabinetes ctrol, prot. y med. '!#REF!</definedName>
    <definedName name="drr">'[26]Gabinetes ctrol, prot. y med. '!#REF!</definedName>
    <definedName name="DRTOS1">'[148]Cost Codes'!$B$4:$G$331</definedName>
    <definedName name="dry" localSheetId="39">{"via1",#N/A,TRUE,"general";"via2",#N/A,TRUE,"general";"via3",#N/A,TRUE,"general"}</definedName>
    <definedName name="dry" localSheetId="20">{"via1",#N/A,TRUE,"general";"via2",#N/A,TRUE,"general";"via3",#N/A,TRUE,"general"}</definedName>
    <definedName name="dry" localSheetId="21">{"via1",#N/A,TRUE,"general";"via2",#N/A,TRUE,"general";"via3",#N/A,TRUE,"general"}</definedName>
    <definedName name="dry" localSheetId="9">{"via1",#N/A,TRUE,"general";"via2",#N/A,TRUE,"general";"via3",#N/A,TRUE,"general"}</definedName>
    <definedName name="dry" localSheetId="19">{"via1",#N/A,TRUE,"general";"via2",#N/A,TRUE,"general";"via3",#N/A,TRUE,"general"}</definedName>
    <definedName name="dry" localSheetId="28">{"via1",#N/A,TRUE,"general";"via2",#N/A,TRUE,"general";"via3",#N/A,TRUE,"general"}</definedName>
    <definedName name="dry" localSheetId="29">{"via1",#N/A,TRUE,"general";"via2",#N/A,TRUE,"general";"via3",#N/A,TRUE,"general"}</definedName>
    <definedName name="dry">{"via1",#N/A,TRUE,"general";"via2",#N/A,TRUE,"general";"via3",#N/A,TRUE,"general"}</definedName>
    <definedName name="DS">#REF!</definedName>
    <definedName name="DSA">#REF!</definedName>
    <definedName name="DSAD" localSheetId="39">{"via1",#N/A,TRUE,"general";"via2",#N/A,TRUE,"general";"via3",#N/A,TRUE,"general"}</definedName>
    <definedName name="DSAD" localSheetId="20">{"via1",#N/A,TRUE,"general";"via2",#N/A,TRUE,"general";"via3",#N/A,TRUE,"general"}</definedName>
    <definedName name="DSAD" localSheetId="21">{"via1",#N/A,TRUE,"general";"via2",#N/A,TRUE,"general";"via3",#N/A,TRUE,"general"}</definedName>
    <definedName name="DSAD" localSheetId="9">{"via1",#N/A,TRUE,"general";"via2",#N/A,TRUE,"general";"via3",#N/A,TRUE,"general"}</definedName>
    <definedName name="DSAD" localSheetId="19">{"via1",#N/A,TRUE,"general";"via2",#N/A,TRUE,"general";"via3",#N/A,TRUE,"general"}</definedName>
    <definedName name="DSAD" localSheetId="28">{"via1",#N/A,TRUE,"general";"via2",#N/A,TRUE,"general";"via3",#N/A,TRUE,"general"}</definedName>
    <definedName name="DSAD" localSheetId="29">{"via1",#N/A,TRUE,"general";"via2",#N/A,TRUE,"general";"via3",#N/A,TRUE,"general"}</definedName>
    <definedName name="DSAD">{"via1",#N/A,TRUE,"general";"via2",#N/A,TRUE,"general";"via3",#N/A,TRUE,"general"}</definedName>
    <definedName name="dsadfp" localSheetId="39">{"TAB1",#N/A,TRUE,"GENERAL";"TAB2",#N/A,TRUE,"GENERAL";"TAB3",#N/A,TRUE,"GENERAL";"TAB4",#N/A,TRUE,"GENERAL";"TAB5",#N/A,TRUE,"GENERAL"}</definedName>
    <definedName name="dsadfp" localSheetId="20">{"TAB1",#N/A,TRUE,"GENERAL";"TAB2",#N/A,TRUE,"GENERAL";"TAB3",#N/A,TRUE,"GENERAL";"TAB4",#N/A,TRUE,"GENERAL";"TAB5",#N/A,TRUE,"GENERAL"}</definedName>
    <definedName name="dsadfp" localSheetId="21">{"TAB1",#N/A,TRUE,"GENERAL";"TAB2",#N/A,TRUE,"GENERAL";"TAB3",#N/A,TRUE,"GENERAL";"TAB4",#N/A,TRUE,"GENERAL";"TAB5",#N/A,TRUE,"GENERAL"}</definedName>
    <definedName name="dsadfp" localSheetId="9">{"TAB1",#N/A,TRUE,"GENERAL";"TAB2",#N/A,TRUE,"GENERAL";"TAB3",#N/A,TRUE,"GENERAL";"TAB4",#N/A,TRUE,"GENERAL";"TAB5",#N/A,TRUE,"GENERAL"}</definedName>
    <definedName name="dsadfp" localSheetId="19">{"TAB1",#N/A,TRUE,"GENERAL";"TAB2",#N/A,TRUE,"GENERAL";"TAB3",#N/A,TRUE,"GENERAL";"TAB4",#N/A,TRUE,"GENERAL";"TAB5",#N/A,TRUE,"GENERAL"}</definedName>
    <definedName name="dsadfp" localSheetId="28">{"TAB1",#N/A,TRUE,"GENERAL";"TAB2",#N/A,TRUE,"GENERAL";"TAB3",#N/A,TRUE,"GENERAL";"TAB4",#N/A,TRUE,"GENERAL";"TAB5",#N/A,TRUE,"GENERAL"}</definedName>
    <definedName name="dsadfp" localSheetId="29">{"TAB1",#N/A,TRUE,"GENERAL";"TAB2",#N/A,TRUE,"GENERAL";"TAB3",#N/A,TRUE,"GENERAL";"TAB4",#N/A,TRUE,"GENERAL";"TAB5",#N/A,TRUE,"GENERAL"}</definedName>
    <definedName name="dsadfp">{"TAB1",#N/A,TRUE,"GENERAL";"TAB2",#N/A,TRUE,"GENERAL";"TAB3",#N/A,TRUE,"GENERAL";"TAB4",#N/A,TRUE,"GENERAL";"TAB5",#N/A,TRUE,"GENERAL"}</definedName>
    <definedName name="DSD" localSheetId="39">{"via1",#N/A,TRUE,"general";"via2",#N/A,TRUE,"general";"via3",#N/A,TRUE,"general"}</definedName>
    <definedName name="DSD" localSheetId="20">{"via1",#N/A,TRUE,"general";"via2",#N/A,TRUE,"general";"via3",#N/A,TRUE,"general"}</definedName>
    <definedName name="DSD" localSheetId="21">{"via1",#N/A,TRUE,"general";"via2",#N/A,TRUE,"general";"via3",#N/A,TRUE,"general"}</definedName>
    <definedName name="DSD" localSheetId="9">{"via1",#N/A,TRUE,"general";"via2",#N/A,TRUE,"general";"via3",#N/A,TRUE,"general"}</definedName>
    <definedName name="DSD" localSheetId="19">{"via1",#N/A,TRUE,"general";"via2",#N/A,TRUE,"general";"via3",#N/A,TRUE,"general"}</definedName>
    <definedName name="DSD" localSheetId="28">{"via1",#N/A,TRUE,"general";"via2",#N/A,TRUE,"general";"via3",#N/A,TRUE,"general"}</definedName>
    <definedName name="DSD" localSheetId="29">{"via1",#N/A,TRUE,"general";"via2",#N/A,TRUE,"general";"via3",#N/A,TRUE,"general"}</definedName>
    <definedName name="DSD">{"via1",#N/A,TRUE,"general";"via2",#N/A,TRUE,"general";"via3",#N/A,TRUE,"general"}</definedName>
    <definedName name="dsdads4" localSheetId="39">{"TAB1",#N/A,TRUE,"GENERAL";"TAB2",#N/A,TRUE,"GENERAL";"TAB3",#N/A,TRUE,"GENERAL";"TAB4",#N/A,TRUE,"GENERAL";"TAB5",#N/A,TRUE,"GENERAL"}</definedName>
    <definedName name="dsdads4" localSheetId="20">{"TAB1",#N/A,TRUE,"GENERAL";"TAB2",#N/A,TRUE,"GENERAL";"TAB3",#N/A,TRUE,"GENERAL";"TAB4",#N/A,TRUE,"GENERAL";"TAB5",#N/A,TRUE,"GENERAL"}</definedName>
    <definedName name="dsdads4" localSheetId="21">{"TAB1",#N/A,TRUE,"GENERAL";"TAB2",#N/A,TRUE,"GENERAL";"TAB3",#N/A,TRUE,"GENERAL";"TAB4",#N/A,TRUE,"GENERAL";"TAB5",#N/A,TRUE,"GENERAL"}</definedName>
    <definedName name="dsdads4" localSheetId="9">{"TAB1",#N/A,TRUE,"GENERAL";"TAB2",#N/A,TRUE,"GENERAL";"TAB3",#N/A,TRUE,"GENERAL";"TAB4",#N/A,TRUE,"GENERAL";"TAB5",#N/A,TRUE,"GENERAL"}</definedName>
    <definedName name="dsdads4" localSheetId="19">{"TAB1",#N/A,TRUE,"GENERAL";"TAB2",#N/A,TRUE,"GENERAL";"TAB3",#N/A,TRUE,"GENERAL";"TAB4",#N/A,TRUE,"GENERAL";"TAB5",#N/A,TRUE,"GENERAL"}</definedName>
    <definedName name="dsdads4" localSheetId="28">{"TAB1",#N/A,TRUE,"GENERAL";"TAB2",#N/A,TRUE,"GENERAL";"TAB3",#N/A,TRUE,"GENERAL";"TAB4",#N/A,TRUE,"GENERAL";"TAB5",#N/A,TRUE,"GENERAL"}</definedName>
    <definedName name="dsdads4" localSheetId="29">{"TAB1",#N/A,TRUE,"GENERAL";"TAB2",#N/A,TRUE,"GENERAL";"TAB3",#N/A,TRUE,"GENERAL";"TAB4",#N/A,TRUE,"GENERAL";"TAB5",#N/A,TRUE,"GENERAL"}</definedName>
    <definedName name="dsdads4">{"TAB1",#N/A,TRUE,"GENERAL";"TAB2",#N/A,TRUE,"GENERAL";"TAB3",#N/A,TRUE,"GENERAL";"TAB4",#N/A,TRUE,"GENERAL";"TAB5",#N/A,TRUE,"GENERAL"}</definedName>
    <definedName name="DSDSE" localSheetId="28">[84]Estruc.ICEL!#REF!</definedName>
    <definedName name="DSDSE" localSheetId="29">[84]Estruc.ICEL!#REF!</definedName>
    <definedName name="DSDSE">[82]Estruc.ICEL!#REF!</definedName>
    <definedName name="DSF" localSheetId="39">{"via1",#N/A,TRUE,"general";"via2",#N/A,TRUE,"general";"via3",#N/A,TRUE,"general"}</definedName>
    <definedName name="DSF" localSheetId="20">{"via1",#N/A,TRUE,"general";"via2",#N/A,TRUE,"general";"via3",#N/A,TRUE,"general"}</definedName>
    <definedName name="DSF" localSheetId="21">{"via1",#N/A,TRUE,"general";"via2",#N/A,TRUE,"general";"via3",#N/A,TRUE,"general"}</definedName>
    <definedName name="DSF" localSheetId="9">{"via1",#N/A,TRUE,"general";"via2",#N/A,TRUE,"general";"via3",#N/A,TRUE,"general"}</definedName>
    <definedName name="DSF" localSheetId="19">{"via1",#N/A,TRUE,"general";"via2",#N/A,TRUE,"general";"via3",#N/A,TRUE,"general"}</definedName>
    <definedName name="DSF" localSheetId="17">'[149]A.P.U'!#REF!</definedName>
    <definedName name="DSF" localSheetId="18">'[149]A.P.U'!#REF!</definedName>
    <definedName name="DSF" localSheetId="28">{"via1",#N/A,TRUE,"general";"via2",#N/A,TRUE,"general";"via3",#N/A,TRUE,"general"}</definedName>
    <definedName name="DSF" localSheetId="29">{"via1",#N/A,TRUE,"general";"via2",#N/A,TRUE,"general";"via3",#N/A,TRUE,"general"}</definedName>
    <definedName name="DSF" localSheetId="12">'[149]A.P.U'!#REF!</definedName>
    <definedName name="DSF">{"via1",#N/A,TRUE,"general";"via2",#N/A,TRUE,"general";"via3",#N/A,TRUE,"general"}</definedName>
    <definedName name="DSFCVTY" localSheetId="39">{"TAB1",#N/A,TRUE,"GENERAL";"TAB2",#N/A,TRUE,"GENERAL";"TAB3",#N/A,TRUE,"GENERAL";"TAB4",#N/A,TRUE,"GENERAL";"TAB5",#N/A,TRUE,"GENERAL"}</definedName>
    <definedName name="DSFCVTY" localSheetId="20">{"TAB1",#N/A,TRUE,"GENERAL";"TAB2",#N/A,TRUE,"GENERAL";"TAB3",#N/A,TRUE,"GENERAL";"TAB4",#N/A,TRUE,"GENERAL";"TAB5",#N/A,TRUE,"GENERAL"}</definedName>
    <definedName name="DSFCVTY" localSheetId="21">{"TAB1",#N/A,TRUE,"GENERAL";"TAB2",#N/A,TRUE,"GENERAL";"TAB3",#N/A,TRUE,"GENERAL";"TAB4",#N/A,TRUE,"GENERAL";"TAB5",#N/A,TRUE,"GENERAL"}</definedName>
    <definedName name="DSFCVTY" localSheetId="9">{"TAB1",#N/A,TRUE,"GENERAL";"TAB2",#N/A,TRUE,"GENERAL";"TAB3",#N/A,TRUE,"GENERAL";"TAB4",#N/A,TRUE,"GENERAL";"TAB5",#N/A,TRUE,"GENERAL"}</definedName>
    <definedName name="DSFCVTY" localSheetId="19">{"TAB1",#N/A,TRUE,"GENERAL";"TAB2",#N/A,TRUE,"GENERAL";"TAB3",#N/A,TRUE,"GENERAL";"TAB4",#N/A,TRUE,"GENERAL";"TAB5",#N/A,TRUE,"GENERAL"}</definedName>
    <definedName name="DSFCVTY" localSheetId="28">{"TAB1",#N/A,TRUE,"GENERAL";"TAB2",#N/A,TRUE,"GENERAL";"TAB3",#N/A,TRUE,"GENERAL";"TAB4",#N/A,TRUE,"GENERAL";"TAB5",#N/A,TRUE,"GENERAL"}</definedName>
    <definedName name="DSFCVTY" localSheetId="29">{"TAB1",#N/A,TRUE,"GENERAL";"TAB2",#N/A,TRUE,"GENERAL";"TAB3",#N/A,TRUE,"GENERAL";"TAB4",#N/A,TRUE,"GENERAL";"TAB5",#N/A,TRUE,"GENERAL"}</definedName>
    <definedName name="DSFCVTY">{"TAB1",#N/A,TRUE,"GENERAL";"TAB2",#N/A,TRUE,"GENERAL";"TAB3",#N/A,TRUE,"GENERAL";"TAB4",#N/A,TRUE,"GENERAL";"TAB5",#N/A,TRUE,"GENERAL"}</definedName>
    <definedName name="dsfg" localSheetId="39">{"via1",#N/A,TRUE,"general";"via2",#N/A,TRUE,"general";"via3",#N/A,TRUE,"general"}</definedName>
    <definedName name="dsfg" localSheetId="20">{"via1",#N/A,TRUE,"general";"via2",#N/A,TRUE,"general";"via3",#N/A,TRUE,"general"}</definedName>
    <definedName name="dsfg" localSheetId="21">{"via1",#N/A,TRUE,"general";"via2",#N/A,TRUE,"general";"via3",#N/A,TRUE,"general"}</definedName>
    <definedName name="dsfg" localSheetId="9">{"via1",#N/A,TRUE,"general";"via2",#N/A,TRUE,"general";"via3",#N/A,TRUE,"general"}</definedName>
    <definedName name="dsfg" localSheetId="19">{"via1",#N/A,TRUE,"general";"via2",#N/A,TRUE,"general";"via3",#N/A,TRUE,"general"}</definedName>
    <definedName name="dsfg" localSheetId="28">{"via1",#N/A,TRUE,"general";"via2",#N/A,TRUE,"general";"via3",#N/A,TRUE,"general"}</definedName>
    <definedName name="dsfg" localSheetId="29">{"via1",#N/A,TRUE,"general";"via2",#N/A,TRUE,"general";"via3",#N/A,TRUE,"general"}</definedName>
    <definedName name="dsfg">{"via1",#N/A,TRUE,"general";"via2",#N/A,TRUE,"general";"via3",#N/A,TRUE,"general"}</definedName>
    <definedName name="dsfhgfdh" localSheetId="39">{"TAB1",#N/A,TRUE,"GENERAL";"TAB2",#N/A,TRUE,"GENERAL";"TAB3",#N/A,TRUE,"GENERAL";"TAB4",#N/A,TRUE,"GENERAL";"TAB5",#N/A,TRUE,"GENERAL"}</definedName>
    <definedName name="dsfhgfdh" localSheetId="20">{"TAB1",#N/A,TRUE,"GENERAL";"TAB2",#N/A,TRUE,"GENERAL";"TAB3",#N/A,TRUE,"GENERAL";"TAB4",#N/A,TRUE,"GENERAL";"TAB5",#N/A,TRUE,"GENERAL"}</definedName>
    <definedName name="dsfhgfdh" localSheetId="21">{"TAB1",#N/A,TRUE,"GENERAL";"TAB2",#N/A,TRUE,"GENERAL";"TAB3",#N/A,TRUE,"GENERAL";"TAB4",#N/A,TRUE,"GENERAL";"TAB5",#N/A,TRUE,"GENERAL"}</definedName>
    <definedName name="dsfhgfdh" localSheetId="9">{"TAB1",#N/A,TRUE,"GENERAL";"TAB2",#N/A,TRUE,"GENERAL";"TAB3",#N/A,TRUE,"GENERAL";"TAB4",#N/A,TRUE,"GENERAL";"TAB5",#N/A,TRUE,"GENERAL"}</definedName>
    <definedName name="dsfhgfdh" localSheetId="19">{"TAB1",#N/A,TRUE,"GENERAL";"TAB2",#N/A,TRUE,"GENERAL";"TAB3",#N/A,TRUE,"GENERAL";"TAB4",#N/A,TRUE,"GENERAL";"TAB5",#N/A,TRUE,"GENERAL"}</definedName>
    <definedName name="dsfhgfdh" localSheetId="28">{"TAB1",#N/A,TRUE,"GENERAL";"TAB2",#N/A,TRUE,"GENERAL";"TAB3",#N/A,TRUE,"GENERAL";"TAB4",#N/A,TRUE,"GENERAL";"TAB5",#N/A,TRUE,"GENERAL"}</definedName>
    <definedName name="dsfhgfdh" localSheetId="29">{"TAB1",#N/A,TRUE,"GENERAL";"TAB2",#N/A,TRUE,"GENERAL";"TAB3",#N/A,TRUE,"GENERAL";"TAB4",#N/A,TRUE,"GENERAL";"TAB5",#N/A,TRUE,"GENERAL"}</definedName>
    <definedName name="dsfhgfdh">{"TAB1",#N/A,TRUE,"GENERAL";"TAB2",#N/A,TRUE,"GENERAL";"TAB3",#N/A,TRUE,"GENERAL";"TAB4",#N/A,TRUE,"GENERAL";"TAB5",#N/A,TRUE,"GENERAL"}</definedName>
    <definedName name="dsfsdf" localSheetId="39">{"via1",#N/A,TRUE,"general";"via2",#N/A,TRUE,"general";"via3",#N/A,TRUE,"general"}</definedName>
    <definedName name="dsfsdf" localSheetId="20">{"via1",#N/A,TRUE,"general";"via2",#N/A,TRUE,"general";"via3",#N/A,TRUE,"general"}</definedName>
    <definedName name="dsfsdf" localSheetId="21">{"via1",#N/A,TRUE,"general";"via2",#N/A,TRUE,"general";"via3",#N/A,TRUE,"general"}</definedName>
    <definedName name="dsfsdf" localSheetId="9">{"via1",#N/A,TRUE,"general";"via2",#N/A,TRUE,"general";"via3",#N/A,TRUE,"general"}</definedName>
    <definedName name="dsfsdf" localSheetId="19">{"via1",#N/A,TRUE,"general";"via2",#N/A,TRUE,"general";"via3",#N/A,TRUE,"general"}</definedName>
    <definedName name="dsfsdf" localSheetId="28">{"via1",#N/A,TRUE,"general";"via2",#N/A,TRUE,"general";"via3",#N/A,TRUE,"general"}</definedName>
    <definedName name="dsfsdf" localSheetId="29">{"via1",#N/A,TRUE,"general";"via2",#N/A,TRUE,"general";"via3",#N/A,TRUE,"general"}</definedName>
    <definedName name="dsfsdf">{"via1",#N/A,TRUE,"general";"via2",#N/A,TRUE,"general";"via3",#N/A,TRUE,"general"}</definedName>
    <definedName name="DSFSDFCXV" localSheetId="39">{"TAB1",#N/A,TRUE,"GENERAL";"TAB2",#N/A,TRUE,"GENERAL";"TAB3",#N/A,TRUE,"GENERAL";"TAB4",#N/A,TRUE,"GENERAL";"TAB5",#N/A,TRUE,"GENERAL"}</definedName>
    <definedName name="DSFSDFCXV" localSheetId="20">{"TAB1",#N/A,TRUE,"GENERAL";"TAB2",#N/A,TRUE,"GENERAL";"TAB3",#N/A,TRUE,"GENERAL";"TAB4",#N/A,TRUE,"GENERAL";"TAB5",#N/A,TRUE,"GENERAL"}</definedName>
    <definedName name="DSFSDFCXV" localSheetId="21">{"TAB1",#N/A,TRUE,"GENERAL";"TAB2",#N/A,TRUE,"GENERAL";"TAB3",#N/A,TRUE,"GENERAL";"TAB4",#N/A,TRUE,"GENERAL";"TAB5",#N/A,TRUE,"GENERAL"}</definedName>
    <definedName name="DSFSDFCXV" localSheetId="9">{"TAB1",#N/A,TRUE,"GENERAL";"TAB2",#N/A,TRUE,"GENERAL";"TAB3",#N/A,TRUE,"GENERAL";"TAB4",#N/A,TRUE,"GENERAL";"TAB5",#N/A,TRUE,"GENERAL"}</definedName>
    <definedName name="DSFSDFCXV" localSheetId="19">{"TAB1",#N/A,TRUE,"GENERAL";"TAB2",#N/A,TRUE,"GENERAL";"TAB3",#N/A,TRUE,"GENERAL";"TAB4",#N/A,TRUE,"GENERAL";"TAB5",#N/A,TRUE,"GENERAL"}</definedName>
    <definedName name="DSFSDFCXV" localSheetId="28">{"TAB1",#N/A,TRUE,"GENERAL";"TAB2",#N/A,TRUE,"GENERAL";"TAB3",#N/A,TRUE,"GENERAL";"TAB4",#N/A,TRUE,"GENERAL";"TAB5",#N/A,TRUE,"GENERAL"}</definedName>
    <definedName name="DSFSDFCXV" localSheetId="29">{"TAB1",#N/A,TRUE,"GENERAL";"TAB2",#N/A,TRUE,"GENERAL";"TAB3",#N/A,TRUE,"GENERAL";"TAB4",#N/A,TRUE,"GENERAL";"TAB5",#N/A,TRUE,"GENERAL"}</definedName>
    <definedName name="DSFSDFCXV">{"TAB1",#N/A,TRUE,"GENERAL";"TAB2",#N/A,TRUE,"GENERAL";"TAB3",#N/A,TRUE,"GENERAL";"TAB4",#N/A,TRUE,"GENERAL";"TAB5",#N/A,TRUE,"GENERAL"}</definedName>
    <definedName name="dsfsvm" localSheetId="39">{"TAB1",#N/A,TRUE,"GENERAL";"TAB2",#N/A,TRUE,"GENERAL";"TAB3",#N/A,TRUE,"GENERAL";"TAB4",#N/A,TRUE,"GENERAL";"TAB5",#N/A,TRUE,"GENERAL"}</definedName>
    <definedName name="dsfsvm" localSheetId="20">{"TAB1",#N/A,TRUE,"GENERAL";"TAB2",#N/A,TRUE,"GENERAL";"TAB3",#N/A,TRUE,"GENERAL";"TAB4",#N/A,TRUE,"GENERAL";"TAB5",#N/A,TRUE,"GENERAL"}</definedName>
    <definedName name="dsfsvm" localSheetId="21">{"TAB1",#N/A,TRUE,"GENERAL";"TAB2",#N/A,TRUE,"GENERAL";"TAB3",#N/A,TRUE,"GENERAL";"TAB4",#N/A,TRUE,"GENERAL";"TAB5",#N/A,TRUE,"GENERAL"}</definedName>
    <definedName name="dsfsvm" localSheetId="9">{"TAB1",#N/A,TRUE,"GENERAL";"TAB2",#N/A,TRUE,"GENERAL";"TAB3",#N/A,TRUE,"GENERAL";"TAB4",#N/A,TRUE,"GENERAL";"TAB5",#N/A,TRUE,"GENERAL"}</definedName>
    <definedName name="dsfsvm" localSheetId="19">{"TAB1",#N/A,TRUE,"GENERAL";"TAB2",#N/A,TRUE,"GENERAL";"TAB3",#N/A,TRUE,"GENERAL";"TAB4",#N/A,TRUE,"GENERAL";"TAB5",#N/A,TRUE,"GENERAL"}</definedName>
    <definedName name="dsfsvm" localSheetId="28">{"TAB1",#N/A,TRUE,"GENERAL";"TAB2",#N/A,TRUE,"GENERAL";"TAB3",#N/A,TRUE,"GENERAL";"TAB4",#N/A,TRUE,"GENERAL";"TAB5",#N/A,TRUE,"GENERAL"}</definedName>
    <definedName name="dsfsvm" localSheetId="29">{"TAB1",#N/A,TRUE,"GENERAL";"TAB2",#N/A,TRUE,"GENERAL";"TAB3",#N/A,TRUE,"GENERAL";"TAB4",#N/A,TRUE,"GENERAL";"TAB5",#N/A,TRUE,"GENERAL"}</definedName>
    <definedName name="dsfsvm">{"TAB1",#N/A,TRUE,"GENERAL";"TAB2",#N/A,TRUE,"GENERAL";"TAB3",#N/A,TRUE,"GENERAL";"TAB4",#N/A,TRUE,"GENERAL";"TAB5",#N/A,TRUE,"GENERAL"}</definedName>
    <definedName name="dsftbv" localSheetId="39">{"via1",#N/A,TRUE,"general";"via2",#N/A,TRUE,"general";"via3",#N/A,TRUE,"general"}</definedName>
    <definedName name="dsftbv" localSheetId="20">{"via1",#N/A,TRUE,"general";"via2",#N/A,TRUE,"general";"via3",#N/A,TRUE,"general"}</definedName>
    <definedName name="dsftbv" localSheetId="21">{"via1",#N/A,TRUE,"general";"via2",#N/A,TRUE,"general";"via3",#N/A,TRUE,"general"}</definedName>
    <definedName name="dsftbv" localSheetId="9">{"via1",#N/A,TRUE,"general";"via2",#N/A,TRUE,"general";"via3",#N/A,TRUE,"general"}</definedName>
    <definedName name="dsftbv" localSheetId="19">{"via1",#N/A,TRUE,"general";"via2",#N/A,TRUE,"general";"via3",#N/A,TRUE,"general"}</definedName>
    <definedName name="dsftbv" localSheetId="28">{"via1",#N/A,TRUE,"general";"via2",#N/A,TRUE,"general";"via3",#N/A,TRUE,"general"}</definedName>
    <definedName name="dsftbv" localSheetId="29">{"via1",#N/A,TRUE,"general";"via2",#N/A,TRUE,"general";"via3",#N/A,TRUE,"general"}</definedName>
    <definedName name="dsftbv">{"via1",#N/A,TRUE,"general";"via2",#N/A,TRUE,"general";"via3",#N/A,TRUE,"general"}</definedName>
    <definedName name="dt">#REF!</definedName>
    <definedName name="dtf">#REF!</definedName>
    <definedName name="DTFSMedida">#REF!</definedName>
    <definedName name="DtmFechaCotizacion">#REF!</definedName>
    <definedName name="DtmFechVigenCotiza">#REF!</definedName>
    <definedName name="dtrhj" localSheetId="39">{"via1",#N/A,TRUE,"general";"via2",#N/A,TRUE,"general";"via3",#N/A,TRUE,"general"}</definedName>
    <definedName name="dtrhj" localSheetId="20">{"via1",#N/A,TRUE,"general";"via2",#N/A,TRUE,"general";"via3",#N/A,TRUE,"general"}</definedName>
    <definedName name="dtrhj" localSheetId="21">{"via1",#N/A,TRUE,"general";"via2",#N/A,TRUE,"general";"via3",#N/A,TRUE,"general"}</definedName>
    <definedName name="dtrhj" localSheetId="9">{"via1",#N/A,TRUE,"general";"via2",#N/A,TRUE,"general";"via3",#N/A,TRUE,"general"}</definedName>
    <definedName name="dtrhj" localSheetId="19">{"via1",#N/A,TRUE,"general";"via2",#N/A,TRUE,"general";"via3",#N/A,TRUE,"general"}</definedName>
    <definedName name="dtrhj" localSheetId="28">{"via1",#N/A,TRUE,"general";"via2",#N/A,TRUE,"general";"via3",#N/A,TRUE,"general"}</definedName>
    <definedName name="dtrhj" localSheetId="29">{"via1",#N/A,TRUE,"general";"via2",#N/A,TRUE,"general";"via3",#N/A,TRUE,"general"}</definedName>
    <definedName name="dtrhj">{"via1",#N/A,TRUE,"general";"via2",#N/A,TRUE,"general";"via3",#N/A,TRUE,"general"}</definedName>
    <definedName name="DTS">#REF!</definedName>
    <definedName name="Duitama">#REF!</definedName>
    <definedName name="DuracionMeses" localSheetId="9">'ENSAYOS DE LABORATORIO'!#REF!</definedName>
    <definedName name="DuracionMeses">#REF!</definedName>
    <definedName name="DuracionSemanas" localSheetId="9">'ENSAYOS DE LABORATORIO'!#REF!</definedName>
    <definedName name="DuracionSemanas">#REF!</definedName>
    <definedName name="dutr">#REF!</definedName>
    <definedName name="Dv">#REF!</definedName>
    <definedName name="dxd">[19]CALCULO!$E$75</definedName>
    <definedName name="dxfgg" localSheetId="39">{"via1",#N/A,TRUE,"general";"via2",#N/A,TRUE,"general";"via3",#N/A,TRUE,"general"}</definedName>
    <definedName name="dxfgg" localSheetId="20">{"via1",#N/A,TRUE,"general";"via2",#N/A,TRUE,"general";"via3",#N/A,TRUE,"general"}</definedName>
    <definedName name="dxfgg" localSheetId="21">{"via1",#N/A,TRUE,"general";"via2",#N/A,TRUE,"general";"via3",#N/A,TRUE,"general"}</definedName>
    <definedName name="dxfgg" localSheetId="9">{"via1",#N/A,TRUE,"general";"via2",#N/A,TRUE,"general";"via3",#N/A,TRUE,"general"}</definedName>
    <definedName name="dxfgg" localSheetId="19">{"via1",#N/A,TRUE,"general";"via2",#N/A,TRUE,"general";"via3",#N/A,TRUE,"general"}</definedName>
    <definedName name="dxfgg" localSheetId="28">{"via1",#N/A,TRUE,"general";"via2",#N/A,TRUE,"general";"via3",#N/A,TRUE,"general"}</definedName>
    <definedName name="dxfgg" localSheetId="29">{"via1",#N/A,TRUE,"general";"via2",#N/A,TRUE,"general";"via3",#N/A,TRUE,"general"}</definedName>
    <definedName name="dxfgg">{"via1",#N/A,TRUE,"general";"via2",#N/A,TRUE,"general";"via3",#N/A,TRUE,"general"}</definedName>
    <definedName name="DZ.Main" localSheetId="20" hidden="1">#REF!</definedName>
    <definedName name="DZ.Main" localSheetId="21" hidden="1">#REF!</definedName>
    <definedName name="DZ.Main" localSheetId="13" hidden="1">#REF!</definedName>
    <definedName name="DZ.Main" localSheetId="17" hidden="1">#REF!</definedName>
    <definedName name="DZ.Main" localSheetId="18" hidden="1">#REF!</definedName>
    <definedName name="DZ.Main" localSheetId="12" hidden="1">#REF!</definedName>
    <definedName name="DZ.Main" hidden="1">#REF!</definedName>
    <definedName name="e" localSheetId="17">#REF!</definedName>
    <definedName name="e" localSheetId="18">#REF!</definedName>
    <definedName name="e" localSheetId="12">#REF!</definedName>
    <definedName name="E">[24]D_AWG!$P$35</definedName>
    <definedName name="E_03">#REF!</definedName>
    <definedName name="e_INSTALACIONES_HIDRAULICAS">#REF!</definedName>
    <definedName name="e3e33" localSheetId="39">{"via1",#N/A,TRUE,"general";"via2",#N/A,TRUE,"general";"via3",#N/A,TRUE,"general"}</definedName>
    <definedName name="e3e33" localSheetId="20">{"via1",#N/A,TRUE,"general";"via2",#N/A,TRUE,"general";"via3",#N/A,TRUE,"general"}</definedName>
    <definedName name="e3e33" localSheetId="21">{"via1",#N/A,TRUE,"general";"via2",#N/A,TRUE,"general";"via3",#N/A,TRUE,"general"}</definedName>
    <definedName name="e3e33" localSheetId="9">{"via1",#N/A,TRUE,"general";"via2",#N/A,TRUE,"general";"via3",#N/A,TRUE,"general"}</definedName>
    <definedName name="e3e33" localSheetId="19">{"via1",#N/A,TRUE,"general";"via2",#N/A,TRUE,"general";"via3",#N/A,TRUE,"general"}</definedName>
    <definedName name="e3e33" localSheetId="28">{"via1",#N/A,TRUE,"general";"via2",#N/A,TRUE,"general";"via3",#N/A,TRUE,"general"}</definedName>
    <definedName name="e3e33" localSheetId="29">{"via1",#N/A,TRUE,"general";"via2",#N/A,TRUE,"general";"via3",#N/A,TRUE,"general"}</definedName>
    <definedName name="e3e33">{"via1",#N/A,TRUE,"general";"via2",#N/A,TRUE,"general";"via3",#N/A,TRUE,"general"}</definedName>
    <definedName name="ED">#REF!</definedName>
    <definedName name="EDEDWSWQA" localSheetId="39">{"TAB1",#N/A,TRUE,"GENERAL";"TAB2",#N/A,TRUE,"GENERAL";"TAB3",#N/A,TRUE,"GENERAL";"TAB4",#N/A,TRUE,"GENERAL";"TAB5",#N/A,TRUE,"GENERAL"}</definedName>
    <definedName name="EDEDWSWQA" localSheetId="20">{"TAB1",#N/A,TRUE,"GENERAL";"TAB2",#N/A,TRUE,"GENERAL";"TAB3",#N/A,TRUE,"GENERAL";"TAB4",#N/A,TRUE,"GENERAL";"TAB5",#N/A,TRUE,"GENERAL"}</definedName>
    <definedName name="EDEDWSWQA" localSheetId="21">{"TAB1",#N/A,TRUE,"GENERAL";"TAB2",#N/A,TRUE,"GENERAL";"TAB3",#N/A,TRUE,"GENERAL";"TAB4",#N/A,TRUE,"GENERAL";"TAB5",#N/A,TRUE,"GENERAL"}</definedName>
    <definedName name="EDEDWSWQA" localSheetId="9">{"TAB1",#N/A,TRUE,"GENERAL";"TAB2",#N/A,TRUE,"GENERAL";"TAB3",#N/A,TRUE,"GENERAL";"TAB4",#N/A,TRUE,"GENERAL";"TAB5",#N/A,TRUE,"GENERAL"}</definedName>
    <definedName name="EDEDWSWQA" localSheetId="19">{"TAB1",#N/A,TRUE,"GENERAL";"TAB2",#N/A,TRUE,"GENERAL";"TAB3",#N/A,TRUE,"GENERAL";"TAB4",#N/A,TRUE,"GENERAL";"TAB5",#N/A,TRUE,"GENERAL"}</definedName>
    <definedName name="EDEDWSWQA" localSheetId="28">{"TAB1",#N/A,TRUE,"GENERAL";"TAB2",#N/A,TRUE,"GENERAL";"TAB3",#N/A,TRUE,"GENERAL";"TAB4",#N/A,TRUE,"GENERAL";"TAB5",#N/A,TRUE,"GENERAL"}</definedName>
    <definedName name="EDEDWSWQA" localSheetId="29">{"TAB1",#N/A,TRUE,"GENERAL";"TAB2",#N/A,TRUE,"GENERAL";"TAB3",#N/A,TRUE,"GENERAL";"TAB4",#N/A,TRUE,"GENERAL";"TAB5",#N/A,TRUE,"GENERAL"}</definedName>
    <definedName name="EDEDWSWQA">{"TAB1",#N/A,TRUE,"GENERAL";"TAB2",#N/A,TRUE,"GENERAL";"TAB3",#N/A,TRUE,"GENERAL";"TAB4",#N/A,TRUE,"GENERAL";"TAB5",#N/A,TRUE,"GENERAL"}</definedName>
    <definedName name="edgfhmn" localSheetId="39">{"via1",#N/A,TRUE,"general";"via2",#N/A,TRUE,"general";"via3",#N/A,TRUE,"general"}</definedName>
    <definedName name="edgfhmn" localSheetId="20">{"via1",#N/A,TRUE,"general";"via2",#N/A,TRUE,"general";"via3",#N/A,TRUE,"general"}</definedName>
    <definedName name="edgfhmn" localSheetId="21">{"via1",#N/A,TRUE,"general";"via2",#N/A,TRUE,"general";"via3",#N/A,TRUE,"general"}</definedName>
    <definedName name="edgfhmn" localSheetId="9">{"via1",#N/A,TRUE,"general";"via2",#N/A,TRUE,"general";"via3",#N/A,TRUE,"general"}</definedName>
    <definedName name="edgfhmn" localSheetId="19">{"via1",#N/A,TRUE,"general";"via2",#N/A,TRUE,"general";"via3",#N/A,TRUE,"general"}</definedName>
    <definedName name="edgfhmn" localSheetId="28">{"via1",#N/A,TRUE,"general";"via2",#N/A,TRUE,"general";"via3",#N/A,TRUE,"general"}</definedName>
    <definedName name="edgfhmn" localSheetId="29">{"via1",#N/A,TRUE,"general";"via2",#N/A,TRUE,"general";"via3",#N/A,TRUE,"general"}</definedName>
    <definedName name="edgfhmn">{"via1",#N/A,TRUE,"general";"via2",#N/A,TRUE,"general";"via3",#N/A,TRUE,"general"}</definedName>
    <definedName name="edil">[55]lisprecios!#REF!</definedName>
    <definedName name="EDWIN">#REF!</definedName>
    <definedName name="EE" localSheetId="9">#REF!</definedName>
    <definedName name="EE" localSheetId="17">'[118]C - CENTROS DE COSTO Y GASTOS'!$D$5:$E$123</definedName>
    <definedName name="EE" localSheetId="18">'[118]C - CENTROS DE COSTO Y GASTOS'!$D$5:$E$123</definedName>
    <definedName name="EE" localSheetId="12">'[118]C - CENTROS DE COSTO Y GASTOS'!$D$5:$E$123</definedName>
    <definedName name="EE">#REF!</definedName>
    <definedName name="eee" localSheetId="9">#REF!</definedName>
    <definedName name="eee">#REF!</definedName>
    <definedName name="eeedfr" localSheetId="39">{"TAB1",#N/A,TRUE,"GENERAL";"TAB2",#N/A,TRUE,"GENERAL";"TAB3",#N/A,TRUE,"GENERAL";"TAB4",#N/A,TRUE,"GENERAL";"TAB5",#N/A,TRUE,"GENERAL"}</definedName>
    <definedName name="eeedfr" localSheetId="20">{"TAB1",#N/A,TRUE,"GENERAL";"TAB2",#N/A,TRUE,"GENERAL";"TAB3",#N/A,TRUE,"GENERAL";"TAB4",#N/A,TRUE,"GENERAL";"TAB5",#N/A,TRUE,"GENERAL"}</definedName>
    <definedName name="eeedfr" localSheetId="21">{"TAB1",#N/A,TRUE,"GENERAL";"TAB2",#N/A,TRUE,"GENERAL";"TAB3",#N/A,TRUE,"GENERAL";"TAB4",#N/A,TRUE,"GENERAL";"TAB5",#N/A,TRUE,"GENERAL"}</definedName>
    <definedName name="eeedfr" localSheetId="9">{"TAB1",#N/A,TRUE,"GENERAL";"TAB2",#N/A,TRUE,"GENERAL";"TAB3",#N/A,TRUE,"GENERAL";"TAB4",#N/A,TRUE,"GENERAL";"TAB5",#N/A,TRUE,"GENERAL"}</definedName>
    <definedName name="eeedfr" localSheetId="19">{"TAB1",#N/A,TRUE,"GENERAL";"TAB2",#N/A,TRUE,"GENERAL";"TAB3",#N/A,TRUE,"GENERAL";"TAB4",#N/A,TRUE,"GENERAL";"TAB5",#N/A,TRUE,"GENERAL"}</definedName>
    <definedName name="eeedfr" localSheetId="28">{"TAB1",#N/A,TRUE,"GENERAL";"TAB2",#N/A,TRUE,"GENERAL";"TAB3",#N/A,TRUE,"GENERAL";"TAB4",#N/A,TRUE,"GENERAL";"TAB5",#N/A,TRUE,"GENERAL"}</definedName>
    <definedName name="eeedfr" localSheetId="29">{"TAB1",#N/A,TRUE,"GENERAL";"TAB2",#N/A,TRUE,"GENERAL";"TAB3",#N/A,TRUE,"GENERAL";"TAB4",#N/A,TRUE,"GENERAL";"TAB5",#N/A,TRUE,"GENERAL"}</definedName>
    <definedName name="eeedfr">{"TAB1",#N/A,TRUE,"GENERAL";"TAB2",#N/A,TRUE,"GENERAL";"TAB3",#N/A,TRUE,"GENERAL";"TAB4",#N/A,TRUE,"GENERAL";"TAB5",#N/A,TRUE,"GENERAL"}</definedName>
    <definedName name="eeeeeeeeee">#REF!</definedName>
    <definedName name="eeeeeeeeeee">#REF!</definedName>
    <definedName name="eeeeer" localSheetId="39">{"TAB1",#N/A,TRUE,"GENERAL";"TAB2",#N/A,TRUE,"GENERAL";"TAB3",#N/A,TRUE,"GENERAL";"TAB4",#N/A,TRUE,"GENERAL";"TAB5",#N/A,TRUE,"GENERAL"}</definedName>
    <definedName name="eeeeer" localSheetId="20">{"TAB1",#N/A,TRUE,"GENERAL";"TAB2",#N/A,TRUE,"GENERAL";"TAB3",#N/A,TRUE,"GENERAL";"TAB4",#N/A,TRUE,"GENERAL";"TAB5",#N/A,TRUE,"GENERAL"}</definedName>
    <definedName name="eeeeer" localSheetId="21">{"TAB1",#N/A,TRUE,"GENERAL";"TAB2",#N/A,TRUE,"GENERAL";"TAB3",#N/A,TRUE,"GENERAL";"TAB4",#N/A,TRUE,"GENERAL";"TAB5",#N/A,TRUE,"GENERAL"}</definedName>
    <definedName name="eeeeer" localSheetId="9">{"TAB1",#N/A,TRUE,"GENERAL";"TAB2",#N/A,TRUE,"GENERAL";"TAB3",#N/A,TRUE,"GENERAL";"TAB4",#N/A,TRUE,"GENERAL";"TAB5",#N/A,TRUE,"GENERAL"}</definedName>
    <definedName name="eeeeer" localSheetId="19">{"TAB1",#N/A,TRUE,"GENERAL";"TAB2",#N/A,TRUE,"GENERAL";"TAB3",#N/A,TRUE,"GENERAL";"TAB4",#N/A,TRUE,"GENERAL";"TAB5",#N/A,TRUE,"GENERAL"}</definedName>
    <definedName name="eeeeer" localSheetId="28">{"TAB1",#N/A,TRUE,"GENERAL";"TAB2",#N/A,TRUE,"GENERAL";"TAB3",#N/A,TRUE,"GENERAL";"TAB4",#N/A,TRUE,"GENERAL";"TAB5",#N/A,TRUE,"GENERAL"}</definedName>
    <definedName name="eeeeer" localSheetId="29">{"TAB1",#N/A,TRUE,"GENERAL";"TAB2",#N/A,TRUE,"GENERAL";"TAB3",#N/A,TRUE,"GENERAL";"TAB4",#N/A,TRUE,"GENERAL";"TAB5",#N/A,TRUE,"GENERAL"}</definedName>
    <definedName name="eeeeer">{"TAB1",#N/A,TRUE,"GENERAL";"TAB2",#N/A,TRUE,"GENERAL";"TAB3",#N/A,TRUE,"GENERAL";"TAB4",#N/A,TRUE,"GENERAL";"TAB5",#N/A,TRUE,"GENERAL"}</definedName>
    <definedName name="eeerfd" localSheetId="39">{"via1",#N/A,TRUE,"general";"via2",#N/A,TRUE,"general";"via3",#N/A,TRUE,"general"}</definedName>
    <definedName name="eeerfd" localSheetId="20">{"via1",#N/A,TRUE,"general";"via2",#N/A,TRUE,"general";"via3",#N/A,TRUE,"general"}</definedName>
    <definedName name="eeerfd" localSheetId="21">{"via1",#N/A,TRUE,"general";"via2",#N/A,TRUE,"general";"via3",#N/A,TRUE,"general"}</definedName>
    <definedName name="eeerfd" localSheetId="9">{"via1",#N/A,TRUE,"general";"via2",#N/A,TRUE,"general";"via3",#N/A,TRUE,"general"}</definedName>
    <definedName name="eeerfd" localSheetId="19">{"via1",#N/A,TRUE,"general";"via2",#N/A,TRUE,"general";"via3",#N/A,TRUE,"general"}</definedName>
    <definedName name="eeerfd" localSheetId="28">{"via1",#N/A,TRUE,"general";"via2",#N/A,TRUE,"general";"via3",#N/A,TRUE,"general"}</definedName>
    <definedName name="eeerfd" localSheetId="29">{"via1",#N/A,TRUE,"general";"via2",#N/A,TRUE,"general";"via3",#N/A,TRUE,"general"}</definedName>
    <definedName name="eeerfd">{"via1",#N/A,TRUE,"general";"via2",#N/A,TRUE,"general";"via3",#N/A,TRUE,"general"}</definedName>
    <definedName name="EER">#REF!</definedName>
    <definedName name="EF">[150]AIU!$A$1:$IU$4</definedName>
    <definedName name="efef" localSheetId="39">{"TAB1",#N/A,TRUE,"GENERAL";"TAB2",#N/A,TRUE,"GENERAL";"TAB3",#N/A,TRUE,"GENERAL";"TAB4",#N/A,TRUE,"GENERAL";"TAB5",#N/A,TRUE,"GENERAL"}</definedName>
    <definedName name="efef" localSheetId="20">{"TAB1",#N/A,TRUE,"GENERAL";"TAB2",#N/A,TRUE,"GENERAL";"TAB3",#N/A,TRUE,"GENERAL";"TAB4",#N/A,TRUE,"GENERAL";"TAB5",#N/A,TRUE,"GENERAL"}</definedName>
    <definedName name="efef" localSheetId="21">{"TAB1",#N/A,TRUE,"GENERAL";"TAB2",#N/A,TRUE,"GENERAL";"TAB3",#N/A,TRUE,"GENERAL";"TAB4",#N/A,TRUE,"GENERAL";"TAB5",#N/A,TRUE,"GENERAL"}</definedName>
    <definedName name="efef" localSheetId="9">{"TAB1",#N/A,TRUE,"GENERAL";"TAB2",#N/A,TRUE,"GENERAL";"TAB3",#N/A,TRUE,"GENERAL";"TAB4",#N/A,TRUE,"GENERAL";"TAB5",#N/A,TRUE,"GENERAL"}</definedName>
    <definedName name="efef" localSheetId="19">{"TAB1",#N/A,TRUE,"GENERAL";"TAB2",#N/A,TRUE,"GENERAL";"TAB3",#N/A,TRUE,"GENERAL";"TAB4",#N/A,TRUE,"GENERAL";"TAB5",#N/A,TRUE,"GENERAL"}</definedName>
    <definedName name="efef" localSheetId="28">{"TAB1",#N/A,TRUE,"GENERAL";"TAB2",#N/A,TRUE,"GENERAL";"TAB3",#N/A,TRUE,"GENERAL";"TAB4",#N/A,TRUE,"GENERAL";"TAB5",#N/A,TRUE,"GENERAL"}</definedName>
    <definedName name="efef" localSheetId="29">{"TAB1",#N/A,TRUE,"GENERAL";"TAB2",#N/A,TRUE,"GENERAL";"TAB3",#N/A,TRUE,"GENERAL";"TAB4",#N/A,TRUE,"GENERAL";"TAB5",#N/A,TRUE,"GENERAL"}</definedName>
    <definedName name="efef">{"TAB1",#N/A,TRUE,"GENERAL";"TAB2",#N/A,TRUE,"GENERAL";"TAB3",#N/A,TRUE,"GENERAL";"TAB4",#N/A,TRUE,"GENERAL";"TAB5",#N/A,TRUE,"GENERAL"}</definedName>
    <definedName name="efer" localSheetId="39">{"via1",#N/A,TRUE,"general";"via2",#N/A,TRUE,"general";"via3",#N/A,TRUE,"general"}</definedName>
    <definedName name="efer" localSheetId="20">{"via1",#N/A,TRUE,"general";"via2",#N/A,TRUE,"general";"via3",#N/A,TRUE,"general"}</definedName>
    <definedName name="efer" localSheetId="21">{"via1",#N/A,TRUE,"general";"via2",#N/A,TRUE,"general";"via3",#N/A,TRUE,"general"}</definedName>
    <definedName name="efer" localSheetId="9">{"via1",#N/A,TRUE,"general";"via2",#N/A,TRUE,"general";"via3",#N/A,TRUE,"general"}</definedName>
    <definedName name="efer" localSheetId="19">{"via1",#N/A,TRUE,"general";"via2",#N/A,TRUE,"general";"via3",#N/A,TRUE,"general"}</definedName>
    <definedName name="efer" localSheetId="28">{"via1",#N/A,TRUE,"general";"via2",#N/A,TRUE,"general";"via3",#N/A,TRUE,"general"}</definedName>
    <definedName name="efer" localSheetId="29">{"via1",#N/A,TRUE,"general";"via2",#N/A,TRUE,"general";"via3",#N/A,TRUE,"general"}</definedName>
    <definedName name="efer">{"via1",#N/A,TRUE,"general";"via2",#N/A,TRUE,"general";"via3",#N/A,TRUE,"general"}</definedName>
    <definedName name="eficiencia">'[151]Indicadores de Eficiencia'!$B$2</definedName>
    <definedName name="egeg" localSheetId="39">{"TAB1",#N/A,TRUE,"GENERAL";"TAB2",#N/A,TRUE,"GENERAL";"TAB3",#N/A,TRUE,"GENERAL";"TAB4",#N/A,TRUE,"GENERAL";"TAB5",#N/A,TRUE,"GENERAL"}</definedName>
    <definedName name="egeg" localSheetId="20">{"TAB1",#N/A,TRUE,"GENERAL";"TAB2",#N/A,TRUE,"GENERAL";"TAB3",#N/A,TRUE,"GENERAL";"TAB4",#N/A,TRUE,"GENERAL";"TAB5",#N/A,TRUE,"GENERAL"}</definedName>
    <definedName name="egeg" localSheetId="21">{"TAB1",#N/A,TRUE,"GENERAL";"TAB2",#N/A,TRUE,"GENERAL";"TAB3",#N/A,TRUE,"GENERAL";"TAB4",#N/A,TRUE,"GENERAL";"TAB5",#N/A,TRUE,"GENERAL"}</definedName>
    <definedName name="egeg" localSheetId="9">{"TAB1",#N/A,TRUE,"GENERAL";"TAB2",#N/A,TRUE,"GENERAL";"TAB3",#N/A,TRUE,"GENERAL";"TAB4",#N/A,TRUE,"GENERAL";"TAB5",#N/A,TRUE,"GENERAL"}</definedName>
    <definedName name="egeg" localSheetId="19">{"TAB1",#N/A,TRUE,"GENERAL";"TAB2",#N/A,TRUE,"GENERAL";"TAB3",#N/A,TRUE,"GENERAL";"TAB4",#N/A,TRUE,"GENERAL";"TAB5",#N/A,TRUE,"GENERAL"}</definedName>
    <definedName name="egeg" localSheetId="28">{"TAB1",#N/A,TRUE,"GENERAL";"TAB2",#N/A,TRUE,"GENERAL";"TAB3",#N/A,TRUE,"GENERAL";"TAB4",#N/A,TRUE,"GENERAL";"TAB5",#N/A,TRUE,"GENERAL"}</definedName>
    <definedName name="egeg" localSheetId="29">{"TAB1",#N/A,TRUE,"GENERAL";"TAB2",#N/A,TRUE,"GENERAL";"TAB3",#N/A,TRUE,"GENERAL";"TAB4",#N/A,TRUE,"GENERAL";"TAB5",#N/A,TRUE,"GENERAL"}</definedName>
    <definedName name="egeg">{"TAB1",#N/A,TRUE,"GENERAL";"TAB2",#N/A,TRUE,"GENERAL";"TAB3",#N/A,TRUE,"GENERAL";"TAB4",#N/A,TRUE,"GENERAL";"TAB5",#N/A,TRUE,"GENERAL"}</definedName>
    <definedName name="egtrgthrt" localSheetId="39">{"TAB1",#N/A,TRUE,"GENERAL";"TAB2",#N/A,TRUE,"GENERAL";"TAB3",#N/A,TRUE,"GENERAL";"TAB4",#N/A,TRUE,"GENERAL";"TAB5",#N/A,TRUE,"GENERAL"}</definedName>
    <definedName name="egtrgthrt" localSheetId="20">{"TAB1",#N/A,TRUE,"GENERAL";"TAB2",#N/A,TRUE,"GENERAL";"TAB3",#N/A,TRUE,"GENERAL";"TAB4",#N/A,TRUE,"GENERAL";"TAB5",#N/A,TRUE,"GENERAL"}</definedName>
    <definedName name="egtrgthrt" localSheetId="21">{"TAB1",#N/A,TRUE,"GENERAL";"TAB2",#N/A,TRUE,"GENERAL";"TAB3",#N/A,TRUE,"GENERAL";"TAB4",#N/A,TRUE,"GENERAL";"TAB5",#N/A,TRUE,"GENERAL"}</definedName>
    <definedName name="egtrgthrt" localSheetId="9">{"TAB1",#N/A,TRUE,"GENERAL";"TAB2",#N/A,TRUE,"GENERAL";"TAB3",#N/A,TRUE,"GENERAL";"TAB4",#N/A,TRUE,"GENERAL";"TAB5",#N/A,TRUE,"GENERAL"}</definedName>
    <definedName name="egtrgthrt" localSheetId="19">{"TAB1",#N/A,TRUE,"GENERAL";"TAB2",#N/A,TRUE,"GENERAL";"TAB3",#N/A,TRUE,"GENERAL";"TAB4",#N/A,TRUE,"GENERAL";"TAB5",#N/A,TRUE,"GENERAL"}</definedName>
    <definedName name="egtrgthrt" localSheetId="28">{"TAB1",#N/A,TRUE,"GENERAL";"TAB2",#N/A,TRUE,"GENERAL";"TAB3",#N/A,TRUE,"GENERAL";"TAB4",#N/A,TRUE,"GENERAL";"TAB5",#N/A,TRUE,"GENERAL"}</definedName>
    <definedName name="egtrgthrt" localSheetId="29">{"TAB1",#N/A,TRUE,"GENERAL";"TAB2",#N/A,TRUE,"GENERAL";"TAB3",#N/A,TRUE,"GENERAL";"TAB4",#N/A,TRUE,"GENERAL";"TAB5",#N/A,TRUE,"GENERAL"}</definedName>
    <definedName name="egtrgthrt">{"TAB1",#N/A,TRUE,"GENERAL";"TAB2",#N/A,TRUE,"GENERAL";"TAB3",#N/A,TRUE,"GENERAL";"TAB4",#N/A,TRUE,"GENERAL";"TAB5",#N/A,TRUE,"GENERAL"}</definedName>
    <definedName name="EINAR">#REF!</definedName>
    <definedName name="el">#REF!</definedName>
    <definedName name="ELB">[65]dts!$B$21</definedName>
    <definedName name="ElectConsPrice">[77]Parameters!$R$15</definedName>
    <definedName name="ElectDemandPrice">#REF!</definedName>
    <definedName name="ELECTRICOS" comment="APUS ELECTRICOS">'[152]6_Apus_Electr'!$A$6:$V$921</definedName>
    <definedName name="emanto" localSheetId="9">#REF!</definedName>
    <definedName name="emanto">#REF!</definedName>
    <definedName name="EMPAQUE">#REF!</definedName>
    <definedName name="empleo">'[102]Indicadores de Empleo'!$B$2:$B$15</definedName>
    <definedName name="EMULSIONRL" localSheetId="39">#REF!</definedName>
    <definedName name="EMULSIONRL" localSheetId="20">#REF!</definedName>
    <definedName name="EMULSIONRL" localSheetId="21">#REF!</definedName>
    <definedName name="EMULSIONRL" localSheetId="9">#REF!</definedName>
    <definedName name="EMULSIONRL" localSheetId="19">#REF!</definedName>
    <definedName name="EMULSIONRL">#REF!</definedName>
    <definedName name="Enchapes" comment="11_Enchapess">'[152]11_Enchapes'!$A$9:$K$518</definedName>
    <definedName name="End_Bal">#REF!</definedName>
    <definedName name="ENE">#REF!</definedName>
    <definedName name="ene00">[17]Dólar!#REF!</definedName>
    <definedName name="ENERGIATABLA1.2.4">'[11]CALCULO COSTOS DE OPERACIÓN'!$B$127:$AF$163</definedName>
    <definedName name="Engine">#N/A</definedName>
    <definedName name="Ensayos" localSheetId="9">'ENSAYOS DE LABORATORIO'!$P$1</definedName>
    <definedName name="Ensayos">#REF!</definedName>
    <definedName name="ent_financiadoras">'[37]Entidades Financiadoras'!$A$1:$A$1414</definedName>
    <definedName name="ENTIDAD">[65]dts!$B$5</definedName>
    <definedName name="EQMENOR" localSheetId="39">#REF!</definedName>
    <definedName name="EQMENOR" localSheetId="20">#REF!</definedName>
    <definedName name="EQMENOR" localSheetId="21">#REF!</definedName>
    <definedName name="EQMENOR" localSheetId="9">#REF!</definedName>
    <definedName name="EQMENOR" localSheetId="19">#REF!</definedName>
    <definedName name="EQMENOR">#REF!</definedName>
    <definedName name="EQUI">[153]EQUIPO!$B$2:$B$36</definedName>
    <definedName name="EQUI3">[154]Equipo!$A:$IV</definedName>
    <definedName name="EquipData">'[77]Equip Data'!$B$14:$AQ$75</definedName>
    <definedName name="EquipInput">#REF!</definedName>
    <definedName name="EquipLifeRank">#REF!</definedName>
    <definedName name="Equipo" localSheetId="9">'ENSAYOS DE LABORATORIO'!#REF!</definedName>
    <definedName name="EQUIPO" localSheetId="17">#REF!</definedName>
    <definedName name="EQUIPO" localSheetId="18">#REF!</definedName>
    <definedName name="EQUIPO" localSheetId="12">#REF!</definedName>
    <definedName name="equipo">[155]Equipo!$A$7:$A$65536</definedName>
    <definedName name="EQUIPO_1">[153]EQUIPO!$B$2:$D$36</definedName>
    <definedName name="EQUIPO_DE_SOLDADURA">'[33]LISTADO '!$L$10</definedName>
    <definedName name="equipo_mayor">#REF!</definedName>
    <definedName name="equipomayor2">[156]desglose!#REF!</definedName>
    <definedName name="EquipOpCostOutput">#REF!</definedName>
    <definedName name="EquipOpFleet">#REF!</definedName>
    <definedName name="Equipos" localSheetId="9">'ENSAYOS DE LABORATORIO'!#REF!</definedName>
    <definedName name="EQUIPOS">[32]Equipo!$A$16:$G$79</definedName>
    <definedName name="Equipostotal">#REF!</definedName>
    <definedName name="EQUIPOTRANSP" comment="TRANSPORTE">'[157]Equipo_Trans '!$A$1:$F$53</definedName>
    <definedName name="equiprecord">[130]Sheet1!$A$18:$A$1072</definedName>
    <definedName name="EquipReplOutput">#REF!</definedName>
    <definedName name="EquipRow">#REF!</definedName>
    <definedName name="eqw" localSheetId="39">{"via1",#N/A,TRUE,"general";"via2",#N/A,TRUE,"general";"via3",#N/A,TRUE,"general"}</definedName>
    <definedName name="eqw" localSheetId="20">{"via1",#N/A,TRUE,"general";"via2",#N/A,TRUE,"general";"via3",#N/A,TRUE,"general"}</definedName>
    <definedName name="eqw" localSheetId="21">{"via1",#N/A,TRUE,"general";"via2",#N/A,TRUE,"general";"via3",#N/A,TRUE,"general"}</definedName>
    <definedName name="eqw" localSheetId="9">{"via1",#N/A,TRUE,"general";"via2",#N/A,TRUE,"general";"via3",#N/A,TRUE,"general"}</definedName>
    <definedName name="eqw" localSheetId="19">{"via1",#N/A,TRUE,"general";"via2",#N/A,TRUE,"general";"via3",#N/A,TRUE,"general"}</definedName>
    <definedName name="eqw" localSheetId="28">{"via1",#N/A,TRUE,"general";"via2",#N/A,TRUE,"general";"via3",#N/A,TRUE,"general"}</definedName>
    <definedName name="eqw" localSheetId="29">{"via1",#N/A,TRUE,"general";"via2",#N/A,TRUE,"general";"via3",#N/A,TRUE,"general"}</definedName>
    <definedName name="eqw">{"via1",#N/A,TRUE,"general";"via2",#N/A,TRUE,"general";"via3",#N/A,TRUE,"general"}</definedName>
    <definedName name="ER">#REF!</definedName>
    <definedName name="EREE">#REF!</definedName>
    <definedName name="erg" localSheetId="39">{"TAB1",#N/A,TRUE,"GENERAL";"TAB2",#N/A,TRUE,"GENERAL";"TAB3",#N/A,TRUE,"GENERAL";"TAB4",#N/A,TRUE,"GENERAL";"TAB5",#N/A,TRUE,"GENERAL"}</definedName>
    <definedName name="erg" localSheetId="20">{"TAB1",#N/A,TRUE,"GENERAL";"TAB2",#N/A,TRUE,"GENERAL";"TAB3",#N/A,TRUE,"GENERAL";"TAB4",#N/A,TRUE,"GENERAL";"TAB5",#N/A,TRUE,"GENERAL"}</definedName>
    <definedName name="erg" localSheetId="21">{"TAB1",#N/A,TRUE,"GENERAL";"TAB2",#N/A,TRUE,"GENERAL";"TAB3",#N/A,TRUE,"GENERAL";"TAB4",#N/A,TRUE,"GENERAL";"TAB5",#N/A,TRUE,"GENERAL"}</definedName>
    <definedName name="erg" localSheetId="9">{"TAB1",#N/A,TRUE,"GENERAL";"TAB2",#N/A,TRUE,"GENERAL";"TAB3",#N/A,TRUE,"GENERAL";"TAB4",#N/A,TRUE,"GENERAL";"TAB5",#N/A,TRUE,"GENERAL"}</definedName>
    <definedName name="erg" localSheetId="19">{"TAB1",#N/A,TRUE,"GENERAL";"TAB2",#N/A,TRUE,"GENERAL";"TAB3",#N/A,TRUE,"GENERAL";"TAB4",#N/A,TRUE,"GENERAL";"TAB5",#N/A,TRUE,"GENERAL"}</definedName>
    <definedName name="erg" localSheetId="28">{"TAB1",#N/A,TRUE,"GENERAL";"TAB2",#N/A,TRUE,"GENERAL";"TAB3",#N/A,TRUE,"GENERAL";"TAB4",#N/A,TRUE,"GENERAL";"TAB5",#N/A,TRUE,"GENERAL"}</definedName>
    <definedName name="erg" localSheetId="29">{"TAB1",#N/A,TRUE,"GENERAL";"TAB2",#N/A,TRUE,"GENERAL";"TAB3",#N/A,TRUE,"GENERAL";"TAB4",#N/A,TRUE,"GENERAL";"TAB5",#N/A,TRUE,"GENERAL"}</definedName>
    <definedName name="erg">{"TAB1",#N/A,TRUE,"GENERAL";"TAB2",#N/A,TRUE,"GENERAL";"TAB3",#N/A,TRUE,"GENERAL";"TAB4",#N/A,TRUE,"GENERAL";"TAB5",#N/A,TRUE,"GENERAL"}</definedName>
    <definedName name="erger" localSheetId="39">{"via1",#N/A,TRUE,"general";"via2",#N/A,TRUE,"general";"via3",#N/A,TRUE,"general"}</definedName>
    <definedName name="erger" localSheetId="20">{"via1",#N/A,TRUE,"general";"via2",#N/A,TRUE,"general";"via3",#N/A,TRUE,"general"}</definedName>
    <definedName name="erger" localSheetId="21">{"via1",#N/A,TRUE,"general";"via2",#N/A,TRUE,"general";"via3",#N/A,TRUE,"general"}</definedName>
    <definedName name="erger" localSheetId="9">{"via1",#N/A,TRUE,"general";"via2",#N/A,TRUE,"general";"via3",#N/A,TRUE,"general"}</definedName>
    <definedName name="erger" localSheetId="19">{"via1",#N/A,TRUE,"general";"via2",#N/A,TRUE,"general";"via3",#N/A,TRUE,"general"}</definedName>
    <definedName name="erger" localSheetId="28">{"via1",#N/A,TRUE,"general";"via2",#N/A,TRUE,"general";"via3",#N/A,TRUE,"general"}</definedName>
    <definedName name="erger" localSheetId="29">{"via1",#N/A,TRUE,"general";"via2",#N/A,TRUE,"general";"via3",#N/A,TRUE,"general"}</definedName>
    <definedName name="erger">{"via1",#N/A,TRUE,"general";"via2",#N/A,TRUE,"general";"via3",#N/A,TRUE,"general"}</definedName>
    <definedName name="ergerg" localSheetId="39">{"via1",#N/A,TRUE,"general";"via2",#N/A,TRUE,"general";"via3",#N/A,TRUE,"general"}</definedName>
    <definedName name="ergerg" localSheetId="20">{"via1",#N/A,TRUE,"general";"via2",#N/A,TRUE,"general";"via3",#N/A,TRUE,"general"}</definedName>
    <definedName name="ergerg" localSheetId="21">{"via1",#N/A,TRUE,"general";"via2",#N/A,TRUE,"general";"via3",#N/A,TRUE,"general"}</definedName>
    <definedName name="ergerg" localSheetId="9">{"via1",#N/A,TRUE,"general";"via2",#N/A,TRUE,"general";"via3",#N/A,TRUE,"general"}</definedName>
    <definedName name="ergerg" localSheetId="19">{"via1",#N/A,TRUE,"general";"via2",#N/A,TRUE,"general";"via3",#N/A,TRUE,"general"}</definedName>
    <definedName name="ergerg" localSheetId="28">{"via1",#N/A,TRUE,"general";"via2",#N/A,TRUE,"general";"via3",#N/A,TRUE,"general"}</definedName>
    <definedName name="ergerg" localSheetId="29">{"via1",#N/A,TRUE,"general";"via2",#N/A,TRUE,"general";"via3",#N/A,TRUE,"general"}</definedName>
    <definedName name="ergerg">{"via1",#N/A,TRUE,"general";"via2",#N/A,TRUE,"general";"via3",#N/A,TRUE,"general"}</definedName>
    <definedName name="ergfegr" localSheetId="39">{"via1",#N/A,TRUE,"general";"via2",#N/A,TRUE,"general";"via3",#N/A,TRUE,"general"}</definedName>
    <definedName name="ergfegr" localSheetId="20">{"via1",#N/A,TRUE,"general";"via2",#N/A,TRUE,"general";"via3",#N/A,TRUE,"general"}</definedName>
    <definedName name="ergfegr" localSheetId="21">{"via1",#N/A,TRUE,"general";"via2",#N/A,TRUE,"general";"via3",#N/A,TRUE,"general"}</definedName>
    <definedName name="ergfegr" localSheetId="9">{"via1",#N/A,TRUE,"general";"via2",#N/A,TRUE,"general";"via3",#N/A,TRUE,"general"}</definedName>
    <definedName name="ergfegr" localSheetId="19">{"via1",#N/A,TRUE,"general";"via2",#N/A,TRUE,"general";"via3",#N/A,TRUE,"general"}</definedName>
    <definedName name="ergfegr" localSheetId="28">{"via1",#N/A,TRUE,"general";"via2",#N/A,TRUE,"general";"via3",#N/A,TRUE,"general"}</definedName>
    <definedName name="ergfegr" localSheetId="29">{"via1",#N/A,TRUE,"general";"via2",#N/A,TRUE,"general";"via3",#N/A,TRUE,"general"}</definedName>
    <definedName name="ergfegr">{"via1",#N/A,TRUE,"general";"via2",#N/A,TRUE,"general";"via3",#N/A,TRUE,"general"}</definedName>
    <definedName name="ergge" localSheetId="39">{"TAB1",#N/A,TRUE,"GENERAL";"TAB2",#N/A,TRUE,"GENERAL";"TAB3",#N/A,TRUE,"GENERAL";"TAB4",#N/A,TRUE,"GENERAL";"TAB5",#N/A,TRUE,"GENERAL"}</definedName>
    <definedName name="ergge" localSheetId="20">{"TAB1",#N/A,TRUE,"GENERAL";"TAB2",#N/A,TRUE,"GENERAL";"TAB3",#N/A,TRUE,"GENERAL";"TAB4",#N/A,TRUE,"GENERAL";"TAB5",#N/A,TRUE,"GENERAL"}</definedName>
    <definedName name="ergge" localSheetId="21">{"TAB1",#N/A,TRUE,"GENERAL";"TAB2",#N/A,TRUE,"GENERAL";"TAB3",#N/A,TRUE,"GENERAL";"TAB4",#N/A,TRUE,"GENERAL";"TAB5",#N/A,TRUE,"GENERAL"}</definedName>
    <definedName name="ergge" localSheetId="9">{"TAB1",#N/A,TRUE,"GENERAL";"TAB2",#N/A,TRUE,"GENERAL";"TAB3",#N/A,TRUE,"GENERAL";"TAB4",#N/A,TRUE,"GENERAL";"TAB5",#N/A,TRUE,"GENERAL"}</definedName>
    <definedName name="ergge" localSheetId="19">{"TAB1",#N/A,TRUE,"GENERAL";"TAB2",#N/A,TRUE,"GENERAL";"TAB3",#N/A,TRUE,"GENERAL";"TAB4",#N/A,TRUE,"GENERAL";"TAB5",#N/A,TRUE,"GENERAL"}</definedName>
    <definedName name="ergge" localSheetId="28">{"TAB1",#N/A,TRUE,"GENERAL";"TAB2",#N/A,TRUE,"GENERAL";"TAB3",#N/A,TRUE,"GENERAL";"TAB4",#N/A,TRUE,"GENERAL";"TAB5",#N/A,TRUE,"GENERAL"}</definedName>
    <definedName name="ergge" localSheetId="29">{"TAB1",#N/A,TRUE,"GENERAL";"TAB2",#N/A,TRUE,"GENERAL";"TAB3",#N/A,TRUE,"GENERAL";"TAB4",#N/A,TRUE,"GENERAL";"TAB5",#N/A,TRUE,"GENERAL"}</definedName>
    <definedName name="ergge">{"TAB1",#N/A,TRUE,"GENERAL";"TAB2",#N/A,TRUE,"GENERAL";"TAB3",#N/A,TRUE,"GENERAL";"TAB4",#N/A,TRUE,"GENERAL";"TAB5",#N/A,TRUE,"GENERAL"}</definedName>
    <definedName name="erggewg" localSheetId="39">{"via1",#N/A,TRUE,"general";"via2",#N/A,TRUE,"general";"via3",#N/A,TRUE,"general"}</definedName>
    <definedName name="erggewg" localSheetId="20">{"via1",#N/A,TRUE,"general";"via2",#N/A,TRUE,"general";"via3",#N/A,TRUE,"general"}</definedName>
    <definedName name="erggewg" localSheetId="21">{"via1",#N/A,TRUE,"general";"via2",#N/A,TRUE,"general";"via3",#N/A,TRUE,"general"}</definedName>
    <definedName name="erggewg" localSheetId="9">{"via1",#N/A,TRUE,"general";"via2",#N/A,TRUE,"general";"via3",#N/A,TRUE,"general"}</definedName>
    <definedName name="erggewg" localSheetId="19">{"via1",#N/A,TRUE,"general";"via2",#N/A,TRUE,"general";"via3",#N/A,TRUE,"general"}</definedName>
    <definedName name="erggewg" localSheetId="28">{"via1",#N/A,TRUE,"general";"via2",#N/A,TRUE,"general";"via3",#N/A,TRUE,"general"}</definedName>
    <definedName name="erggewg" localSheetId="29">{"via1",#N/A,TRUE,"general";"via2",#N/A,TRUE,"general";"via3",#N/A,TRUE,"general"}</definedName>
    <definedName name="erggewg">{"via1",#N/A,TRUE,"general";"via2",#N/A,TRUE,"general";"via3",#N/A,TRUE,"general"}</definedName>
    <definedName name="ergreg" localSheetId="39">{"TAB1",#N/A,TRUE,"GENERAL";"TAB2",#N/A,TRUE,"GENERAL";"TAB3",#N/A,TRUE,"GENERAL";"TAB4",#N/A,TRUE,"GENERAL";"TAB5",#N/A,TRUE,"GENERAL"}</definedName>
    <definedName name="ergreg" localSheetId="20">{"TAB1",#N/A,TRUE,"GENERAL";"TAB2",#N/A,TRUE,"GENERAL";"TAB3",#N/A,TRUE,"GENERAL";"TAB4",#N/A,TRUE,"GENERAL";"TAB5",#N/A,TRUE,"GENERAL"}</definedName>
    <definedName name="ergreg" localSheetId="21">{"TAB1",#N/A,TRUE,"GENERAL";"TAB2",#N/A,TRUE,"GENERAL";"TAB3",#N/A,TRUE,"GENERAL";"TAB4",#N/A,TRUE,"GENERAL";"TAB5",#N/A,TRUE,"GENERAL"}</definedName>
    <definedName name="ergreg" localSheetId="9">{"TAB1",#N/A,TRUE,"GENERAL";"TAB2",#N/A,TRUE,"GENERAL";"TAB3",#N/A,TRUE,"GENERAL";"TAB4",#N/A,TRUE,"GENERAL";"TAB5",#N/A,TRUE,"GENERAL"}</definedName>
    <definedName name="ergreg" localSheetId="19">{"TAB1",#N/A,TRUE,"GENERAL";"TAB2",#N/A,TRUE,"GENERAL";"TAB3",#N/A,TRUE,"GENERAL";"TAB4",#N/A,TRUE,"GENERAL";"TAB5",#N/A,TRUE,"GENERAL"}</definedName>
    <definedName name="ergreg" localSheetId="28">{"TAB1",#N/A,TRUE,"GENERAL";"TAB2",#N/A,TRUE,"GENERAL";"TAB3",#N/A,TRUE,"GENERAL";"TAB4",#N/A,TRUE,"GENERAL";"TAB5",#N/A,TRUE,"GENERAL"}</definedName>
    <definedName name="ergreg" localSheetId="29">{"TAB1",#N/A,TRUE,"GENERAL";"TAB2",#N/A,TRUE,"GENERAL";"TAB3",#N/A,TRUE,"GENERAL";"TAB4",#N/A,TRUE,"GENERAL";"TAB5",#N/A,TRUE,"GENERAL"}</definedName>
    <definedName name="ergreg">{"TAB1",#N/A,TRUE,"GENERAL";"TAB2",#N/A,TRUE,"GENERAL";"TAB3",#N/A,TRUE,"GENERAL";"TAB4",#N/A,TRUE,"GENERAL";"TAB5",#N/A,TRUE,"GENERAL"}</definedName>
    <definedName name="ergregerg" localSheetId="39">{"via1",#N/A,TRUE,"general";"via2",#N/A,TRUE,"general";"via3",#N/A,TRUE,"general"}</definedName>
    <definedName name="ergregerg" localSheetId="20">{"via1",#N/A,TRUE,"general";"via2",#N/A,TRUE,"general";"via3",#N/A,TRUE,"general"}</definedName>
    <definedName name="ergregerg" localSheetId="21">{"via1",#N/A,TRUE,"general";"via2",#N/A,TRUE,"general";"via3",#N/A,TRUE,"general"}</definedName>
    <definedName name="ergregerg" localSheetId="9">{"via1",#N/A,TRUE,"general";"via2",#N/A,TRUE,"general";"via3",#N/A,TRUE,"general"}</definedName>
    <definedName name="ergregerg" localSheetId="19">{"via1",#N/A,TRUE,"general";"via2",#N/A,TRUE,"general";"via3",#N/A,TRUE,"general"}</definedName>
    <definedName name="ergregerg" localSheetId="28">{"via1",#N/A,TRUE,"general";"via2",#N/A,TRUE,"general";"via3",#N/A,TRUE,"general"}</definedName>
    <definedName name="ergregerg" localSheetId="29">{"via1",#N/A,TRUE,"general";"via2",#N/A,TRUE,"general";"via3",#N/A,TRUE,"general"}</definedName>
    <definedName name="ergregerg">{"via1",#N/A,TRUE,"general";"via2",#N/A,TRUE,"general";"via3",#N/A,TRUE,"general"}</definedName>
    <definedName name="ergrg" localSheetId="39">{"TAB1",#N/A,TRUE,"GENERAL";"TAB2",#N/A,TRUE,"GENERAL";"TAB3",#N/A,TRUE,"GENERAL";"TAB4",#N/A,TRUE,"GENERAL";"TAB5",#N/A,TRUE,"GENERAL"}</definedName>
    <definedName name="ergrg" localSheetId="20">{"TAB1",#N/A,TRUE,"GENERAL";"TAB2",#N/A,TRUE,"GENERAL";"TAB3",#N/A,TRUE,"GENERAL";"TAB4",#N/A,TRUE,"GENERAL";"TAB5",#N/A,TRUE,"GENERAL"}</definedName>
    <definedName name="ergrg" localSheetId="21">{"TAB1",#N/A,TRUE,"GENERAL";"TAB2",#N/A,TRUE,"GENERAL";"TAB3",#N/A,TRUE,"GENERAL";"TAB4",#N/A,TRUE,"GENERAL";"TAB5",#N/A,TRUE,"GENERAL"}</definedName>
    <definedName name="ergrg" localSheetId="9">{"TAB1",#N/A,TRUE,"GENERAL";"TAB2",#N/A,TRUE,"GENERAL";"TAB3",#N/A,TRUE,"GENERAL";"TAB4",#N/A,TRUE,"GENERAL";"TAB5",#N/A,TRUE,"GENERAL"}</definedName>
    <definedName name="ergrg" localSheetId="19">{"TAB1",#N/A,TRUE,"GENERAL";"TAB2",#N/A,TRUE,"GENERAL";"TAB3",#N/A,TRUE,"GENERAL";"TAB4",#N/A,TRUE,"GENERAL";"TAB5",#N/A,TRUE,"GENERAL"}</definedName>
    <definedName name="ergrg" localSheetId="28">{"TAB1",#N/A,TRUE,"GENERAL";"TAB2",#N/A,TRUE,"GENERAL";"TAB3",#N/A,TRUE,"GENERAL";"TAB4",#N/A,TRUE,"GENERAL";"TAB5",#N/A,TRUE,"GENERAL"}</definedName>
    <definedName name="ergrg" localSheetId="29">{"TAB1",#N/A,TRUE,"GENERAL";"TAB2",#N/A,TRUE,"GENERAL";"TAB3",#N/A,TRUE,"GENERAL";"TAB4",#N/A,TRUE,"GENERAL";"TAB5",#N/A,TRUE,"GENERAL"}</definedName>
    <definedName name="ergrg">{"TAB1",#N/A,TRUE,"GENERAL";"TAB2",#N/A,TRUE,"GENERAL";"TAB3",#N/A,TRUE,"GENERAL";"TAB4",#N/A,TRUE,"GENERAL";"TAB5",#N/A,TRUE,"GENERAL"}</definedName>
    <definedName name="ergweg" localSheetId="39">{"TAB1",#N/A,TRUE,"GENERAL";"TAB2",#N/A,TRUE,"GENERAL";"TAB3",#N/A,TRUE,"GENERAL";"TAB4",#N/A,TRUE,"GENERAL";"TAB5",#N/A,TRUE,"GENERAL"}</definedName>
    <definedName name="ergweg" localSheetId="20">{"TAB1",#N/A,TRUE,"GENERAL";"TAB2",#N/A,TRUE,"GENERAL";"TAB3",#N/A,TRUE,"GENERAL";"TAB4",#N/A,TRUE,"GENERAL";"TAB5",#N/A,TRUE,"GENERAL"}</definedName>
    <definedName name="ergweg" localSheetId="21">{"TAB1",#N/A,TRUE,"GENERAL";"TAB2",#N/A,TRUE,"GENERAL";"TAB3",#N/A,TRUE,"GENERAL";"TAB4",#N/A,TRUE,"GENERAL";"TAB5",#N/A,TRUE,"GENERAL"}</definedName>
    <definedName name="ergweg" localSheetId="9">{"TAB1",#N/A,TRUE,"GENERAL";"TAB2",#N/A,TRUE,"GENERAL";"TAB3",#N/A,TRUE,"GENERAL";"TAB4",#N/A,TRUE,"GENERAL";"TAB5",#N/A,TRUE,"GENERAL"}</definedName>
    <definedName name="ergweg" localSheetId="19">{"TAB1",#N/A,TRUE,"GENERAL";"TAB2",#N/A,TRUE,"GENERAL";"TAB3",#N/A,TRUE,"GENERAL";"TAB4",#N/A,TRUE,"GENERAL";"TAB5",#N/A,TRUE,"GENERAL"}</definedName>
    <definedName name="ergweg" localSheetId="28">{"TAB1",#N/A,TRUE,"GENERAL";"TAB2",#N/A,TRUE,"GENERAL";"TAB3",#N/A,TRUE,"GENERAL";"TAB4",#N/A,TRUE,"GENERAL";"TAB5",#N/A,TRUE,"GENERAL"}</definedName>
    <definedName name="ergweg" localSheetId="29">{"TAB1",#N/A,TRUE,"GENERAL";"TAB2",#N/A,TRUE,"GENERAL";"TAB3",#N/A,TRUE,"GENERAL";"TAB4",#N/A,TRUE,"GENERAL";"TAB5",#N/A,TRUE,"GENERAL"}</definedName>
    <definedName name="ergweg">{"TAB1",#N/A,TRUE,"GENERAL";"TAB2",#N/A,TRUE,"GENERAL";"TAB3",#N/A,TRUE,"GENERAL";"TAB4",#N/A,TRUE,"GENERAL";"TAB5",#N/A,TRUE,"GENERAL"}</definedName>
    <definedName name="ergwreg" localSheetId="39">{"via1",#N/A,TRUE,"general";"via2",#N/A,TRUE,"general";"via3",#N/A,TRUE,"general"}</definedName>
    <definedName name="ergwreg" localSheetId="20">{"via1",#N/A,TRUE,"general";"via2",#N/A,TRUE,"general";"via3",#N/A,TRUE,"general"}</definedName>
    <definedName name="ergwreg" localSheetId="21">{"via1",#N/A,TRUE,"general";"via2",#N/A,TRUE,"general";"via3",#N/A,TRUE,"general"}</definedName>
    <definedName name="ergwreg" localSheetId="9">{"via1",#N/A,TRUE,"general";"via2",#N/A,TRUE,"general";"via3",#N/A,TRUE,"general"}</definedName>
    <definedName name="ergwreg" localSheetId="19">{"via1",#N/A,TRUE,"general";"via2",#N/A,TRUE,"general";"via3",#N/A,TRUE,"general"}</definedName>
    <definedName name="ergwreg" localSheetId="28">{"via1",#N/A,TRUE,"general";"via2",#N/A,TRUE,"general";"via3",#N/A,TRUE,"general"}</definedName>
    <definedName name="ergwreg" localSheetId="29">{"via1",#N/A,TRUE,"general";"via2",#N/A,TRUE,"general";"via3",#N/A,TRUE,"general"}</definedName>
    <definedName name="ergwreg">{"via1",#N/A,TRUE,"general";"via2",#N/A,TRUE,"general";"via3",#N/A,TRUE,"general"}</definedName>
    <definedName name="erheyh" localSheetId="39">{"TAB1",#N/A,TRUE,"GENERAL";"TAB2",#N/A,TRUE,"GENERAL";"TAB3",#N/A,TRUE,"GENERAL";"TAB4",#N/A,TRUE,"GENERAL";"TAB5",#N/A,TRUE,"GENERAL"}</definedName>
    <definedName name="erheyh" localSheetId="20">{"TAB1",#N/A,TRUE,"GENERAL";"TAB2",#N/A,TRUE,"GENERAL";"TAB3",#N/A,TRUE,"GENERAL";"TAB4",#N/A,TRUE,"GENERAL";"TAB5",#N/A,TRUE,"GENERAL"}</definedName>
    <definedName name="erheyh" localSheetId="21">{"TAB1",#N/A,TRUE,"GENERAL";"TAB2",#N/A,TRUE,"GENERAL";"TAB3",#N/A,TRUE,"GENERAL";"TAB4",#N/A,TRUE,"GENERAL";"TAB5",#N/A,TRUE,"GENERAL"}</definedName>
    <definedName name="erheyh" localSheetId="9">{"TAB1",#N/A,TRUE,"GENERAL";"TAB2",#N/A,TRUE,"GENERAL";"TAB3",#N/A,TRUE,"GENERAL";"TAB4",#N/A,TRUE,"GENERAL";"TAB5",#N/A,TRUE,"GENERAL"}</definedName>
    <definedName name="erheyh" localSheetId="19">{"TAB1",#N/A,TRUE,"GENERAL";"TAB2",#N/A,TRUE,"GENERAL";"TAB3",#N/A,TRUE,"GENERAL";"TAB4",#N/A,TRUE,"GENERAL";"TAB5",#N/A,TRUE,"GENERAL"}</definedName>
    <definedName name="erheyh" localSheetId="28">{"TAB1",#N/A,TRUE,"GENERAL";"TAB2",#N/A,TRUE,"GENERAL";"TAB3",#N/A,TRUE,"GENERAL";"TAB4",#N/A,TRUE,"GENERAL";"TAB5",#N/A,TRUE,"GENERAL"}</definedName>
    <definedName name="erheyh" localSheetId="29">{"TAB1",#N/A,TRUE,"GENERAL";"TAB2",#N/A,TRUE,"GENERAL";"TAB3",#N/A,TRUE,"GENERAL";"TAB4",#N/A,TRUE,"GENERAL";"TAB5",#N/A,TRUE,"GENERAL"}</definedName>
    <definedName name="erheyh">{"TAB1",#N/A,TRUE,"GENERAL";"TAB2",#N/A,TRUE,"GENERAL";"TAB3",#N/A,TRUE,"GENERAL";"TAB4",#N/A,TRUE,"GENERAL";"TAB5",#N/A,TRUE,"GENERAL"}</definedName>
    <definedName name="err" localSheetId="39">{"TAB1",#N/A,TRUE,"GENERAL";"TAB2",#N/A,TRUE,"GENERAL";"TAB3",#N/A,TRUE,"GENERAL";"TAB4",#N/A,TRUE,"GENERAL";"TAB5",#N/A,TRUE,"GENERAL"}</definedName>
    <definedName name="err" localSheetId="20">{"TAB1",#N/A,TRUE,"GENERAL";"TAB2",#N/A,TRUE,"GENERAL";"TAB3",#N/A,TRUE,"GENERAL";"TAB4",#N/A,TRUE,"GENERAL";"TAB5",#N/A,TRUE,"GENERAL"}</definedName>
    <definedName name="err" localSheetId="21">{"TAB1",#N/A,TRUE,"GENERAL";"TAB2",#N/A,TRUE,"GENERAL";"TAB3",#N/A,TRUE,"GENERAL";"TAB4",#N/A,TRUE,"GENERAL";"TAB5",#N/A,TRUE,"GENERAL"}</definedName>
    <definedName name="err" localSheetId="9">{"TAB1",#N/A,TRUE,"GENERAL";"TAB2",#N/A,TRUE,"GENERAL";"TAB3",#N/A,TRUE,"GENERAL";"TAB4",#N/A,TRUE,"GENERAL";"TAB5",#N/A,TRUE,"GENERAL"}</definedName>
    <definedName name="err" localSheetId="19">{"TAB1",#N/A,TRUE,"GENERAL";"TAB2",#N/A,TRUE,"GENERAL";"TAB3",#N/A,TRUE,"GENERAL";"TAB4",#N/A,TRUE,"GENERAL";"TAB5",#N/A,TRUE,"GENERAL"}</definedName>
    <definedName name="ERR" localSheetId="17">#REF!</definedName>
    <definedName name="ERR" localSheetId="18">#REF!</definedName>
    <definedName name="err" localSheetId="28">{"TAB1",#N/A,TRUE,"GENERAL";"TAB2",#N/A,TRUE,"GENERAL";"TAB3",#N/A,TRUE,"GENERAL";"TAB4",#N/A,TRUE,"GENERAL";"TAB5",#N/A,TRUE,"GENERAL"}</definedName>
    <definedName name="err" localSheetId="29">{"TAB1",#N/A,TRUE,"GENERAL";"TAB2",#N/A,TRUE,"GENERAL";"TAB3",#N/A,TRUE,"GENERAL";"TAB4",#N/A,TRUE,"GENERAL";"TAB5",#N/A,TRUE,"GENERAL"}</definedName>
    <definedName name="ERR" localSheetId="12">#REF!</definedName>
    <definedName name="err">{"TAB1",#N/A,TRUE,"GENERAL";"TAB2",#N/A,TRUE,"GENERAL";"TAB3",#N/A,TRUE,"GENERAL";"TAB4",#N/A,TRUE,"GENERAL";"TAB5",#N/A,TRUE,"GENERAL"}</definedName>
    <definedName name="erra">#REF!</definedName>
    <definedName name="ERROR">#REF!</definedName>
    <definedName name="ERROR1">#REF!</definedName>
    <definedName name="ERROR2">#REF!</definedName>
    <definedName name="ERROR3">[158]TARIF2002!#REF!</definedName>
    <definedName name="ERROR5">[158]TARIF2002!#REF!</definedName>
    <definedName name="ert" localSheetId="39">{"via1",#N/A,TRUE,"general";"via2",#N/A,TRUE,"general";"via3",#N/A,TRUE,"general"}</definedName>
    <definedName name="ert" localSheetId="20">{"via1",#N/A,TRUE,"general";"via2",#N/A,TRUE,"general";"via3",#N/A,TRUE,"general"}</definedName>
    <definedName name="ert" localSheetId="21">{"via1",#N/A,TRUE,"general";"via2",#N/A,TRUE,"general";"via3",#N/A,TRUE,"general"}</definedName>
    <definedName name="ert" localSheetId="9">{"via1",#N/A,TRUE,"general";"via2",#N/A,TRUE,"general";"via3",#N/A,TRUE,"general"}</definedName>
    <definedName name="ert" localSheetId="19">{"via1",#N/A,TRUE,"general";"via2",#N/A,TRUE,"general";"via3",#N/A,TRUE,"general"}</definedName>
    <definedName name="ert" localSheetId="28">{"via1",#N/A,TRUE,"general";"via2",#N/A,TRUE,"general";"via3",#N/A,TRUE,"general"}</definedName>
    <definedName name="ert" localSheetId="29">{"via1",#N/A,TRUE,"general";"via2",#N/A,TRUE,"general";"via3",#N/A,TRUE,"general"}</definedName>
    <definedName name="ert">{"via1",#N/A,TRUE,"general";"via2",#N/A,TRUE,"general";"via3",#N/A,TRUE,"general"}</definedName>
    <definedName name="erte" localSheetId="39">{"via1",#N/A,TRUE,"general";"via2",#N/A,TRUE,"general";"via3",#N/A,TRUE,"general"}</definedName>
    <definedName name="erte" localSheetId="20">{"via1",#N/A,TRUE,"general";"via2",#N/A,TRUE,"general";"via3",#N/A,TRUE,"general"}</definedName>
    <definedName name="erte" localSheetId="21">{"via1",#N/A,TRUE,"general";"via2",#N/A,TRUE,"general";"via3",#N/A,TRUE,"general"}</definedName>
    <definedName name="erte" localSheetId="9">{"via1",#N/A,TRUE,"general";"via2",#N/A,TRUE,"general";"via3",#N/A,TRUE,"general"}</definedName>
    <definedName name="erte" localSheetId="19">{"via1",#N/A,TRUE,"general";"via2",#N/A,TRUE,"general";"via3",#N/A,TRUE,"general"}</definedName>
    <definedName name="erte" localSheetId="28">{"via1",#N/A,TRUE,"general";"via2",#N/A,TRUE,"general";"via3",#N/A,TRUE,"general"}</definedName>
    <definedName name="erte" localSheetId="29">{"via1",#N/A,TRUE,"general";"via2",#N/A,TRUE,"general";"via3",#N/A,TRUE,"general"}</definedName>
    <definedName name="erte">{"via1",#N/A,TRUE,"general";"via2",#N/A,TRUE,"general";"via3",#N/A,TRUE,"general"}</definedName>
    <definedName name="erter" localSheetId="39">{"TAB1",#N/A,TRUE,"GENERAL";"TAB2",#N/A,TRUE,"GENERAL";"TAB3",#N/A,TRUE,"GENERAL";"TAB4",#N/A,TRUE,"GENERAL";"TAB5",#N/A,TRUE,"GENERAL"}</definedName>
    <definedName name="erter" localSheetId="20">{"TAB1",#N/A,TRUE,"GENERAL";"TAB2",#N/A,TRUE,"GENERAL";"TAB3",#N/A,TRUE,"GENERAL";"TAB4",#N/A,TRUE,"GENERAL";"TAB5",#N/A,TRUE,"GENERAL"}</definedName>
    <definedName name="erter" localSheetId="21">{"TAB1",#N/A,TRUE,"GENERAL";"TAB2",#N/A,TRUE,"GENERAL";"TAB3",#N/A,TRUE,"GENERAL";"TAB4",#N/A,TRUE,"GENERAL";"TAB5",#N/A,TRUE,"GENERAL"}</definedName>
    <definedName name="erter" localSheetId="9">{"TAB1",#N/A,TRUE,"GENERAL";"TAB2",#N/A,TRUE,"GENERAL";"TAB3",#N/A,TRUE,"GENERAL";"TAB4",#N/A,TRUE,"GENERAL";"TAB5",#N/A,TRUE,"GENERAL"}</definedName>
    <definedName name="erter" localSheetId="19">{"TAB1",#N/A,TRUE,"GENERAL";"TAB2",#N/A,TRUE,"GENERAL";"TAB3",#N/A,TRUE,"GENERAL";"TAB4",#N/A,TRUE,"GENERAL";"TAB5",#N/A,TRUE,"GENERAL"}</definedName>
    <definedName name="erter" localSheetId="28">{"TAB1",#N/A,TRUE,"GENERAL";"TAB2",#N/A,TRUE,"GENERAL";"TAB3",#N/A,TRUE,"GENERAL";"TAB4",#N/A,TRUE,"GENERAL";"TAB5",#N/A,TRUE,"GENERAL"}</definedName>
    <definedName name="erter" localSheetId="29">{"TAB1",#N/A,TRUE,"GENERAL";"TAB2",#N/A,TRUE,"GENERAL";"TAB3",#N/A,TRUE,"GENERAL";"TAB4",#N/A,TRUE,"GENERAL";"TAB5",#N/A,TRUE,"GENERAL"}</definedName>
    <definedName name="erter">{"TAB1",#N/A,TRUE,"GENERAL";"TAB2",#N/A,TRUE,"GENERAL";"TAB3",#N/A,TRUE,"GENERAL";"TAB4",#N/A,TRUE,"GENERAL";"TAB5",#N/A,TRUE,"GENERAL"}</definedName>
    <definedName name="ertert" localSheetId="39">{"via1",#N/A,TRUE,"general";"via2",#N/A,TRUE,"general";"via3",#N/A,TRUE,"general"}</definedName>
    <definedName name="ertert" localSheetId="20">{"via1",#N/A,TRUE,"general";"via2",#N/A,TRUE,"general";"via3",#N/A,TRUE,"general"}</definedName>
    <definedName name="ertert" localSheetId="21">{"via1",#N/A,TRUE,"general";"via2",#N/A,TRUE,"general";"via3",#N/A,TRUE,"general"}</definedName>
    <definedName name="ertert" localSheetId="9">{"via1",#N/A,TRUE,"general";"via2",#N/A,TRUE,"general";"via3",#N/A,TRUE,"general"}</definedName>
    <definedName name="ertert" localSheetId="19">{"via1",#N/A,TRUE,"general";"via2",#N/A,TRUE,"general";"via3",#N/A,TRUE,"general"}</definedName>
    <definedName name="ertert" localSheetId="28">{"via1",#N/A,TRUE,"general";"via2",#N/A,TRUE,"general";"via3",#N/A,TRUE,"general"}</definedName>
    <definedName name="ertert" localSheetId="29">{"via1",#N/A,TRUE,"general";"via2",#N/A,TRUE,"general";"via3",#N/A,TRUE,"general"}</definedName>
    <definedName name="ertert">{"via1",#N/A,TRUE,"general";"via2",#N/A,TRUE,"general";"via3",#N/A,TRUE,"general"}</definedName>
    <definedName name="ertgyhik" localSheetId="39">{"TAB1",#N/A,TRUE,"GENERAL";"TAB2",#N/A,TRUE,"GENERAL";"TAB3",#N/A,TRUE,"GENERAL";"TAB4",#N/A,TRUE,"GENERAL";"TAB5",#N/A,TRUE,"GENERAL"}</definedName>
    <definedName name="ertgyhik" localSheetId="20">{"TAB1",#N/A,TRUE,"GENERAL";"TAB2",#N/A,TRUE,"GENERAL";"TAB3",#N/A,TRUE,"GENERAL";"TAB4",#N/A,TRUE,"GENERAL";"TAB5",#N/A,TRUE,"GENERAL"}</definedName>
    <definedName name="ertgyhik" localSheetId="21">{"TAB1",#N/A,TRUE,"GENERAL";"TAB2",#N/A,TRUE,"GENERAL";"TAB3",#N/A,TRUE,"GENERAL";"TAB4",#N/A,TRUE,"GENERAL";"TAB5",#N/A,TRUE,"GENERAL"}</definedName>
    <definedName name="ertgyhik" localSheetId="9">{"TAB1",#N/A,TRUE,"GENERAL";"TAB2",#N/A,TRUE,"GENERAL";"TAB3",#N/A,TRUE,"GENERAL";"TAB4",#N/A,TRUE,"GENERAL";"TAB5",#N/A,TRUE,"GENERAL"}</definedName>
    <definedName name="ertgyhik" localSheetId="19">{"TAB1",#N/A,TRUE,"GENERAL";"TAB2",#N/A,TRUE,"GENERAL";"TAB3",#N/A,TRUE,"GENERAL";"TAB4",#N/A,TRUE,"GENERAL";"TAB5",#N/A,TRUE,"GENERAL"}</definedName>
    <definedName name="ertgyhik" localSheetId="28">{"TAB1",#N/A,TRUE,"GENERAL";"TAB2",#N/A,TRUE,"GENERAL";"TAB3",#N/A,TRUE,"GENERAL";"TAB4",#N/A,TRUE,"GENERAL";"TAB5",#N/A,TRUE,"GENERAL"}</definedName>
    <definedName name="ertgyhik" localSheetId="29">{"TAB1",#N/A,TRUE,"GENERAL";"TAB2",#N/A,TRUE,"GENERAL";"TAB3",#N/A,TRUE,"GENERAL";"TAB4",#N/A,TRUE,"GENERAL";"TAB5",#N/A,TRUE,"GENERAL"}</definedName>
    <definedName name="ertgyhik">{"TAB1",#N/A,TRUE,"GENERAL";"TAB2",#N/A,TRUE,"GENERAL";"TAB3",#N/A,TRUE,"GENERAL";"TAB4",#N/A,TRUE,"GENERAL";"TAB5",#N/A,TRUE,"GENERAL"}</definedName>
    <definedName name="ERTRE">#REF!</definedName>
    <definedName name="ertreb" localSheetId="39">{"via1",#N/A,TRUE,"general";"via2",#N/A,TRUE,"general";"via3",#N/A,TRUE,"general"}</definedName>
    <definedName name="ertreb" localSheetId="20">{"via1",#N/A,TRUE,"general";"via2",#N/A,TRUE,"general";"via3",#N/A,TRUE,"general"}</definedName>
    <definedName name="ertreb" localSheetId="21">{"via1",#N/A,TRUE,"general";"via2",#N/A,TRUE,"general";"via3",#N/A,TRUE,"general"}</definedName>
    <definedName name="ertreb" localSheetId="9">{"via1",#N/A,TRUE,"general";"via2",#N/A,TRUE,"general";"via3",#N/A,TRUE,"general"}</definedName>
    <definedName name="ertreb" localSheetId="19">{"via1",#N/A,TRUE,"general";"via2",#N/A,TRUE,"general";"via3",#N/A,TRUE,"general"}</definedName>
    <definedName name="ertreb" localSheetId="28">{"via1",#N/A,TRUE,"general";"via2",#N/A,TRUE,"general";"via3",#N/A,TRUE,"general"}</definedName>
    <definedName name="ertreb" localSheetId="29">{"via1",#N/A,TRUE,"general";"via2",#N/A,TRUE,"general";"via3",#N/A,TRUE,"general"}</definedName>
    <definedName name="ertreb">{"via1",#N/A,TRUE,"general";"via2",#N/A,TRUE,"general";"via3",#N/A,TRUE,"general"}</definedName>
    <definedName name="ertret" localSheetId="39">{"TAB1",#N/A,TRUE,"GENERAL";"TAB2",#N/A,TRUE,"GENERAL";"TAB3",#N/A,TRUE,"GENERAL";"TAB4",#N/A,TRUE,"GENERAL";"TAB5",#N/A,TRUE,"GENERAL"}</definedName>
    <definedName name="ertret" localSheetId="20">{"TAB1",#N/A,TRUE,"GENERAL";"TAB2",#N/A,TRUE,"GENERAL";"TAB3",#N/A,TRUE,"GENERAL";"TAB4",#N/A,TRUE,"GENERAL";"TAB5",#N/A,TRUE,"GENERAL"}</definedName>
    <definedName name="ertret" localSheetId="21">{"TAB1",#N/A,TRUE,"GENERAL";"TAB2",#N/A,TRUE,"GENERAL";"TAB3",#N/A,TRUE,"GENERAL";"TAB4",#N/A,TRUE,"GENERAL";"TAB5",#N/A,TRUE,"GENERAL"}</definedName>
    <definedName name="ertret" localSheetId="9">{"TAB1",#N/A,TRUE,"GENERAL";"TAB2",#N/A,TRUE,"GENERAL";"TAB3",#N/A,TRUE,"GENERAL";"TAB4",#N/A,TRUE,"GENERAL";"TAB5",#N/A,TRUE,"GENERAL"}</definedName>
    <definedName name="ertret" localSheetId="19">{"TAB1",#N/A,TRUE,"GENERAL";"TAB2",#N/A,TRUE,"GENERAL";"TAB3",#N/A,TRUE,"GENERAL";"TAB4",#N/A,TRUE,"GENERAL";"TAB5",#N/A,TRUE,"GENERAL"}</definedName>
    <definedName name="ertret" localSheetId="28">{"TAB1",#N/A,TRUE,"GENERAL";"TAB2",#N/A,TRUE,"GENERAL";"TAB3",#N/A,TRUE,"GENERAL";"TAB4",#N/A,TRUE,"GENERAL";"TAB5",#N/A,TRUE,"GENERAL"}</definedName>
    <definedName name="ertret" localSheetId="29">{"TAB1",#N/A,TRUE,"GENERAL";"TAB2",#N/A,TRUE,"GENERAL";"TAB3",#N/A,TRUE,"GENERAL";"TAB4",#N/A,TRUE,"GENERAL";"TAB5",#N/A,TRUE,"GENERAL"}</definedName>
    <definedName name="ertret">{"TAB1",#N/A,TRUE,"GENERAL";"TAB2",#N/A,TRUE,"GENERAL";"TAB3",#N/A,TRUE,"GENERAL";"TAB4",#N/A,TRUE,"GENERAL";"TAB5",#N/A,TRUE,"GENERAL"}</definedName>
    <definedName name="erttret" localSheetId="39">{"via1",#N/A,TRUE,"general";"via2",#N/A,TRUE,"general";"via3",#N/A,TRUE,"general"}</definedName>
    <definedName name="erttret" localSheetId="20">{"via1",#N/A,TRUE,"general";"via2",#N/A,TRUE,"general";"via3",#N/A,TRUE,"general"}</definedName>
    <definedName name="erttret" localSheetId="21">{"via1",#N/A,TRUE,"general";"via2",#N/A,TRUE,"general";"via3",#N/A,TRUE,"general"}</definedName>
    <definedName name="erttret" localSheetId="9">{"via1",#N/A,TRUE,"general";"via2",#N/A,TRUE,"general";"via3",#N/A,TRUE,"general"}</definedName>
    <definedName name="erttret" localSheetId="19">{"via1",#N/A,TRUE,"general";"via2",#N/A,TRUE,"general";"via3",#N/A,TRUE,"general"}</definedName>
    <definedName name="erttret" localSheetId="28">{"via1",#N/A,TRUE,"general";"via2",#N/A,TRUE,"general";"via3",#N/A,TRUE,"general"}</definedName>
    <definedName name="erttret" localSheetId="29">{"via1",#N/A,TRUE,"general";"via2",#N/A,TRUE,"general";"via3",#N/A,TRUE,"general"}</definedName>
    <definedName name="erttret">{"via1",#N/A,TRUE,"general";"via2",#N/A,TRUE,"general";"via3",#N/A,TRUE,"general"}</definedName>
    <definedName name="ertuiy" localSheetId="39">{"via1",#N/A,TRUE,"general";"via2",#N/A,TRUE,"general";"via3",#N/A,TRUE,"general"}</definedName>
    <definedName name="ertuiy" localSheetId="20">{"via1",#N/A,TRUE,"general";"via2",#N/A,TRUE,"general";"via3",#N/A,TRUE,"general"}</definedName>
    <definedName name="ertuiy" localSheetId="21">{"via1",#N/A,TRUE,"general";"via2",#N/A,TRUE,"general";"via3",#N/A,TRUE,"general"}</definedName>
    <definedName name="ertuiy" localSheetId="9">{"via1",#N/A,TRUE,"general";"via2",#N/A,TRUE,"general";"via3",#N/A,TRUE,"general"}</definedName>
    <definedName name="ertuiy" localSheetId="19">{"via1",#N/A,TRUE,"general";"via2",#N/A,TRUE,"general";"via3",#N/A,TRUE,"general"}</definedName>
    <definedName name="ertuiy" localSheetId="28">{"via1",#N/A,TRUE,"general";"via2",#N/A,TRUE,"general";"via3",#N/A,TRUE,"general"}</definedName>
    <definedName name="ertuiy" localSheetId="29">{"via1",#N/A,TRUE,"general";"via2",#N/A,TRUE,"general";"via3",#N/A,TRUE,"general"}</definedName>
    <definedName name="ertuiy">{"via1",#N/A,TRUE,"general";"via2",#N/A,TRUE,"general";"via3",#N/A,TRUE,"general"}</definedName>
    <definedName name="ertwert" localSheetId="39">{"TAB1",#N/A,TRUE,"GENERAL";"TAB2",#N/A,TRUE,"GENERAL";"TAB3",#N/A,TRUE,"GENERAL";"TAB4",#N/A,TRUE,"GENERAL";"TAB5",#N/A,TRUE,"GENERAL"}</definedName>
    <definedName name="ertwert" localSheetId="20">{"TAB1",#N/A,TRUE,"GENERAL";"TAB2",#N/A,TRUE,"GENERAL";"TAB3",#N/A,TRUE,"GENERAL";"TAB4",#N/A,TRUE,"GENERAL";"TAB5",#N/A,TRUE,"GENERAL"}</definedName>
    <definedName name="ertwert" localSheetId="21">{"TAB1",#N/A,TRUE,"GENERAL";"TAB2",#N/A,TRUE,"GENERAL";"TAB3",#N/A,TRUE,"GENERAL";"TAB4",#N/A,TRUE,"GENERAL";"TAB5",#N/A,TRUE,"GENERAL"}</definedName>
    <definedName name="ertwert" localSheetId="9">{"TAB1",#N/A,TRUE,"GENERAL";"TAB2",#N/A,TRUE,"GENERAL";"TAB3",#N/A,TRUE,"GENERAL";"TAB4",#N/A,TRUE,"GENERAL";"TAB5",#N/A,TRUE,"GENERAL"}</definedName>
    <definedName name="ertwert" localSheetId="19">{"TAB1",#N/A,TRUE,"GENERAL";"TAB2",#N/A,TRUE,"GENERAL";"TAB3",#N/A,TRUE,"GENERAL";"TAB4",#N/A,TRUE,"GENERAL";"TAB5",#N/A,TRUE,"GENERAL"}</definedName>
    <definedName name="ertwert" localSheetId="28">{"TAB1",#N/A,TRUE,"GENERAL";"TAB2",#N/A,TRUE,"GENERAL";"TAB3",#N/A,TRUE,"GENERAL";"TAB4",#N/A,TRUE,"GENERAL";"TAB5",#N/A,TRUE,"GENERAL"}</definedName>
    <definedName name="ertwert" localSheetId="29">{"TAB1",#N/A,TRUE,"GENERAL";"TAB2",#N/A,TRUE,"GENERAL";"TAB3",#N/A,TRUE,"GENERAL";"TAB4",#N/A,TRUE,"GENERAL";"TAB5",#N/A,TRUE,"GENERAL"}</definedName>
    <definedName name="ertwert">{"TAB1",#N/A,TRUE,"GENERAL";"TAB2",#N/A,TRUE,"GENERAL";"TAB3",#N/A,TRUE,"GENERAL";"TAB4",#N/A,TRUE,"GENERAL";"TAB5",#N/A,TRUE,"GENERAL"}</definedName>
    <definedName name="eru" localSheetId="39">{"TAB1",#N/A,TRUE,"GENERAL";"TAB2",#N/A,TRUE,"GENERAL";"TAB3",#N/A,TRUE,"GENERAL";"TAB4",#N/A,TRUE,"GENERAL";"TAB5",#N/A,TRUE,"GENERAL"}</definedName>
    <definedName name="eru" localSheetId="20">{"TAB1",#N/A,TRUE,"GENERAL";"TAB2",#N/A,TRUE,"GENERAL";"TAB3",#N/A,TRUE,"GENERAL";"TAB4",#N/A,TRUE,"GENERAL";"TAB5",#N/A,TRUE,"GENERAL"}</definedName>
    <definedName name="eru" localSheetId="21">{"TAB1",#N/A,TRUE,"GENERAL";"TAB2",#N/A,TRUE,"GENERAL";"TAB3",#N/A,TRUE,"GENERAL";"TAB4",#N/A,TRUE,"GENERAL";"TAB5",#N/A,TRUE,"GENERAL"}</definedName>
    <definedName name="eru" localSheetId="9">{"TAB1",#N/A,TRUE,"GENERAL";"TAB2",#N/A,TRUE,"GENERAL";"TAB3",#N/A,TRUE,"GENERAL";"TAB4",#N/A,TRUE,"GENERAL";"TAB5",#N/A,TRUE,"GENERAL"}</definedName>
    <definedName name="eru" localSheetId="19">{"TAB1",#N/A,TRUE,"GENERAL";"TAB2",#N/A,TRUE,"GENERAL";"TAB3",#N/A,TRUE,"GENERAL";"TAB4",#N/A,TRUE,"GENERAL";"TAB5",#N/A,TRUE,"GENERAL"}</definedName>
    <definedName name="eru" localSheetId="28">{"TAB1",#N/A,TRUE,"GENERAL";"TAB2",#N/A,TRUE,"GENERAL";"TAB3",#N/A,TRUE,"GENERAL";"TAB4",#N/A,TRUE,"GENERAL";"TAB5",#N/A,TRUE,"GENERAL"}</definedName>
    <definedName name="eru" localSheetId="29">{"TAB1",#N/A,TRUE,"GENERAL";"TAB2",#N/A,TRUE,"GENERAL";"TAB3",#N/A,TRUE,"GENERAL";"TAB4",#N/A,TRUE,"GENERAL";"TAB5",#N/A,TRUE,"GENERAL"}</definedName>
    <definedName name="eru">{"TAB1",#N/A,TRUE,"GENERAL";"TAB2",#N/A,TRUE,"GENERAL";"TAB3",#N/A,TRUE,"GENERAL";"TAB4",#N/A,TRUE,"GENERAL";"TAB5",#N/A,TRUE,"GENERAL"}</definedName>
    <definedName name="ERV" localSheetId="39">{"via1",#N/A,TRUE,"general";"via2",#N/A,TRUE,"general";"via3",#N/A,TRUE,"general"}</definedName>
    <definedName name="ERV" localSheetId="20">{"via1",#N/A,TRUE,"general";"via2",#N/A,TRUE,"general";"via3",#N/A,TRUE,"general"}</definedName>
    <definedName name="ERV" localSheetId="21">{"via1",#N/A,TRUE,"general";"via2",#N/A,TRUE,"general";"via3",#N/A,TRUE,"general"}</definedName>
    <definedName name="ERV" localSheetId="9">{"via1",#N/A,TRUE,"general";"via2",#N/A,TRUE,"general";"via3",#N/A,TRUE,"general"}</definedName>
    <definedName name="ERV" localSheetId="19">{"via1",#N/A,TRUE,"general";"via2",#N/A,TRUE,"general";"via3",#N/A,TRUE,"general"}</definedName>
    <definedName name="ERV" localSheetId="28">{"via1",#N/A,TRUE,"general";"via2",#N/A,TRUE,"general";"via3",#N/A,TRUE,"general"}</definedName>
    <definedName name="ERV" localSheetId="29">{"via1",#N/A,TRUE,"general";"via2",#N/A,TRUE,"general";"via3",#N/A,TRUE,"general"}</definedName>
    <definedName name="ERV">{"via1",#N/A,TRUE,"general";"via2",#N/A,TRUE,"general";"via3",#N/A,TRUE,"general"}</definedName>
    <definedName name="erware" localSheetId="39">{"via1",#N/A,TRUE,"general";"via2",#N/A,TRUE,"general";"via3",#N/A,TRUE,"general"}</definedName>
    <definedName name="erware" localSheetId="20">{"via1",#N/A,TRUE,"general";"via2",#N/A,TRUE,"general";"via3",#N/A,TRUE,"general"}</definedName>
    <definedName name="erware" localSheetId="21">{"via1",#N/A,TRUE,"general";"via2",#N/A,TRUE,"general";"via3",#N/A,TRUE,"general"}</definedName>
    <definedName name="erware" localSheetId="9">{"via1",#N/A,TRUE,"general";"via2",#N/A,TRUE,"general";"via3",#N/A,TRUE,"general"}</definedName>
    <definedName name="erware" localSheetId="19">{"via1",#N/A,TRUE,"general";"via2",#N/A,TRUE,"general";"via3",#N/A,TRUE,"general"}</definedName>
    <definedName name="erware" localSheetId="28">{"via1",#N/A,TRUE,"general";"via2",#N/A,TRUE,"general";"via3",#N/A,TRUE,"general"}</definedName>
    <definedName name="erware" localSheetId="29">{"via1",#N/A,TRUE,"general";"via2",#N/A,TRUE,"general";"via3",#N/A,TRUE,"general"}</definedName>
    <definedName name="erware">{"via1",#N/A,TRUE,"general";"via2",#N/A,TRUE,"general";"via3",#N/A,TRUE,"general"}</definedName>
    <definedName name="ERWER" localSheetId="39">{"via1",#N/A,TRUE,"general";"via2",#N/A,TRUE,"general";"via3",#N/A,TRUE,"general"}</definedName>
    <definedName name="ERWER" localSheetId="20">{"via1",#N/A,TRUE,"general";"via2",#N/A,TRUE,"general";"via3",#N/A,TRUE,"general"}</definedName>
    <definedName name="ERWER" localSheetId="21">{"via1",#N/A,TRUE,"general";"via2",#N/A,TRUE,"general";"via3",#N/A,TRUE,"general"}</definedName>
    <definedName name="ERWER" localSheetId="9">{"via1",#N/A,TRUE,"general";"via2",#N/A,TRUE,"general";"via3",#N/A,TRUE,"general"}</definedName>
    <definedName name="ERWER" localSheetId="19">{"via1",#N/A,TRUE,"general";"via2",#N/A,TRUE,"general";"via3",#N/A,TRUE,"general"}</definedName>
    <definedName name="ERWER" localSheetId="28">{"via1",#N/A,TRUE,"general";"via2",#N/A,TRUE,"general";"via3",#N/A,TRUE,"general"}</definedName>
    <definedName name="ERWER" localSheetId="29">{"via1",#N/A,TRUE,"general";"via2",#N/A,TRUE,"general";"via3",#N/A,TRUE,"general"}</definedName>
    <definedName name="ERWER">{"via1",#N/A,TRUE,"general";"via2",#N/A,TRUE,"general";"via3",#N/A,TRUE,"general"}</definedName>
    <definedName name="erwertd" localSheetId="39">{"TAB1",#N/A,TRUE,"GENERAL";"TAB2",#N/A,TRUE,"GENERAL";"TAB3",#N/A,TRUE,"GENERAL";"TAB4",#N/A,TRUE,"GENERAL";"TAB5",#N/A,TRUE,"GENERAL"}</definedName>
    <definedName name="erwertd" localSheetId="20">{"TAB1",#N/A,TRUE,"GENERAL";"TAB2",#N/A,TRUE,"GENERAL";"TAB3",#N/A,TRUE,"GENERAL";"TAB4",#N/A,TRUE,"GENERAL";"TAB5",#N/A,TRUE,"GENERAL"}</definedName>
    <definedName name="erwertd" localSheetId="21">{"TAB1",#N/A,TRUE,"GENERAL";"TAB2",#N/A,TRUE,"GENERAL";"TAB3",#N/A,TRUE,"GENERAL";"TAB4",#N/A,TRUE,"GENERAL";"TAB5",#N/A,TRUE,"GENERAL"}</definedName>
    <definedName name="erwertd" localSheetId="9">{"TAB1",#N/A,TRUE,"GENERAL";"TAB2",#N/A,TRUE,"GENERAL";"TAB3",#N/A,TRUE,"GENERAL";"TAB4",#N/A,TRUE,"GENERAL";"TAB5",#N/A,TRUE,"GENERAL"}</definedName>
    <definedName name="erwertd" localSheetId="19">{"TAB1",#N/A,TRUE,"GENERAL";"TAB2",#N/A,TRUE,"GENERAL";"TAB3",#N/A,TRUE,"GENERAL";"TAB4",#N/A,TRUE,"GENERAL";"TAB5",#N/A,TRUE,"GENERAL"}</definedName>
    <definedName name="erwertd" localSheetId="28">{"TAB1",#N/A,TRUE,"GENERAL";"TAB2",#N/A,TRUE,"GENERAL";"TAB3",#N/A,TRUE,"GENERAL";"TAB4",#N/A,TRUE,"GENERAL";"TAB5",#N/A,TRUE,"GENERAL"}</definedName>
    <definedName name="erwertd" localSheetId="29">{"TAB1",#N/A,TRUE,"GENERAL";"TAB2",#N/A,TRUE,"GENERAL";"TAB3",#N/A,TRUE,"GENERAL";"TAB4",#N/A,TRUE,"GENERAL";"TAB5",#N/A,TRUE,"GENERAL"}</definedName>
    <definedName name="erwertd">{"TAB1",#N/A,TRUE,"GENERAL";"TAB2",#N/A,TRUE,"GENERAL";"TAB3",#N/A,TRUE,"GENERAL";"TAB4",#N/A,TRUE,"GENERAL";"TAB5",#N/A,TRUE,"GENERAL"}</definedName>
    <definedName name="erwr" localSheetId="39">{"TAB1",#N/A,TRUE,"GENERAL";"TAB2",#N/A,TRUE,"GENERAL";"TAB3",#N/A,TRUE,"GENERAL";"TAB4",#N/A,TRUE,"GENERAL";"TAB5",#N/A,TRUE,"GENERAL"}</definedName>
    <definedName name="erwr" localSheetId="20">{"TAB1",#N/A,TRUE,"GENERAL";"TAB2",#N/A,TRUE,"GENERAL";"TAB3",#N/A,TRUE,"GENERAL";"TAB4",#N/A,TRUE,"GENERAL";"TAB5",#N/A,TRUE,"GENERAL"}</definedName>
    <definedName name="erwr" localSheetId="21">{"TAB1",#N/A,TRUE,"GENERAL";"TAB2",#N/A,TRUE,"GENERAL";"TAB3",#N/A,TRUE,"GENERAL";"TAB4",#N/A,TRUE,"GENERAL";"TAB5",#N/A,TRUE,"GENERAL"}</definedName>
    <definedName name="erwr" localSheetId="9">{"TAB1",#N/A,TRUE,"GENERAL";"TAB2",#N/A,TRUE,"GENERAL";"TAB3",#N/A,TRUE,"GENERAL";"TAB4",#N/A,TRUE,"GENERAL";"TAB5",#N/A,TRUE,"GENERAL"}</definedName>
    <definedName name="erwr" localSheetId="19">{"TAB1",#N/A,TRUE,"GENERAL";"TAB2",#N/A,TRUE,"GENERAL";"TAB3",#N/A,TRUE,"GENERAL";"TAB4",#N/A,TRUE,"GENERAL";"TAB5",#N/A,TRUE,"GENERAL"}</definedName>
    <definedName name="erwr" localSheetId="28">{"TAB1",#N/A,TRUE,"GENERAL";"TAB2",#N/A,TRUE,"GENERAL";"TAB3",#N/A,TRUE,"GENERAL";"TAB4",#N/A,TRUE,"GENERAL";"TAB5",#N/A,TRUE,"GENERAL"}</definedName>
    <definedName name="erwr" localSheetId="29">{"TAB1",#N/A,TRUE,"GENERAL";"TAB2",#N/A,TRUE,"GENERAL";"TAB3",#N/A,TRUE,"GENERAL";"TAB4",#N/A,TRUE,"GENERAL";"TAB5",#N/A,TRUE,"GENERAL"}</definedName>
    <definedName name="erwr">{"TAB1",#N/A,TRUE,"GENERAL";"TAB2",#N/A,TRUE,"GENERAL";"TAB3",#N/A,TRUE,"GENERAL";"TAB4",#N/A,TRUE,"GENERAL";"TAB5",#N/A,TRUE,"GENERAL"}</definedName>
    <definedName name="ERWRL" localSheetId="39">{"via1",#N/A,TRUE,"general";"via2",#N/A,TRUE,"general";"via3",#N/A,TRUE,"general"}</definedName>
    <definedName name="ERWRL" localSheetId="20">{"via1",#N/A,TRUE,"general";"via2",#N/A,TRUE,"general";"via3",#N/A,TRUE,"general"}</definedName>
    <definedName name="ERWRL" localSheetId="21">{"via1",#N/A,TRUE,"general";"via2",#N/A,TRUE,"general";"via3",#N/A,TRUE,"general"}</definedName>
    <definedName name="ERWRL" localSheetId="9">{"via1",#N/A,TRUE,"general";"via2",#N/A,TRUE,"general";"via3",#N/A,TRUE,"general"}</definedName>
    <definedName name="ERWRL" localSheetId="19">{"via1",#N/A,TRUE,"general";"via2",#N/A,TRUE,"general";"via3",#N/A,TRUE,"general"}</definedName>
    <definedName name="ERWRL" localSheetId="28">{"via1",#N/A,TRUE,"general";"via2",#N/A,TRUE,"general";"via3",#N/A,TRUE,"general"}</definedName>
    <definedName name="ERWRL" localSheetId="29">{"via1",#N/A,TRUE,"general";"via2",#N/A,TRUE,"general";"via3",#N/A,TRUE,"general"}</definedName>
    <definedName name="ERWRL">{"via1",#N/A,TRUE,"general";"via2",#N/A,TRUE,"general";"via3",#N/A,TRUE,"general"}</definedName>
    <definedName name="ery" localSheetId="39">{"via1",#N/A,TRUE,"general";"via2",#N/A,TRUE,"general";"via3",#N/A,TRUE,"general"}</definedName>
    <definedName name="ery" localSheetId="20">{"via1",#N/A,TRUE,"general";"via2",#N/A,TRUE,"general";"via3",#N/A,TRUE,"general"}</definedName>
    <definedName name="ery" localSheetId="21">{"via1",#N/A,TRUE,"general";"via2",#N/A,TRUE,"general";"via3",#N/A,TRUE,"general"}</definedName>
    <definedName name="ery" localSheetId="9">{"via1",#N/A,TRUE,"general";"via2",#N/A,TRUE,"general";"via3",#N/A,TRUE,"general"}</definedName>
    <definedName name="ery" localSheetId="19">{"via1",#N/A,TRUE,"general";"via2",#N/A,TRUE,"general";"via3",#N/A,TRUE,"general"}</definedName>
    <definedName name="ery" localSheetId="28">{"via1",#N/A,TRUE,"general";"via2",#N/A,TRUE,"general";"via3",#N/A,TRUE,"general"}</definedName>
    <definedName name="ery" localSheetId="29">{"via1",#N/A,TRUE,"general";"via2",#N/A,TRUE,"general";"via3",#N/A,TRUE,"general"}</definedName>
    <definedName name="ery">{"via1",#N/A,TRUE,"general";"via2",#N/A,TRUE,"general";"via3",#N/A,TRUE,"general"}</definedName>
    <definedName name="eryhd" localSheetId="39">{"via1",#N/A,TRUE,"general";"via2",#N/A,TRUE,"general";"via3",#N/A,TRUE,"general"}</definedName>
    <definedName name="eryhd" localSheetId="20">{"via1",#N/A,TRUE,"general";"via2",#N/A,TRUE,"general";"via3",#N/A,TRUE,"general"}</definedName>
    <definedName name="eryhd" localSheetId="21">{"via1",#N/A,TRUE,"general";"via2",#N/A,TRUE,"general";"via3",#N/A,TRUE,"general"}</definedName>
    <definedName name="eryhd" localSheetId="9">{"via1",#N/A,TRUE,"general";"via2",#N/A,TRUE,"general";"via3",#N/A,TRUE,"general"}</definedName>
    <definedName name="eryhd" localSheetId="19">{"via1",#N/A,TRUE,"general";"via2",#N/A,TRUE,"general";"via3",#N/A,TRUE,"general"}</definedName>
    <definedName name="eryhd" localSheetId="28">{"via1",#N/A,TRUE,"general";"via2",#N/A,TRUE,"general";"via3",#N/A,TRUE,"general"}</definedName>
    <definedName name="eryhd" localSheetId="29">{"via1",#N/A,TRUE,"general";"via2",#N/A,TRUE,"general";"via3",#N/A,TRUE,"general"}</definedName>
    <definedName name="eryhd">{"via1",#N/A,TRUE,"general";"via2",#N/A,TRUE,"general";"via3",#N/A,TRUE,"general"}</definedName>
    <definedName name="eryhdf" localSheetId="39">{"TAB1",#N/A,TRUE,"GENERAL";"TAB2",#N/A,TRUE,"GENERAL";"TAB3",#N/A,TRUE,"GENERAL";"TAB4",#N/A,TRUE,"GENERAL";"TAB5",#N/A,TRUE,"GENERAL"}</definedName>
    <definedName name="eryhdf" localSheetId="20">{"TAB1",#N/A,TRUE,"GENERAL";"TAB2",#N/A,TRUE,"GENERAL";"TAB3",#N/A,TRUE,"GENERAL";"TAB4",#N/A,TRUE,"GENERAL";"TAB5",#N/A,TRUE,"GENERAL"}</definedName>
    <definedName name="eryhdf" localSheetId="21">{"TAB1",#N/A,TRUE,"GENERAL";"TAB2",#N/A,TRUE,"GENERAL";"TAB3",#N/A,TRUE,"GENERAL";"TAB4",#N/A,TRUE,"GENERAL";"TAB5",#N/A,TRUE,"GENERAL"}</definedName>
    <definedName name="eryhdf" localSheetId="9">{"TAB1",#N/A,TRUE,"GENERAL";"TAB2",#N/A,TRUE,"GENERAL";"TAB3",#N/A,TRUE,"GENERAL";"TAB4",#N/A,TRUE,"GENERAL";"TAB5",#N/A,TRUE,"GENERAL"}</definedName>
    <definedName name="eryhdf" localSheetId="19">{"TAB1",#N/A,TRUE,"GENERAL";"TAB2",#N/A,TRUE,"GENERAL";"TAB3",#N/A,TRUE,"GENERAL";"TAB4",#N/A,TRUE,"GENERAL";"TAB5",#N/A,TRUE,"GENERAL"}</definedName>
    <definedName name="eryhdf" localSheetId="28">{"TAB1",#N/A,TRUE,"GENERAL";"TAB2",#N/A,TRUE,"GENERAL";"TAB3",#N/A,TRUE,"GENERAL";"TAB4",#N/A,TRUE,"GENERAL";"TAB5",#N/A,TRUE,"GENERAL"}</definedName>
    <definedName name="eryhdf" localSheetId="29">{"TAB1",#N/A,TRUE,"GENERAL";"TAB2",#N/A,TRUE,"GENERAL";"TAB3",#N/A,TRUE,"GENERAL";"TAB4",#N/A,TRUE,"GENERAL";"TAB5",#N/A,TRUE,"GENERAL"}</definedName>
    <definedName name="eryhdf">{"TAB1",#N/A,TRUE,"GENERAL";"TAB2",#N/A,TRUE,"GENERAL";"TAB3",#N/A,TRUE,"GENERAL";"TAB4",#N/A,TRUE,"GENERAL";"TAB5",#N/A,TRUE,"GENERAL"}</definedName>
    <definedName name="eryhk" localSheetId="39">{"TAB1",#N/A,TRUE,"GENERAL";"TAB2",#N/A,TRUE,"GENERAL";"TAB3",#N/A,TRUE,"GENERAL";"TAB4",#N/A,TRUE,"GENERAL";"TAB5",#N/A,TRUE,"GENERAL"}</definedName>
    <definedName name="eryhk" localSheetId="20">{"TAB1",#N/A,TRUE,"GENERAL";"TAB2",#N/A,TRUE,"GENERAL";"TAB3",#N/A,TRUE,"GENERAL";"TAB4",#N/A,TRUE,"GENERAL";"TAB5",#N/A,TRUE,"GENERAL"}</definedName>
    <definedName name="eryhk" localSheetId="21">{"TAB1",#N/A,TRUE,"GENERAL";"TAB2",#N/A,TRUE,"GENERAL";"TAB3",#N/A,TRUE,"GENERAL";"TAB4",#N/A,TRUE,"GENERAL";"TAB5",#N/A,TRUE,"GENERAL"}</definedName>
    <definedName name="eryhk" localSheetId="9">{"TAB1",#N/A,TRUE,"GENERAL";"TAB2",#N/A,TRUE,"GENERAL";"TAB3",#N/A,TRUE,"GENERAL";"TAB4",#N/A,TRUE,"GENERAL";"TAB5",#N/A,TRUE,"GENERAL"}</definedName>
    <definedName name="eryhk" localSheetId="19">{"TAB1",#N/A,TRUE,"GENERAL";"TAB2",#N/A,TRUE,"GENERAL";"TAB3",#N/A,TRUE,"GENERAL";"TAB4",#N/A,TRUE,"GENERAL";"TAB5",#N/A,TRUE,"GENERAL"}</definedName>
    <definedName name="eryhk" localSheetId="28">{"TAB1",#N/A,TRUE,"GENERAL";"TAB2",#N/A,TRUE,"GENERAL";"TAB3",#N/A,TRUE,"GENERAL";"TAB4",#N/A,TRUE,"GENERAL";"TAB5",#N/A,TRUE,"GENERAL"}</definedName>
    <definedName name="eryhk" localSheetId="29">{"TAB1",#N/A,TRUE,"GENERAL";"TAB2",#N/A,TRUE,"GENERAL";"TAB3",#N/A,TRUE,"GENERAL";"TAB4",#N/A,TRUE,"GENERAL";"TAB5",#N/A,TRUE,"GENERAL"}</definedName>
    <definedName name="eryhk">{"TAB1",#N/A,TRUE,"GENERAL";"TAB2",#N/A,TRUE,"GENERAL";"TAB3",#N/A,TRUE,"GENERAL";"TAB4",#N/A,TRUE,"GENERAL";"TAB5",#N/A,TRUE,"GENERAL"}</definedName>
    <definedName name="eryhrf" localSheetId="39">{"TAB1",#N/A,TRUE,"GENERAL";"TAB2",#N/A,TRUE,"GENERAL";"TAB3",#N/A,TRUE,"GENERAL";"TAB4",#N/A,TRUE,"GENERAL";"TAB5",#N/A,TRUE,"GENERAL"}</definedName>
    <definedName name="eryhrf" localSheetId="20">{"TAB1",#N/A,TRUE,"GENERAL";"TAB2",#N/A,TRUE,"GENERAL";"TAB3",#N/A,TRUE,"GENERAL";"TAB4",#N/A,TRUE,"GENERAL";"TAB5",#N/A,TRUE,"GENERAL"}</definedName>
    <definedName name="eryhrf" localSheetId="21">{"TAB1",#N/A,TRUE,"GENERAL";"TAB2",#N/A,TRUE,"GENERAL";"TAB3",#N/A,TRUE,"GENERAL";"TAB4",#N/A,TRUE,"GENERAL";"TAB5",#N/A,TRUE,"GENERAL"}</definedName>
    <definedName name="eryhrf" localSheetId="9">{"TAB1",#N/A,TRUE,"GENERAL";"TAB2",#N/A,TRUE,"GENERAL";"TAB3",#N/A,TRUE,"GENERAL";"TAB4",#N/A,TRUE,"GENERAL";"TAB5",#N/A,TRUE,"GENERAL"}</definedName>
    <definedName name="eryhrf" localSheetId="19">{"TAB1",#N/A,TRUE,"GENERAL";"TAB2",#N/A,TRUE,"GENERAL";"TAB3",#N/A,TRUE,"GENERAL";"TAB4",#N/A,TRUE,"GENERAL";"TAB5",#N/A,TRUE,"GENERAL"}</definedName>
    <definedName name="eryhrf" localSheetId="28">{"TAB1",#N/A,TRUE,"GENERAL";"TAB2",#N/A,TRUE,"GENERAL";"TAB3",#N/A,TRUE,"GENERAL";"TAB4",#N/A,TRUE,"GENERAL";"TAB5",#N/A,TRUE,"GENERAL"}</definedName>
    <definedName name="eryhrf" localSheetId="29">{"TAB1",#N/A,TRUE,"GENERAL";"TAB2",#N/A,TRUE,"GENERAL";"TAB3",#N/A,TRUE,"GENERAL";"TAB4",#N/A,TRUE,"GENERAL";"TAB5",#N/A,TRUE,"GENERAL"}</definedName>
    <definedName name="eryhrf">{"TAB1",#N/A,TRUE,"GENERAL";"TAB2",#N/A,TRUE,"GENERAL";"TAB3",#N/A,TRUE,"GENERAL";"TAB4",#N/A,TRUE,"GENERAL";"TAB5",#N/A,TRUE,"GENERAL"}</definedName>
    <definedName name="eryre" localSheetId="39">{"TAB1",#N/A,TRUE,"GENERAL";"TAB2",#N/A,TRUE,"GENERAL";"TAB3",#N/A,TRUE,"GENERAL";"TAB4",#N/A,TRUE,"GENERAL";"TAB5",#N/A,TRUE,"GENERAL"}</definedName>
    <definedName name="eryre" localSheetId="20">{"TAB1",#N/A,TRUE,"GENERAL";"TAB2",#N/A,TRUE,"GENERAL";"TAB3",#N/A,TRUE,"GENERAL";"TAB4",#N/A,TRUE,"GENERAL";"TAB5",#N/A,TRUE,"GENERAL"}</definedName>
    <definedName name="eryre" localSheetId="21">{"TAB1",#N/A,TRUE,"GENERAL";"TAB2",#N/A,TRUE,"GENERAL";"TAB3",#N/A,TRUE,"GENERAL";"TAB4",#N/A,TRUE,"GENERAL";"TAB5",#N/A,TRUE,"GENERAL"}</definedName>
    <definedName name="eryre" localSheetId="9">{"TAB1",#N/A,TRUE,"GENERAL";"TAB2",#N/A,TRUE,"GENERAL";"TAB3",#N/A,TRUE,"GENERAL";"TAB4",#N/A,TRUE,"GENERAL";"TAB5",#N/A,TRUE,"GENERAL"}</definedName>
    <definedName name="eryre" localSheetId="19">{"TAB1",#N/A,TRUE,"GENERAL";"TAB2",#N/A,TRUE,"GENERAL";"TAB3",#N/A,TRUE,"GENERAL";"TAB4",#N/A,TRUE,"GENERAL";"TAB5",#N/A,TRUE,"GENERAL"}</definedName>
    <definedName name="eryre" localSheetId="28">{"TAB1",#N/A,TRUE,"GENERAL";"TAB2",#N/A,TRUE,"GENERAL";"TAB3",#N/A,TRUE,"GENERAL";"TAB4",#N/A,TRUE,"GENERAL";"TAB5",#N/A,TRUE,"GENERAL"}</definedName>
    <definedName name="eryre" localSheetId="29">{"TAB1",#N/A,TRUE,"GENERAL";"TAB2",#N/A,TRUE,"GENERAL";"TAB3",#N/A,TRUE,"GENERAL";"TAB4",#N/A,TRUE,"GENERAL";"TAB5",#N/A,TRUE,"GENERAL"}</definedName>
    <definedName name="eryre">{"TAB1",#N/A,TRUE,"GENERAL";"TAB2",#N/A,TRUE,"GENERAL";"TAB3",#N/A,TRUE,"GENERAL";"TAB4",#N/A,TRUE,"GENERAL";"TAB5",#N/A,TRUE,"GENERAL"}</definedName>
    <definedName name="erytd" localSheetId="39">{"via1",#N/A,TRUE,"general";"via2",#N/A,TRUE,"general";"via3",#N/A,TRUE,"general"}</definedName>
    <definedName name="erytd" localSheetId="20">{"via1",#N/A,TRUE,"general";"via2",#N/A,TRUE,"general";"via3",#N/A,TRUE,"general"}</definedName>
    <definedName name="erytd" localSheetId="21">{"via1",#N/A,TRUE,"general";"via2",#N/A,TRUE,"general";"via3",#N/A,TRUE,"general"}</definedName>
    <definedName name="erytd" localSheetId="9">{"via1",#N/A,TRUE,"general";"via2",#N/A,TRUE,"general";"via3",#N/A,TRUE,"general"}</definedName>
    <definedName name="erytd" localSheetId="19">{"via1",#N/A,TRUE,"general";"via2",#N/A,TRUE,"general";"via3",#N/A,TRUE,"general"}</definedName>
    <definedName name="erytd" localSheetId="28">{"via1",#N/A,TRUE,"general";"via2",#N/A,TRUE,"general";"via3",#N/A,TRUE,"general"}</definedName>
    <definedName name="erytd" localSheetId="29">{"via1",#N/A,TRUE,"general";"via2",#N/A,TRUE,"general";"via3",#N/A,TRUE,"general"}</definedName>
    <definedName name="erytd">{"via1",#N/A,TRUE,"general";"via2",#N/A,TRUE,"general";"via3",#N/A,TRUE,"general"}</definedName>
    <definedName name="eryty" localSheetId="39">{"via1",#N/A,TRUE,"general";"via2",#N/A,TRUE,"general";"via3",#N/A,TRUE,"general"}</definedName>
    <definedName name="eryty" localSheetId="20">{"via1",#N/A,TRUE,"general";"via2",#N/A,TRUE,"general";"via3",#N/A,TRUE,"general"}</definedName>
    <definedName name="eryty" localSheetId="21">{"via1",#N/A,TRUE,"general";"via2",#N/A,TRUE,"general";"via3",#N/A,TRUE,"general"}</definedName>
    <definedName name="eryty" localSheetId="9">{"via1",#N/A,TRUE,"general";"via2",#N/A,TRUE,"general";"via3",#N/A,TRUE,"general"}</definedName>
    <definedName name="eryty" localSheetId="19">{"via1",#N/A,TRUE,"general";"via2",#N/A,TRUE,"general";"via3",#N/A,TRUE,"general"}</definedName>
    <definedName name="eryty" localSheetId="28">{"via1",#N/A,TRUE,"general";"via2",#N/A,TRUE,"general";"via3",#N/A,TRUE,"general"}</definedName>
    <definedName name="eryty" localSheetId="29">{"via1",#N/A,TRUE,"general";"via2",#N/A,TRUE,"general";"via3",#N/A,TRUE,"general"}</definedName>
    <definedName name="eryty">{"via1",#N/A,TRUE,"general";"via2",#N/A,TRUE,"general";"via3",#N/A,TRUE,"general"}</definedName>
    <definedName name="eryy" localSheetId="39">{"via1",#N/A,TRUE,"general";"via2",#N/A,TRUE,"general";"via3",#N/A,TRUE,"general"}</definedName>
    <definedName name="eryy" localSheetId="20">{"via1",#N/A,TRUE,"general";"via2",#N/A,TRUE,"general";"via3",#N/A,TRUE,"general"}</definedName>
    <definedName name="eryy" localSheetId="21">{"via1",#N/A,TRUE,"general";"via2",#N/A,TRUE,"general";"via3",#N/A,TRUE,"general"}</definedName>
    <definedName name="eryy" localSheetId="9">{"via1",#N/A,TRUE,"general";"via2",#N/A,TRUE,"general";"via3",#N/A,TRUE,"general"}</definedName>
    <definedName name="eryy" localSheetId="19">{"via1",#N/A,TRUE,"general";"via2",#N/A,TRUE,"general";"via3",#N/A,TRUE,"general"}</definedName>
    <definedName name="eryy" localSheetId="28">{"via1",#N/A,TRUE,"general";"via2",#N/A,TRUE,"general";"via3",#N/A,TRUE,"general"}</definedName>
    <definedName name="eryy" localSheetId="29">{"via1",#N/A,TRUE,"general";"via2",#N/A,TRUE,"general";"via3",#N/A,TRUE,"general"}</definedName>
    <definedName name="eryy">{"via1",#N/A,TRUE,"general";"via2",#N/A,TRUE,"general";"via3",#N/A,TRUE,"general"}</definedName>
    <definedName name="ES">'[74]CIRCUITOS CODENSA'!#REF!</definedName>
    <definedName name="ES1_1">#REF!</definedName>
    <definedName name="ES1_10">#REF!</definedName>
    <definedName name="ES1_11">#REF!</definedName>
    <definedName name="ES1_12">#REF!</definedName>
    <definedName name="ES1_13">#REF!</definedName>
    <definedName name="ES1_14">#REF!</definedName>
    <definedName name="ES1_15">#REF!</definedName>
    <definedName name="ES1_16">#REF!</definedName>
    <definedName name="ES1_17">#REF!</definedName>
    <definedName name="ES1_18">#REF!</definedName>
    <definedName name="ES1_19">#REF!</definedName>
    <definedName name="ES1_2">#REF!</definedName>
    <definedName name="ES1_20">#REF!</definedName>
    <definedName name="ES1_21">#REF!</definedName>
    <definedName name="ES1_22">#REF!</definedName>
    <definedName name="ES1_23">#REF!</definedName>
    <definedName name="ES1_24">#REF!</definedName>
    <definedName name="ES1_25">#REF!</definedName>
    <definedName name="ES1_26">#REF!</definedName>
    <definedName name="ES1_27">#REF!</definedName>
    <definedName name="ES1_28">#REF!</definedName>
    <definedName name="ES1_29">#REF!</definedName>
    <definedName name="ES1_3">#REF!</definedName>
    <definedName name="ES1_30">#REF!</definedName>
    <definedName name="ES1_31">#REF!</definedName>
    <definedName name="ES1_32">#REF!</definedName>
    <definedName name="ES1_33">#REF!</definedName>
    <definedName name="ES1_34">#REF!</definedName>
    <definedName name="ES1_35">#REF!</definedName>
    <definedName name="ES1_36">#REF!</definedName>
    <definedName name="ES1_37">#REF!</definedName>
    <definedName name="ES1_38">#REF!</definedName>
    <definedName name="ES1_39">#REF!</definedName>
    <definedName name="ES1_4">#REF!</definedName>
    <definedName name="ES1_40">#REF!</definedName>
    <definedName name="ES1_41">#REF!</definedName>
    <definedName name="ES1_42">#REF!</definedName>
    <definedName name="ES1_43">#REF!</definedName>
    <definedName name="ES1_5">#REF!</definedName>
    <definedName name="ES1_6">#REF!</definedName>
    <definedName name="ES1_7">#REF!</definedName>
    <definedName name="ES1_8">#REF!</definedName>
    <definedName name="ES1_9">#REF!</definedName>
    <definedName name="ES2_1">#REF!</definedName>
    <definedName name="ES2_10">#REF!</definedName>
    <definedName name="ES2_11">#REF!</definedName>
    <definedName name="ES2_12">#REF!</definedName>
    <definedName name="ES2_13">#REF!</definedName>
    <definedName name="ES2_14">#REF!</definedName>
    <definedName name="ES2_15">#REF!</definedName>
    <definedName name="ES2_16">#REF!</definedName>
    <definedName name="ES2_17">#REF!</definedName>
    <definedName name="ES2_18">#REF!</definedName>
    <definedName name="ES2_19">#REF!</definedName>
    <definedName name="ES2_2">#REF!</definedName>
    <definedName name="ES2_20">#REF!</definedName>
    <definedName name="ES2_21">#REF!</definedName>
    <definedName name="ES2_22">#REF!</definedName>
    <definedName name="ES2_23">#REF!</definedName>
    <definedName name="ES2_24">#REF!</definedName>
    <definedName name="ES2_25">#REF!</definedName>
    <definedName name="ES2_26">#REF!</definedName>
    <definedName name="ES2_27">#REF!</definedName>
    <definedName name="ES2_28">#REF!</definedName>
    <definedName name="ES2_29">#REF!</definedName>
    <definedName name="ES2_3">#REF!</definedName>
    <definedName name="ES2_30">#REF!</definedName>
    <definedName name="ES2_31">#REF!</definedName>
    <definedName name="ES2_32">#REF!</definedName>
    <definedName name="ES2_33">#REF!</definedName>
    <definedName name="ES2_34">#REF!</definedName>
    <definedName name="ES2_35">#REF!</definedName>
    <definedName name="ES2_36">#REF!</definedName>
    <definedName name="ES2_37">#REF!</definedName>
    <definedName name="ES2_38">#REF!</definedName>
    <definedName name="ES2_39">#REF!</definedName>
    <definedName name="ES2_4">#REF!</definedName>
    <definedName name="ES2_40">#REF!</definedName>
    <definedName name="ES2_41">#REF!</definedName>
    <definedName name="ES2_42">#REF!</definedName>
    <definedName name="ES2_43">#REF!</definedName>
    <definedName name="ES2_5">#REF!</definedName>
    <definedName name="ES2_6">#REF!</definedName>
    <definedName name="ES2_7">#REF!</definedName>
    <definedName name="ES2_8">#REF!</definedName>
    <definedName name="ES2_9">#REF!</definedName>
    <definedName name="ES3_1">#REF!</definedName>
    <definedName name="ES3_10">#REF!</definedName>
    <definedName name="ES3_11">#REF!</definedName>
    <definedName name="ES3_12">#REF!</definedName>
    <definedName name="ES3_13">#REF!</definedName>
    <definedName name="ES3_14">#REF!</definedName>
    <definedName name="ES3_15">#REF!</definedName>
    <definedName name="ES3_16">#REF!</definedName>
    <definedName name="ES3_17">#REF!</definedName>
    <definedName name="ES3_18">#REF!</definedName>
    <definedName name="ES3_19">#REF!</definedName>
    <definedName name="ES3_2">#REF!</definedName>
    <definedName name="ES3_20">#REF!</definedName>
    <definedName name="ES3_21">#REF!</definedName>
    <definedName name="ES3_22">#REF!</definedName>
    <definedName name="ES3_23">#REF!</definedName>
    <definedName name="ES3_24">#REF!</definedName>
    <definedName name="ES3_25">#REF!</definedName>
    <definedName name="ES3_26">#REF!</definedName>
    <definedName name="ES3_27">#REF!</definedName>
    <definedName name="ES3_28">#REF!</definedName>
    <definedName name="ES3_29">#REF!</definedName>
    <definedName name="ES3_3">#REF!</definedName>
    <definedName name="ES3_30">#REF!</definedName>
    <definedName name="ES3_31">#REF!</definedName>
    <definedName name="ES3_32">#REF!</definedName>
    <definedName name="ES3_33">#REF!</definedName>
    <definedName name="ES3_34">#REF!</definedName>
    <definedName name="ES3_35">#REF!</definedName>
    <definedName name="ES3_36">#REF!</definedName>
    <definedName name="ES3_37">#REF!</definedName>
    <definedName name="ES3_38">#REF!</definedName>
    <definedName name="ES3_39">#REF!</definedName>
    <definedName name="ES3_4">#REF!</definedName>
    <definedName name="ES3_40">#REF!</definedName>
    <definedName name="ES3_41">#REF!</definedName>
    <definedName name="ES3_42">#REF!</definedName>
    <definedName name="ES3_43">#REF!</definedName>
    <definedName name="ES3_5">#REF!</definedName>
    <definedName name="ES3_6">#REF!</definedName>
    <definedName name="ES3_7">#REF!</definedName>
    <definedName name="ES3_8">#REF!</definedName>
    <definedName name="ES3_9">#REF!</definedName>
    <definedName name="ES4_1">#REF!</definedName>
    <definedName name="ES4_10">#REF!</definedName>
    <definedName name="ES4_11">#REF!</definedName>
    <definedName name="ES4_12">#REF!</definedName>
    <definedName name="ES4_13">#REF!</definedName>
    <definedName name="ES4_14">#REF!</definedName>
    <definedName name="ES4_15">#REF!</definedName>
    <definedName name="ES4_16">#REF!</definedName>
    <definedName name="ES4_17">#REF!</definedName>
    <definedName name="ES4_18">#REF!</definedName>
    <definedName name="ES4_19">#REF!</definedName>
    <definedName name="ES4_2">#REF!</definedName>
    <definedName name="ES4_20">#REF!</definedName>
    <definedName name="ES4_21">#REF!</definedName>
    <definedName name="ES4_22">#REF!</definedName>
    <definedName name="ES4_23">#REF!</definedName>
    <definedName name="ES4_24">#REF!</definedName>
    <definedName name="ES4_25">#REF!</definedName>
    <definedName name="ES4_26">#REF!</definedName>
    <definedName name="ES4_27">#REF!</definedName>
    <definedName name="ES4_28">#REF!</definedName>
    <definedName name="ES4_29">#REF!</definedName>
    <definedName name="ES4_3">#REF!</definedName>
    <definedName name="ES4_30">#REF!</definedName>
    <definedName name="ES4_31">#REF!</definedName>
    <definedName name="ES4_32">#REF!</definedName>
    <definedName name="ES4_33">#REF!</definedName>
    <definedName name="ES4_34">#REF!</definedName>
    <definedName name="ES4_35">#REF!</definedName>
    <definedName name="ES4_36">#REF!</definedName>
    <definedName name="ES4_37">#REF!</definedName>
    <definedName name="ES4_38">#REF!</definedName>
    <definedName name="ES4_39">#REF!</definedName>
    <definedName name="ES4_4">#REF!</definedName>
    <definedName name="ES4_40">#REF!</definedName>
    <definedName name="ES4_41">#REF!</definedName>
    <definedName name="ES4_42">#REF!</definedName>
    <definedName name="ES4_43">#REF!</definedName>
    <definedName name="ES4_5">#REF!</definedName>
    <definedName name="ES4_6">#REF!</definedName>
    <definedName name="ES4_7">#REF!</definedName>
    <definedName name="ES4_8">#REF!</definedName>
    <definedName name="ES4_9">#REF!</definedName>
    <definedName name="ES5_1">#REF!</definedName>
    <definedName name="ES5_10">#REF!</definedName>
    <definedName name="ES5_11">#REF!</definedName>
    <definedName name="ES5_12">#REF!</definedName>
    <definedName name="ES5_13">#REF!</definedName>
    <definedName name="ES5_14">#REF!</definedName>
    <definedName name="ES5_15">#REF!</definedName>
    <definedName name="ES5_16">#REF!</definedName>
    <definedName name="ES5_17">#REF!</definedName>
    <definedName name="ES5_18">#REF!</definedName>
    <definedName name="ES5_19">#REF!</definedName>
    <definedName name="ES5_2">#REF!</definedName>
    <definedName name="ES5_20">#REF!</definedName>
    <definedName name="ES5_21">#REF!</definedName>
    <definedName name="ES5_22">#REF!</definedName>
    <definedName name="ES5_23">#REF!</definedName>
    <definedName name="ES5_24">#REF!</definedName>
    <definedName name="ES5_25">#REF!</definedName>
    <definedName name="ES5_26">#REF!</definedName>
    <definedName name="ES5_27">#REF!</definedName>
    <definedName name="ES5_28">#REF!</definedName>
    <definedName name="ES5_29">#REF!</definedName>
    <definedName name="ES5_3">#REF!</definedName>
    <definedName name="ES5_30">#REF!</definedName>
    <definedName name="ES5_31">#REF!</definedName>
    <definedName name="ES5_32">#REF!</definedName>
    <definedName name="ES5_33">#REF!</definedName>
    <definedName name="ES5_34">#REF!</definedName>
    <definedName name="ES5_35">#REF!</definedName>
    <definedName name="ES5_36">#REF!</definedName>
    <definedName name="ES5_37">#REF!</definedName>
    <definedName name="ES5_38">#REF!</definedName>
    <definedName name="ES5_39">#REF!</definedName>
    <definedName name="ES5_4">#REF!</definedName>
    <definedName name="ES5_40">#REF!</definedName>
    <definedName name="ES5_41">#REF!</definedName>
    <definedName name="ES5_42">#REF!</definedName>
    <definedName name="ES5_43">#REF!</definedName>
    <definedName name="ES5_5">#REF!</definedName>
    <definedName name="ES5_6">#REF!</definedName>
    <definedName name="ES5_7">#REF!</definedName>
    <definedName name="ES5_8">#REF!</definedName>
    <definedName name="ES5_9">#REF!</definedName>
    <definedName name="ES6_1">#REF!</definedName>
    <definedName name="ES6_10">#REF!</definedName>
    <definedName name="ES6_11">#REF!</definedName>
    <definedName name="ES6_12">#REF!</definedName>
    <definedName name="ES6_13">#REF!</definedName>
    <definedName name="ES6_14">#REF!</definedName>
    <definedName name="ES6_15">#REF!</definedName>
    <definedName name="ES6_16">#REF!</definedName>
    <definedName name="ES6_17">#REF!</definedName>
    <definedName name="ES6_18">#REF!</definedName>
    <definedName name="ES6_19">#REF!</definedName>
    <definedName name="ES6_2">#REF!</definedName>
    <definedName name="ES6_20">#REF!</definedName>
    <definedName name="ES6_21">#REF!</definedName>
    <definedName name="ES6_22">#REF!</definedName>
    <definedName name="ES6_23">#REF!</definedName>
    <definedName name="ES6_24">#REF!</definedName>
    <definedName name="ES6_25">#REF!</definedName>
    <definedName name="ES6_26">#REF!</definedName>
    <definedName name="ES6_27">#REF!</definedName>
    <definedName name="ES6_28">#REF!</definedName>
    <definedName name="ES6_29">#REF!</definedName>
    <definedName name="ES6_3">#REF!</definedName>
    <definedName name="ES6_30">#REF!</definedName>
    <definedName name="ES6_31">#REF!</definedName>
    <definedName name="ES6_32">#REF!</definedName>
    <definedName name="ES6_33">#REF!</definedName>
    <definedName name="ES6_34">#REF!</definedName>
    <definedName name="ES6_35">#REF!</definedName>
    <definedName name="ES6_36">#REF!</definedName>
    <definedName name="ES6_37">#REF!</definedName>
    <definedName name="ES6_38">#REF!</definedName>
    <definedName name="ES6_39">#REF!</definedName>
    <definedName name="ES6_4">#REF!</definedName>
    <definedName name="ES6_40">#REF!</definedName>
    <definedName name="ES6_41">#REF!</definedName>
    <definedName name="ES6_42">#REF!</definedName>
    <definedName name="ES6_43">#REF!</definedName>
    <definedName name="ES6_5">#REF!</definedName>
    <definedName name="ES6_6">#REF!</definedName>
    <definedName name="ES6_7">#REF!</definedName>
    <definedName name="ES6_8">#REF!</definedName>
    <definedName name="ES6_9">#REF!</definedName>
    <definedName name="ESC" localSheetId="22">IF([0]!LG=9,[0]!FES,"")</definedName>
    <definedName name="ESC" localSheetId="21">IF([0]!LG=9,[0]!FES,"")</definedName>
    <definedName name="ESC" localSheetId="17">IF([0]!LG=9,[0]!FES,"")</definedName>
    <definedName name="ESC" localSheetId="28">IF([0]!LG=9,[0]!FES,"")</definedName>
    <definedName name="ESC" localSheetId="29">IF([0]!LG=9,[0]!FES,"")</definedName>
    <definedName name="ESC" localSheetId="12">IF([0]!LG=9,[0]!FES,"")</definedName>
    <definedName name="ESC">IF([0]!LG=9,[0]!FES,"")</definedName>
    <definedName name="escalones">[55]lisprecios!#REF!</definedName>
    <definedName name="ESE">#REF!</definedName>
    <definedName name="ESMALTE">#REF!</definedName>
    <definedName name="Esp_PC">[24]D_AWG!$S$36</definedName>
    <definedName name="ESP201.15">'[159]201.15'!$H$49</definedName>
    <definedName name="ESP201.21">'[159]201.21'!$H$50</definedName>
    <definedName name="ESP201.7">'[159]201.7'!$H$52</definedName>
    <definedName name="ESP201.8">'[159]201.8'!$H$53</definedName>
    <definedName name="ESP210.2.2">#REF!</definedName>
    <definedName name="ESP225P">#REF!</definedName>
    <definedName name="ESP330.1P">'[159]330.1P (7801)'!$H$50</definedName>
    <definedName name="ESP632.1P">'[159]632.1P '!$H$57</definedName>
    <definedName name="ESP632.4P">'[159]632.4P'!$H$51</definedName>
    <definedName name="ESPECIFICACION">#REF!</definedName>
    <definedName name="Especificación">#REF!</definedName>
    <definedName name="EST">'[160]MODELO 2'!$C$6</definedName>
    <definedName name="EST10A">#REF!</definedName>
    <definedName name="EST10V1">#REF!</definedName>
    <definedName name="EST11A">#REF!</definedName>
    <definedName name="ESTACION">[161]TABLAS!$B$63:$B$78</definedName>
    <definedName name="estado">[128]Inicio!$V$3:$V$4</definedName>
    <definedName name="Estado1">'[162]EV-28'!$I$1:$I$2</definedName>
    <definedName name="Este">#REF!</definedName>
    <definedName name="ESTERIL">'[81]BASE DE DATOS ORIG'!#REF!</definedName>
    <definedName name="ESTRUCT06">'[163]Análisis Unit'!#REF!</definedName>
    <definedName name="ESTRUCT07">'[163]Análisis Unit'!#REF!</definedName>
    <definedName name="ESTRUCT08">'[163]Análisis Unit'!#REF!</definedName>
    <definedName name="ESTRUCT09">'[163]Análisis Unit'!#REF!</definedName>
    <definedName name="ESTRUCT10">'[163]Análisis Unit'!#REF!</definedName>
    <definedName name="ESTRUCT11">'[163]Análisis Unit'!#REF!</definedName>
    <definedName name="ESTRUCT12">'[163]Análisis Unit'!#REF!</definedName>
    <definedName name="ESTRUCT13">'[163]Análisis Unit'!#REF!</definedName>
    <definedName name="ESTRUCT14">'[163]Análisis Unit'!#REF!</definedName>
    <definedName name="ESTRUCT15">'[163]Análisis Unit'!#REF!</definedName>
    <definedName name="ESTRUCT16">'[163]Análisis Unit'!#REF!</definedName>
    <definedName name="ESTRUCT17">'[163]Análisis Unit'!#REF!</definedName>
    <definedName name="ESTRUCT18">'[163]Análisis Unit'!#REF!</definedName>
    <definedName name="ESTRUCT19">'[163]Análisis Unit'!#REF!</definedName>
    <definedName name="ESTRUCT20">'[163]Análisis Unit'!#REF!</definedName>
    <definedName name="ESTRUCT21">'[163]Análisis Unit'!#REF!</definedName>
    <definedName name="ESTRUCT22">'[163]Análisis Unit'!#REF!</definedName>
    <definedName name="ESTRUCT24">'[163]Análisis Unit'!#REF!</definedName>
    <definedName name="ESTRUCT25">'[163]Análisis Unit'!#REF!</definedName>
    <definedName name="ESTRUCT28">'[163]Análisis Unit'!#REF!</definedName>
    <definedName name="ESTRUCT29">'[163]Análisis Unit'!#REF!</definedName>
    <definedName name="ESTRUCT31">'[163]Análisis Unit'!#REF!</definedName>
    <definedName name="ESTRUCT33">'[163]Análisis Unit'!#REF!</definedName>
    <definedName name="ESTRUCT34">'[163]Análisis Unit'!#REF!</definedName>
    <definedName name="ESTRUCT43">'[163]Análisis Unit'!#REF!</definedName>
    <definedName name="ESTRUCTURA">[164]!Tabla7[Estructura]</definedName>
    <definedName name="etapas_proyecto">'[162]EV-28'!$J$1:$J$3</definedName>
    <definedName name="ETERNIT6">#REF!</definedName>
    <definedName name="etertgg" localSheetId="39">{"via1",#N/A,TRUE,"general";"via2",#N/A,TRUE,"general";"via3",#N/A,TRUE,"general"}</definedName>
    <definedName name="etertgg" localSheetId="20">{"via1",#N/A,TRUE,"general";"via2",#N/A,TRUE,"general";"via3",#N/A,TRUE,"general"}</definedName>
    <definedName name="etertgg" localSheetId="21">{"via1",#N/A,TRUE,"general";"via2",#N/A,TRUE,"general";"via3",#N/A,TRUE,"general"}</definedName>
    <definedName name="etertgg" localSheetId="9">{"via1",#N/A,TRUE,"general";"via2",#N/A,TRUE,"general";"via3",#N/A,TRUE,"general"}</definedName>
    <definedName name="etertgg" localSheetId="19">{"via1",#N/A,TRUE,"general";"via2",#N/A,TRUE,"general";"via3",#N/A,TRUE,"general"}</definedName>
    <definedName name="etertgg" localSheetId="28">{"via1",#N/A,TRUE,"general";"via2",#N/A,TRUE,"general";"via3",#N/A,TRUE,"general"}</definedName>
    <definedName name="etertgg" localSheetId="29">{"via1",#N/A,TRUE,"general";"via2",#N/A,TRUE,"general";"via3",#N/A,TRUE,"general"}</definedName>
    <definedName name="etertgg">{"via1",#N/A,TRUE,"general";"via2",#N/A,TRUE,"general";"via3",#N/A,TRUE,"general"}</definedName>
    <definedName name="etewt" localSheetId="39">{"TAB1",#N/A,TRUE,"GENERAL";"TAB2",#N/A,TRUE,"GENERAL";"TAB3",#N/A,TRUE,"GENERAL";"TAB4",#N/A,TRUE,"GENERAL";"TAB5",#N/A,TRUE,"GENERAL"}</definedName>
    <definedName name="etewt" localSheetId="20">{"TAB1",#N/A,TRUE,"GENERAL";"TAB2",#N/A,TRUE,"GENERAL";"TAB3",#N/A,TRUE,"GENERAL";"TAB4",#N/A,TRUE,"GENERAL";"TAB5",#N/A,TRUE,"GENERAL"}</definedName>
    <definedName name="etewt" localSheetId="21">{"TAB1",#N/A,TRUE,"GENERAL";"TAB2",#N/A,TRUE,"GENERAL";"TAB3",#N/A,TRUE,"GENERAL";"TAB4",#N/A,TRUE,"GENERAL";"TAB5",#N/A,TRUE,"GENERAL"}</definedName>
    <definedName name="etewt" localSheetId="9">{"TAB1",#N/A,TRUE,"GENERAL";"TAB2",#N/A,TRUE,"GENERAL";"TAB3",#N/A,TRUE,"GENERAL";"TAB4",#N/A,TRUE,"GENERAL";"TAB5",#N/A,TRUE,"GENERAL"}</definedName>
    <definedName name="etewt" localSheetId="19">{"TAB1",#N/A,TRUE,"GENERAL";"TAB2",#N/A,TRUE,"GENERAL";"TAB3",#N/A,TRUE,"GENERAL";"TAB4",#N/A,TRUE,"GENERAL";"TAB5",#N/A,TRUE,"GENERAL"}</definedName>
    <definedName name="etewt" localSheetId="28">{"TAB1",#N/A,TRUE,"GENERAL";"TAB2",#N/A,TRUE,"GENERAL";"TAB3",#N/A,TRUE,"GENERAL";"TAB4",#N/A,TRUE,"GENERAL";"TAB5",#N/A,TRUE,"GENERAL"}</definedName>
    <definedName name="etewt" localSheetId="29">{"TAB1",#N/A,TRUE,"GENERAL";"TAB2",#N/A,TRUE,"GENERAL";"TAB3",#N/A,TRUE,"GENERAL";"TAB4",#N/A,TRUE,"GENERAL";"TAB5",#N/A,TRUE,"GENERAL"}</definedName>
    <definedName name="etewt">{"TAB1",#N/A,TRUE,"GENERAL";"TAB2",#N/A,TRUE,"GENERAL";"TAB3",#N/A,TRUE,"GENERAL";"TAB4",#N/A,TRUE,"GENERAL";"TAB5",#N/A,TRUE,"GENERAL"}</definedName>
    <definedName name="etu" localSheetId="39">{"via1",#N/A,TRUE,"general";"via2",#N/A,TRUE,"general";"via3",#N/A,TRUE,"general"}</definedName>
    <definedName name="etu" localSheetId="20">{"via1",#N/A,TRUE,"general";"via2",#N/A,TRUE,"general";"via3",#N/A,TRUE,"general"}</definedName>
    <definedName name="etu" localSheetId="21">{"via1",#N/A,TRUE,"general";"via2",#N/A,TRUE,"general";"via3",#N/A,TRUE,"general"}</definedName>
    <definedName name="etu" localSheetId="9">{"via1",#N/A,TRUE,"general";"via2",#N/A,TRUE,"general";"via3",#N/A,TRUE,"general"}</definedName>
    <definedName name="etu" localSheetId="19">{"via1",#N/A,TRUE,"general";"via2",#N/A,TRUE,"general";"via3",#N/A,TRUE,"general"}</definedName>
    <definedName name="etu" localSheetId="28">{"via1",#N/A,TRUE,"general";"via2",#N/A,TRUE,"general";"via3",#N/A,TRUE,"general"}</definedName>
    <definedName name="etu" localSheetId="29">{"via1",#N/A,TRUE,"general";"via2",#N/A,TRUE,"general";"via3",#N/A,TRUE,"general"}</definedName>
    <definedName name="etu">{"via1",#N/A,TRUE,"general";"via2",#N/A,TRUE,"general";"via3",#N/A,TRUE,"general"}</definedName>
    <definedName name="etueh" localSheetId="39">{"via1",#N/A,TRUE,"general";"via2",#N/A,TRUE,"general";"via3",#N/A,TRUE,"general"}</definedName>
    <definedName name="etueh" localSheetId="20">{"via1",#N/A,TRUE,"general";"via2",#N/A,TRUE,"general";"via3",#N/A,TRUE,"general"}</definedName>
    <definedName name="etueh" localSheetId="21">{"via1",#N/A,TRUE,"general";"via2",#N/A,TRUE,"general";"via3",#N/A,TRUE,"general"}</definedName>
    <definedName name="etueh" localSheetId="9">{"via1",#N/A,TRUE,"general";"via2",#N/A,TRUE,"general";"via3",#N/A,TRUE,"general"}</definedName>
    <definedName name="etueh" localSheetId="19">{"via1",#N/A,TRUE,"general";"via2",#N/A,TRUE,"general";"via3",#N/A,TRUE,"general"}</definedName>
    <definedName name="etueh" localSheetId="28">{"via1",#N/A,TRUE,"general";"via2",#N/A,TRUE,"general";"via3",#N/A,TRUE,"general"}</definedName>
    <definedName name="etueh" localSheetId="29">{"via1",#N/A,TRUE,"general";"via2",#N/A,TRUE,"general";"via3",#N/A,TRUE,"general"}</definedName>
    <definedName name="etueh">{"via1",#N/A,TRUE,"general";"via2",#N/A,TRUE,"general";"via3",#N/A,TRUE,"general"}</definedName>
    <definedName name="etyty" localSheetId="39">{"via1",#N/A,TRUE,"general";"via2",#N/A,TRUE,"general";"via3",#N/A,TRUE,"general"}</definedName>
    <definedName name="etyty" localSheetId="20">{"via1",#N/A,TRUE,"general";"via2",#N/A,TRUE,"general";"via3",#N/A,TRUE,"general"}</definedName>
    <definedName name="etyty" localSheetId="21">{"via1",#N/A,TRUE,"general";"via2",#N/A,TRUE,"general";"via3",#N/A,TRUE,"general"}</definedName>
    <definedName name="etyty" localSheetId="9">{"via1",#N/A,TRUE,"general";"via2",#N/A,TRUE,"general";"via3",#N/A,TRUE,"general"}</definedName>
    <definedName name="etyty" localSheetId="19">{"via1",#N/A,TRUE,"general";"via2",#N/A,TRUE,"general";"via3",#N/A,TRUE,"general"}</definedName>
    <definedName name="etyty" localSheetId="28">{"via1",#N/A,TRUE,"general";"via2",#N/A,TRUE,"general";"via3",#N/A,TRUE,"general"}</definedName>
    <definedName name="etyty" localSheetId="29">{"via1",#N/A,TRUE,"general";"via2",#N/A,TRUE,"general";"via3",#N/A,TRUE,"general"}</definedName>
    <definedName name="etyty">{"via1",#N/A,TRUE,"general";"via2",#N/A,TRUE,"general";"via3",#N/A,TRUE,"general"}</definedName>
    <definedName name="etyu" localSheetId="39">{"TAB1",#N/A,TRUE,"GENERAL";"TAB2",#N/A,TRUE,"GENERAL";"TAB3",#N/A,TRUE,"GENERAL";"TAB4",#N/A,TRUE,"GENERAL";"TAB5",#N/A,TRUE,"GENERAL"}</definedName>
    <definedName name="etyu" localSheetId="20">{"TAB1",#N/A,TRUE,"GENERAL";"TAB2",#N/A,TRUE,"GENERAL";"TAB3",#N/A,TRUE,"GENERAL";"TAB4",#N/A,TRUE,"GENERAL";"TAB5",#N/A,TRUE,"GENERAL"}</definedName>
    <definedName name="etyu" localSheetId="21">{"TAB1",#N/A,TRUE,"GENERAL";"TAB2",#N/A,TRUE,"GENERAL";"TAB3",#N/A,TRUE,"GENERAL";"TAB4",#N/A,TRUE,"GENERAL";"TAB5",#N/A,TRUE,"GENERAL"}</definedName>
    <definedName name="etyu" localSheetId="9">{"TAB1",#N/A,TRUE,"GENERAL";"TAB2",#N/A,TRUE,"GENERAL";"TAB3",#N/A,TRUE,"GENERAL";"TAB4",#N/A,TRUE,"GENERAL";"TAB5",#N/A,TRUE,"GENERAL"}</definedName>
    <definedName name="etyu" localSheetId="19">{"TAB1",#N/A,TRUE,"GENERAL";"TAB2",#N/A,TRUE,"GENERAL";"TAB3",#N/A,TRUE,"GENERAL";"TAB4",#N/A,TRUE,"GENERAL";"TAB5",#N/A,TRUE,"GENERAL"}</definedName>
    <definedName name="etyu" localSheetId="28">{"TAB1",#N/A,TRUE,"GENERAL";"TAB2",#N/A,TRUE,"GENERAL";"TAB3",#N/A,TRUE,"GENERAL";"TAB4",#N/A,TRUE,"GENERAL";"TAB5",#N/A,TRUE,"GENERAL"}</definedName>
    <definedName name="etyu" localSheetId="29">{"TAB1",#N/A,TRUE,"GENERAL";"TAB2",#N/A,TRUE,"GENERAL";"TAB3",#N/A,TRUE,"GENERAL";"TAB4",#N/A,TRUE,"GENERAL";"TAB5",#N/A,TRUE,"GENERAL"}</definedName>
    <definedName name="etyu">{"TAB1",#N/A,TRUE,"GENERAL";"TAB2",#N/A,TRUE,"GENERAL";"TAB3",#N/A,TRUE,"GENERAL";"TAB4",#N/A,TRUE,"GENERAL";"TAB5",#N/A,TRUE,"GENERAL"}</definedName>
    <definedName name="eu" localSheetId="39">{"via1",#N/A,TRUE,"general";"via2",#N/A,TRUE,"general";"via3",#N/A,TRUE,"general"}</definedName>
    <definedName name="eu" localSheetId="20">{"via1",#N/A,TRUE,"general";"via2",#N/A,TRUE,"general";"via3",#N/A,TRUE,"general"}</definedName>
    <definedName name="eu" localSheetId="21">{"via1",#N/A,TRUE,"general";"via2",#N/A,TRUE,"general";"via3",#N/A,TRUE,"general"}</definedName>
    <definedName name="eu" localSheetId="9">{"via1",#N/A,TRUE,"general";"via2",#N/A,TRUE,"general";"via3",#N/A,TRUE,"general"}</definedName>
    <definedName name="eu" localSheetId="19">{"via1",#N/A,TRUE,"general";"via2",#N/A,TRUE,"general";"via3",#N/A,TRUE,"general"}</definedName>
    <definedName name="eu" localSheetId="28">{"via1",#N/A,TRUE,"general";"via2",#N/A,TRUE,"general";"via3",#N/A,TRUE,"general"}</definedName>
    <definedName name="eu" localSheetId="29">{"via1",#N/A,TRUE,"general";"via2",#N/A,TRUE,"general";"via3",#N/A,TRUE,"general"}</definedName>
    <definedName name="eu">{"via1",#N/A,TRUE,"general";"via2",#N/A,TRUE,"general";"via3",#N/A,TRUE,"general"}</definedName>
    <definedName name="eut" localSheetId="39">{"via1",#N/A,TRUE,"general";"via2",#N/A,TRUE,"general";"via3",#N/A,TRUE,"general"}</definedName>
    <definedName name="eut" localSheetId="20">{"via1",#N/A,TRUE,"general";"via2",#N/A,TRUE,"general";"via3",#N/A,TRUE,"general"}</definedName>
    <definedName name="eut" localSheetId="21">{"via1",#N/A,TRUE,"general";"via2",#N/A,TRUE,"general";"via3",#N/A,TRUE,"general"}</definedName>
    <definedName name="eut" localSheetId="9">{"via1",#N/A,TRUE,"general";"via2",#N/A,TRUE,"general";"via3",#N/A,TRUE,"general"}</definedName>
    <definedName name="eut" localSheetId="19">{"via1",#N/A,TRUE,"general";"via2",#N/A,TRUE,"general";"via3",#N/A,TRUE,"general"}</definedName>
    <definedName name="eut" localSheetId="28">{"via1",#N/A,TRUE,"general";"via2",#N/A,TRUE,"general";"via3",#N/A,TRUE,"general"}</definedName>
    <definedName name="eut" localSheetId="29">{"via1",#N/A,TRUE,"general";"via2",#N/A,TRUE,"general";"via3",#N/A,TRUE,"general"}</definedName>
    <definedName name="eut">{"via1",#N/A,TRUE,"general";"via2",#N/A,TRUE,"general";"via3",#N/A,TRUE,"general"}</definedName>
    <definedName name="euyt" localSheetId="39">{"TAB1",#N/A,TRUE,"GENERAL";"TAB2",#N/A,TRUE,"GENERAL";"TAB3",#N/A,TRUE,"GENERAL";"TAB4",#N/A,TRUE,"GENERAL";"TAB5",#N/A,TRUE,"GENERAL"}</definedName>
    <definedName name="euyt" localSheetId="20">{"TAB1",#N/A,TRUE,"GENERAL";"TAB2",#N/A,TRUE,"GENERAL";"TAB3",#N/A,TRUE,"GENERAL";"TAB4",#N/A,TRUE,"GENERAL";"TAB5",#N/A,TRUE,"GENERAL"}</definedName>
    <definedName name="euyt" localSheetId="21">{"TAB1",#N/A,TRUE,"GENERAL";"TAB2",#N/A,TRUE,"GENERAL";"TAB3",#N/A,TRUE,"GENERAL";"TAB4",#N/A,TRUE,"GENERAL";"TAB5",#N/A,TRUE,"GENERAL"}</definedName>
    <definedName name="euyt" localSheetId="9">{"TAB1",#N/A,TRUE,"GENERAL";"TAB2",#N/A,TRUE,"GENERAL";"TAB3",#N/A,TRUE,"GENERAL";"TAB4",#N/A,TRUE,"GENERAL";"TAB5",#N/A,TRUE,"GENERAL"}</definedName>
    <definedName name="euyt" localSheetId="19">{"TAB1",#N/A,TRUE,"GENERAL";"TAB2",#N/A,TRUE,"GENERAL";"TAB3",#N/A,TRUE,"GENERAL";"TAB4",#N/A,TRUE,"GENERAL";"TAB5",#N/A,TRUE,"GENERAL"}</definedName>
    <definedName name="euyt" localSheetId="28">{"TAB1",#N/A,TRUE,"GENERAL";"TAB2",#N/A,TRUE,"GENERAL";"TAB3",#N/A,TRUE,"GENERAL";"TAB4",#N/A,TRUE,"GENERAL";"TAB5",#N/A,TRUE,"GENERAL"}</definedName>
    <definedName name="euyt" localSheetId="29">{"TAB1",#N/A,TRUE,"GENERAL";"TAB2",#N/A,TRUE,"GENERAL";"TAB3",#N/A,TRUE,"GENERAL";"TAB4",#N/A,TRUE,"GENERAL";"TAB5",#N/A,TRUE,"GENERAL"}</definedName>
    <definedName name="euyt">{"TAB1",#N/A,TRUE,"GENERAL";"TAB2",#N/A,TRUE,"GENERAL";"TAB3",#N/A,TRUE,"GENERAL";"TAB4",#N/A,TRUE,"GENERAL";"TAB5",#N/A,TRUE,"GENERAL"}</definedName>
    <definedName name="ev.Calculation" hidden="1">-4135</definedName>
    <definedName name="ev.Initialized" hidden="1">FALSE</definedName>
    <definedName name="Eval_Currency">#REF!</definedName>
    <definedName name="ewegt" localSheetId="39">{"TAB1",#N/A,TRUE,"GENERAL";"TAB2",#N/A,TRUE,"GENERAL";"TAB3",#N/A,TRUE,"GENERAL";"TAB4",#N/A,TRUE,"GENERAL";"TAB5",#N/A,TRUE,"GENERAL"}</definedName>
    <definedName name="ewegt" localSheetId="20">{"TAB1",#N/A,TRUE,"GENERAL";"TAB2",#N/A,TRUE,"GENERAL";"TAB3",#N/A,TRUE,"GENERAL";"TAB4",#N/A,TRUE,"GENERAL";"TAB5",#N/A,TRUE,"GENERAL"}</definedName>
    <definedName name="ewegt" localSheetId="21">{"TAB1",#N/A,TRUE,"GENERAL";"TAB2",#N/A,TRUE,"GENERAL";"TAB3",#N/A,TRUE,"GENERAL";"TAB4",#N/A,TRUE,"GENERAL";"TAB5",#N/A,TRUE,"GENERAL"}</definedName>
    <definedName name="ewegt" localSheetId="9">{"TAB1",#N/A,TRUE,"GENERAL";"TAB2",#N/A,TRUE,"GENERAL";"TAB3",#N/A,TRUE,"GENERAL";"TAB4",#N/A,TRUE,"GENERAL";"TAB5",#N/A,TRUE,"GENERAL"}</definedName>
    <definedName name="ewegt" localSheetId="19">{"TAB1",#N/A,TRUE,"GENERAL";"TAB2",#N/A,TRUE,"GENERAL";"TAB3",#N/A,TRUE,"GENERAL";"TAB4",#N/A,TRUE,"GENERAL";"TAB5",#N/A,TRUE,"GENERAL"}</definedName>
    <definedName name="ewegt" localSheetId="28">{"TAB1",#N/A,TRUE,"GENERAL";"TAB2",#N/A,TRUE,"GENERAL";"TAB3",#N/A,TRUE,"GENERAL";"TAB4",#N/A,TRUE,"GENERAL";"TAB5",#N/A,TRUE,"GENERAL"}</definedName>
    <definedName name="ewegt" localSheetId="29">{"TAB1",#N/A,TRUE,"GENERAL";"TAB2",#N/A,TRUE,"GENERAL";"TAB3",#N/A,TRUE,"GENERAL";"TAB4",#N/A,TRUE,"GENERAL";"TAB5",#N/A,TRUE,"GENERAL"}</definedName>
    <definedName name="ewegt">{"TAB1",#N/A,TRUE,"GENERAL";"TAB2",#N/A,TRUE,"GENERAL";"TAB3",#N/A,TRUE,"GENERAL";"TAB4",#N/A,TRUE,"GENERAL";"TAB5",#N/A,TRUE,"GENERAL"}</definedName>
    <definedName name="ewfewfg" localSheetId="39">{"TAB1",#N/A,TRUE,"GENERAL";"TAB2",#N/A,TRUE,"GENERAL";"TAB3",#N/A,TRUE,"GENERAL";"TAB4",#N/A,TRUE,"GENERAL";"TAB5",#N/A,TRUE,"GENERAL"}</definedName>
    <definedName name="ewfewfg" localSheetId="20">{"TAB1",#N/A,TRUE,"GENERAL";"TAB2",#N/A,TRUE,"GENERAL";"TAB3",#N/A,TRUE,"GENERAL";"TAB4",#N/A,TRUE,"GENERAL";"TAB5",#N/A,TRUE,"GENERAL"}</definedName>
    <definedName name="ewfewfg" localSheetId="21">{"TAB1",#N/A,TRUE,"GENERAL";"TAB2",#N/A,TRUE,"GENERAL";"TAB3",#N/A,TRUE,"GENERAL";"TAB4",#N/A,TRUE,"GENERAL";"TAB5",#N/A,TRUE,"GENERAL"}</definedName>
    <definedName name="ewfewfg" localSheetId="9">{"TAB1",#N/A,TRUE,"GENERAL";"TAB2",#N/A,TRUE,"GENERAL";"TAB3",#N/A,TRUE,"GENERAL";"TAB4",#N/A,TRUE,"GENERAL";"TAB5",#N/A,TRUE,"GENERAL"}</definedName>
    <definedName name="ewfewfg" localSheetId="19">{"TAB1",#N/A,TRUE,"GENERAL";"TAB2",#N/A,TRUE,"GENERAL";"TAB3",#N/A,TRUE,"GENERAL";"TAB4",#N/A,TRUE,"GENERAL";"TAB5",#N/A,TRUE,"GENERAL"}</definedName>
    <definedName name="ewfewfg" localSheetId="28">{"TAB1",#N/A,TRUE,"GENERAL";"TAB2",#N/A,TRUE,"GENERAL";"TAB3",#N/A,TRUE,"GENERAL";"TAB4",#N/A,TRUE,"GENERAL";"TAB5",#N/A,TRUE,"GENERAL"}</definedName>
    <definedName name="ewfewfg" localSheetId="29">{"TAB1",#N/A,TRUE,"GENERAL";"TAB2",#N/A,TRUE,"GENERAL";"TAB3",#N/A,TRUE,"GENERAL";"TAB4",#N/A,TRUE,"GENERAL";"TAB5",#N/A,TRUE,"GENERAL"}</definedName>
    <definedName name="ewfewfg">{"TAB1",#N/A,TRUE,"GENERAL";"TAB2",#N/A,TRUE,"GENERAL";"TAB3",#N/A,TRUE,"GENERAL";"TAB4",#N/A,TRUE,"GENERAL";"TAB5",#N/A,TRUE,"GENERAL"}</definedName>
    <definedName name="ewre" localSheetId="39">{"TAB1",#N/A,TRUE,"GENERAL";"TAB2",#N/A,TRUE,"GENERAL";"TAB3",#N/A,TRUE,"GENERAL";"TAB4",#N/A,TRUE,"GENERAL";"TAB5",#N/A,TRUE,"GENERAL"}</definedName>
    <definedName name="ewre" localSheetId="20">{"TAB1",#N/A,TRUE,"GENERAL";"TAB2",#N/A,TRUE,"GENERAL";"TAB3",#N/A,TRUE,"GENERAL";"TAB4",#N/A,TRUE,"GENERAL";"TAB5",#N/A,TRUE,"GENERAL"}</definedName>
    <definedName name="ewre" localSheetId="21">{"TAB1",#N/A,TRUE,"GENERAL";"TAB2",#N/A,TRUE,"GENERAL";"TAB3",#N/A,TRUE,"GENERAL";"TAB4",#N/A,TRUE,"GENERAL";"TAB5",#N/A,TRUE,"GENERAL"}</definedName>
    <definedName name="ewre" localSheetId="9">{"TAB1",#N/A,TRUE,"GENERAL";"TAB2",#N/A,TRUE,"GENERAL";"TAB3",#N/A,TRUE,"GENERAL";"TAB4",#N/A,TRUE,"GENERAL";"TAB5",#N/A,TRUE,"GENERAL"}</definedName>
    <definedName name="ewre" localSheetId="19">{"TAB1",#N/A,TRUE,"GENERAL";"TAB2",#N/A,TRUE,"GENERAL";"TAB3",#N/A,TRUE,"GENERAL";"TAB4",#N/A,TRUE,"GENERAL";"TAB5",#N/A,TRUE,"GENERAL"}</definedName>
    <definedName name="ewre" localSheetId="28">{"TAB1",#N/A,TRUE,"GENERAL";"TAB2",#N/A,TRUE,"GENERAL";"TAB3",#N/A,TRUE,"GENERAL";"TAB4",#N/A,TRUE,"GENERAL";"TAB5",#N/A,TRUE,"GENERAL"}</definedName>
    <definedName name="ewre" localSheetId="29">{"TAB1",#N/A,TRUE,"GENERAL";"TAB2",#N/A,TRUE,"GENERAL";"TAB3",#N/A,TRUE,"GENERAL";"TAB4",#N/A,TRUE,"GENERAL";"TAB5",#N/A,TRUE,"GENERAL"}</definedName>
    <definedName name="ewre">{"TAB1",#N/A,TRUE,"GENERAL";"TAB2",#N/A,TRUE,"GENERAL";"TAB3",#N/A,TRUE,"GENERAL";"TAB4",#N/A,TRUE,"GENERAL";"TAB5",#N/A,TRUE,"GENERAL"}</definedName>
    <definedName name="ewrewf" localSheetId="39">{"TAB1",#N/A,TRUE,"GENERAL";"TAB2",#N/A,TRUE,"GENERAL";"TAB3",#N/A,TRUE,"GENERAL";"TAB4",#N/A,TRUE,"GENERAL";"TAB5",#N/A,TRUE,"GENERAL"}</definedName>
    <definedName name="ewrewf" localSheetId="20">{"TAB1",#N/A,TRUE,"GENERAL";"TAB2",#N/A,TRUE,"GENERAL";"TAB3",#N/A,TRUE,"GENERAL";"TAB4",#N/A,TRUE,"GENERAL";"TAB5",#N/A,TRUE,"GENERAL"}</definedName>
    <definedName name="ewrewf" localSheetId="21">{"TAB1",#N/A,TRUE,"GENERAL";"TAB2",#N/A,TRUE,"GENERAL";"TAB3",#N/A,TRUE,"GENERAL";"TAB4",#N/A,TRUE,"GENERAL";"TAB5",#N/A,TRUE,"GENERAL"}</definedName>
    <definedName name="ewrewf" localSheetId="9">{"TAB1",#N/A,TRUE,"GENERAL";"TAB2",#N/A,TRUE,"GENERAL";"TAB3",#N/A,TRUE,"GENERAL";"TAB4",#N/A,TRUE,"GENERAL";"TAB5",#N/A,TRUE,"GENERAL"}</definedName>
    <definedName name="ewrewf" localSheetId="19">{"TAB1",#N/A,TRUE,"GENERAL";"TAB2",#N/A,TRUE,"GENERAL";"TAB3",#N/A,TRUE,"GENERAL";"TAB4",#N/A,TRUE,"GENERAL";"TAB5",#N/A,TRUE,"GENERAL"}</definedName>
    <definedName name="ewrewf" localSheetId="28">{"TAB1",#N/A,TRUE,"GENERAL";"TAB2",#N/A,TRUE,"GENERAL";"TAB3",#N/A,TRUE,"GENERAL";"TAB4",#N/A,TRUE,"GENERAL";"TAB5",#N/A,TRUE,"GENERAL"}</definedName>
    <definedName name="ewrewf" localSheetId="29">{"TAB1",#N/A,TRUE,"GENERAL";"TAB2",#N/A,TRUE,"GENERAL";"TAB3",#N/A,TRUE,"GENERAL";"TAB4",#N/A,TRUE,"GENERAL";"TAB5",#N/A,TRUE,"GENERAL"}</definedName>
    <definedName name="ewrewf">{"TAB1",#N/A,TRUE,"GENERAL";"TAB2",#N/A,TRUE,"GENERAL";"TAB3",#N/A,TRUE,"GENERAL";"TAB4",#N/A,TRUE,"GENERAL";"TAB5",#N/A,TRUE,"GENERAL"}</definedName>
    <definedName name="ewrr" localSheetId="39">{"TAB1",#N/A,TRUE,"GENERAL";"TAB2",#N/A,TRUE,"GENERAL";"TAB3",#N/A,TRUE,"GENERAL";"TAB4",#N/A,TRUE,"GENERAL";"TAB5",#N/A,TRUE,"GENERAL"}</definedName>
    <definedName name="ewrr" localSheetId="20">{"TAB1",#N/A,TRUE,"GENERAL";"TAB2",#N/A,TRUE,"GENERAL";"TAB3",#N/A,TRUE,"GENERAL";"TAB4",#N/A,TRUE,"GENERAL";"TAB5",#N/A,TRUE,"GENERAL"}</definedName>
    <definedName name="ewrr" localSheetId="21">{"TAB1",#N/A,TRUE,"GENERAL";"TAB2",#N/A,TRUE,"GENERAL";"TAB3",#N/A,TRUE,"GENERAL";"TAB4",#N/A,TRUE,"GENERAL";"TAB5",#N/A,TRUE,"GENERAL"}</definedName>
    <definedName name="ewrr" localSheetId="9">{"TAB1",#N/A,TRUE,"GENERAL";"TAB2",#N/A,TRUE,"GENERAL";"TAB3",#N/A,TRUE,"GENERAL";"TAB4",#N/A,TRUE,"GENERAL";"TAB5",#N/A,TRUE,"GENERAL"}</definedName>
    <definedName name="ewrr" localSheetId="19">{"TAB1",#N/A,TRUE,"GENERAL";"TAB2",#N/A,TRUE,"GENERAL";"TAB3",#N/A,TRUE,"GENERAL";"TAB4",#N/A,TRUE,"GENERAL";"TAB5",#N/A,TRUE,"GENERAL"}</definedName>
    <definedName name="ewrr" localSheetId="28">{"TAB1",#N/A,TRUE,"GENERAL";"TAB2",#N/A,TRUE,"GENERAL";"TAB3",#N/A,TRUE,"GENERAL";"TAB4",#N/A,TRUE,"GENERAL";"TAB5",#N/A,TRUE,"GENERAL"}</definedName>
    <definedName name="ewrr" localSheetId="29">{"TAB1",#N/A,TRUE,"GENERAL";"TAB2",#N/A,TRUE,"GENERAL";"TAB3",#N/A,TRUE,"GENERAL";"TAB4",#N/A,TRUE,"GENERAL";"TAB5",#N/A,TRUE,"GENERAL"}</definedName>
    <definedName name="ewrr">{"TAB1",#N/A,TRUE,"GENERAL";"TAB2",#N/A,TRUE,"GENERAL";"TAB3",#N/A,TRUE,"GENERAL";"TAB4",#N/A,TRUE,"GENERAL";"TAB5",#N/A,TRUE,"GENERAL"}</definedName>
    <definedName name="ewrt" localSheetId="39">{"TAB1",#N/A,TRUE,"GENERAL";"TAB2",#N/A,TRUE,"GENERAL";"TAB3",#N/A,TRUE,"GENERAL";"TAB4",#N/A,TRUE,"GENERAL";"TAB5",#N/A,TRUE,"GENERAL"}</definedName>
    <definedName name="ewrt" localSheetId="20">{"TAB1",#N/A,TRUE,"GENERAL";"TAB2",#N/A,TRUE,"GENERAL";"TAB3",#N/A,TRUE,"GENERAL";"TAB4",#N/A,TRUE,"GENERAL";"TAB5",#N/A,TRUE,"GENERAL"}</definedName>
    <definedName name="ewrt" localSheetId="21">{"TAB1",#N/A,TRUE,"GENERAL";"TAB2",#N/A,TRUE,"GENERAL";"TAB3",#N/A,TRUE,"GENERAL";"TAB4",#N/A,TRUE,"GENERAL";"TAB5",#N/A,TRUE,"GENERAL"}</definedName>
    <definedName name="ewrt" localSheetId="9">{"TAB1",#N/A,TRUE,"GENERAL";"TAB2",#N/A,TRUE,"GENERAL";"TAB3",#N/A,TRUE,"GENERAL";"TAB4",#N/A,TRUE,"GENERAL";"TAB5",#N/A,TRUE,"GENERAL"}</definedName>
    <definedName name="ewrt" localSheetId="19">{"TAB1",#N/A,TRUE,"GENERAL";"TAB2",#N/A,TRUE,"GENERAL";"TAB3",#N/A,TRUE,"GENERAL";"TAB4",#N/A,TRUE,"GENERAL";"TAB5",#N/A,TRUE,"GENERAL"}</definedName>
    <definedName name="ewrt" localSheetId="28">{"TAB1",#N/A,TRUE,"GENERAL";"TAB2",#N/A,TRUE,"GENERAL";"TAB3",#N/A,TRUE,"GENERAL";"TAB4",#N/A,TRUE,"GENERAL";"TAB5",#N/A,TRUE,"GENERAL"}</definedName>
    <definedName name="ewrt" localSheetId="29">{"TAB1",#N/A,TRUE,"GENERAL";"TAB2",#N/A,TRUE,"GENERAL";"TAB3",#N/A,TRUE,"GENERAL";"TAB4",#N/A,TRUE,"GENERAL";"TAB5",#N/A,TRUE,"GENERAL"}</definedName>
    <definedName name="ewrt">{"TAB1",#N/A,TRUE,"GENERAL";"TAB2",#N/A,TRUE,"GENERAL";"TAB3",#N/A,TRUE,"GENERAL";"TAB4",#N/A,TRUE,"GENERAL";"TAB5",#N/A,TRUE,"GENERAL"}</definedName>
    <definedName name="ewrwer" localSheetId="39">{"TAB1",#N/A,TRUE,"GENERAL";"TAB2",#N/A,TRUE,"GENERAL";"TAB3",#N/A,TRUE,"GENERAL";"TAB4",#N/A,TRUE,"GENERAL";"TAB5",#N/A,TRUE,"GENERAL"}</definedName>
    <definedName name="ewrwer" localSheetId="20">{"TAB1",#N/A,TRUE,"GENERAL";"TAB2",#N/A,TRUE,"GENERAL";"TAB3",#N/A,TRUE,"GENERAL";"TAB4",#N/A,TRUE,"GENERAL";"TAB5",#N/A,TRUE,"GENERAL"}</definedName>
    <definedName name="ewrwer" localSheetId="21">{"TAB1",#N/A,TRUE,"GENERAL";"TAB2",#N/A,TRUE,"GENERAL";"TAB3",#N/A,TRUE,"GENERAL";"TAB4",#N/A,TRUE,"GENERAL";"TAB5",#N/A,TRUE,"GENERAL"}</definedName>
    <definedName name="ewrwer" localSheetId="9">{"TAB1",#N/A,TRUE,"GENERAL";"TAB2",#N/A,TRUE,"GENERAL";"TAB3",#N/A,TRUE,"GENERAL";"TAB4",#N/A,TRUE,"GENERAL";"TAB5",#N/A,TRUE,"GENERAL"}</definedName>
    <definedName name="ewrwer" localSheetId="19">{"TAB1",#N/A,TRUE,"GENERAL";"TAB2",#N/A,TRUE,"GENERAL";"TAB3",#N/A,TRUE,"GENERAL";"TAB4",#N/A,TRUE,"GENERAL";"TAB5",#N/A,TRUE,"GENERAL"}</definedName>
    <definedName name="ewrwer" localSheetId="28">{"TAB1",#N/A,TRUE,"GENERAL";"TAB2",#N/A,TRUE,"GENERAL";"TAB3",#N/A,TRUE,"GENERAL";"TAB4",#N/A,TRUE,"GENERAL";"TAB5",#N/A,TRUE,"GENERAL"}</definedName>
    <definedName name="ewrwer" localSheetId="29">{"TAB1",#N/A,TRUE,"GENERAL";"TAB2",#N/A,TRUE,"GENERAL";"TAB3",#N/A,TRUE,"GENERAL";"TAB4",#N/A,TRUE,"GENERAL";"TAB5",#N/A,TRUE,"GENERAL"}</definedName>
    <definedName name="ewrwer">{"TAB1",#N/A,TRUE,"GENERAL";"TAB2",#N/A,TRUE,"GENERAL";"TAB3",#N/A,TRUE,"GENERAL";"TAB4",#N/A,TRUE,"GENERAL";"TAB5",#N/A,TRUE,"GENERAL"}</definedName>
    <definedName name="ex">#REF!</definedName>
    <definedName name="EXC" localSheetId="9">#REF!</definedName>
    <definedName name="EXC">#REF!</definedName>
    <definedName name="EXCAVACIONCONGLOMERADO">#REF!</definedName>
    <definedName name="EXCAVACIONSIMPLE">#REF!</definedName>
    <definedName name="exCEL" localSheetId="9">#REF!</definedName>
    <definedName name="exCEL">#REF!</definedName>
    <definedName name="Excel_BuiltIn__FilterDatabase_2">'[165]Presup Av 1o de mayo con 73a '!$A$17:$N$110</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3" localSheetId="9">#REF!</definedName>
    <definedName name="Excel_BuiltIn_Print_Area_3">#REF!</definedName>
    <definedName name="Excel_BuiltIn_Print_Area_3_X">#REF!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[129]SKJ452!#REF!</definedName>
    <definedName name="Excel_BuiltIn_Print_Titles_11">[129]ITA878!#REF!</definedName>
    <definedName name="Excel_BuiltIn_Print_Titles_12">'[129]AEA-944'!#REF!</definedName>
    <definedName name="Excel_BuiltIn_Print_Titles_13">'[129]DUB-823'!#REF!</definedName>
    <definedName name="Excel_BuiltIn_Print_Titles_14">'[129]GPI 526'!#REF!</definedName>
    <definedName name="Excel_BuiltIn_Print_Titles_15" localSheetId="39">#REF!</definedName>
    <definedName name="Excel_BuiltIn_Print_Titles_15" localSheetId="20">#REF!</definedName>
    <definedName name="Excel_BuiltIn_Print_Titles_15" localSheetId="21">#REF!</definedName>
    <definedName name="Excel_BuiltIn_Print_Titles_15" localSheetId="9">#REF!</definedName>
    <definedName name="Excel_BuiltIn_Print_Titles_15" localSheetId="19">#REF!</definedName>
    <definedName name="Excel_BuiltIn_Print_Titles_15">#REF!</definedName>
    <definedName name="Excel_BuiltIn_Print_Titles_16" localSheetId="39">#REF!</definedName>
    <definedName name="Excel_BuiltIn_Print_Titles_16" localSheetId="20">#REF!</definedName>
    <definedName name="Excel_BuiltIn_Print_Titles_16" localSheetId="21">#REF!</definedName>
    <definedName name="Excel_BuiltIn_Print_Titles_16">#REF!</definedName>
    <definedName name="Excel_BuiltIn_Print_Titles_17" localSheetId="39">#REF!</definedName>
    <definedName name="Excel_BuiltIn_Print_Titles_17" localSheetId="20">#REF!</definedName>
    <definedName name="Excel_BuiltIn_Print_Titles_17" localSheetId="21">#REF!</definedName>
    <definedName name="Excel_BuiltIn_Print_Titles_17">#REF!</definedName>
    <definedName name="Excel_BuiltIn_Print_Titles_18">#REF!</definedName>
    <definedName name="Excel_BuiltIn_Print_Titles_19">[129]XXJ617!#REF!</definedName>
    <definedName name="Excel_BuiltIn_Print_Titles_20" localSheetId="39">#REF!</definedName>
    <definedName name="Excel_BuiltIn_Print_Titles_20" localSheetId="20">#REF!</definedName>
    <definedName name="Excel_BuiltIn_Print_Titles_20" localSheetId="21">#REF!</definedName>
    <definedName name="Excel_BuiltIn_Print_Titles_20" localSheetId="9">#REF!</definedName>
    <definedName name="Excel_BuiltIn_Print_Titles_20" localSheetId="19">#REF!</definedName>
    <definedName name="Excel_BuiltIn_Print_Titles_20">#REF!</definedName>
    <definedName name="Excel_BuiltIn_Print_Titles_21" localSheetId="39">[129]SNG_855!#REF!</definedName>
    <definedName name="Excel_BuiltIn_Print_Titles_21" localSheetId="20">[129]SNG_855!#REF!</definedName>
    <definedName name="Excel_BuiltIn_Print_Titles_21" localSheetId="21">[129]SNG_855!#REF!</definedName>
    <definedName name="Excel_BuiltIn_Print_Titles_21" localSheetId="9">[129]SNG_855!#REF!</definedName>
    <definedName name="Excel_BuiltIn_Print_Titles_21" localSheetId="19">[129]SNG_855!#REF!</definedName>
    <definedName name="Excel_BuiltIn_Print_Titles_21">[129]SNG_855!#REF!</definedName>
    <definedName name="Excel_BuiltIn_Print_Titles_23" localSheetId="39">#REF!</definedName>
    <definedName name="Excel_BuiltIn_Print_Titles_23" localSheetId="20">#REF!</definedName>
    <definedName name="Excel_BuiltIn_Print_Titles_23" localSheetId="21">#REF!</definedName>
    <definedName name="Excel_BuiltIn_Print_Titles_23" localSheetId="9">#REF!</definedName>
    <definedName name="Excel_BuiltIn_Print_Titles_23" localSheetId="19">#REF!</definedName>
    <definedName name="Excel_BuiltIn_Print_Titles_23">#REF!</definedName>
    <definedName name="Excel_BuiltIn_Print_Titles_3" localSheetId="39">#REF!</definedName>
    <definedName name="Excel_BuiltIn_Print_Titles_3" localSheetId="10">'[166]COSTOS OFICINA'!#REF!</definedName>
    <definedName name="Excel_BuiltIn_Print_Titles_3" localSheetId="20">'[166]COSTOS OFICINA'!#REF!</definedName>
    <definedName name="Excel_BuiltIn_Print_Titles_3" localSheetId="21">'[166]COSTOS OFICINA'!#REF!</definedName>
    <definedName name="Excel_BuiltIn_Print_Titles_3" localSheetId="17">'[167]COSTOS OFICINA'!#REF!</definedName>
    <definedName name="Excel_BuiltIn_Print_Titles_3" localSheetId="18">'[167]COSTOS OFICINA'!#REF!</definedName>
    <definedName name="Excel_BuiltIn_Print_Titles_3" localSheetId="12">'[167]COSTOS OFICINA'!#REF!</definedName>
    <definedName name="Excel_BuiltIn_Print_Titles_3">'[166]COSTOS OFICINA'!#REF!</definedName>
    <definedName name="Excel_BuiltIn_Print_Titles_4" localSheetId="10">'[166]COSTOS CAMPAMENTO'!#REF!</definedName>
    <definedName name="Excel_BuiltIn_Print_Titles_4" localSheetId="20">'[166]COSTOS CAMPAMENTO'!#REF!</definedName>
    <definedName name="Excel_BuiltIn_Print_Titles_4" localSheetId="21">'[166]COSTOS CAMPAMENTO'!#REF!</definedName>
    <definedName name="Excel_BuiltIn_Print_Titles_4" localSheetId="17">'[167]COSTOS CAMPAMENTO'!#REF!</definedName>
    <definedName name="Excel_BuiltIn_Print_Titles_4" localSheetId="18">'[167]COSTOS CAMPAMENTO'!#REF!</definedName>
    <definedName name="Excel_BuiltIn_Print_Titles_4" localSheetId="12">'[167]COSTOS CAMPAMENTO'!#REF!</definedName>
    <definedName name="Excel_BuiltIn_Print_Titles_4">'[166]COSTOS CAMPAMENTO'!#REF!</definedName>
    <definedName name="Excel_BuiltIn_Print_Titles_5" localSheetId="39">'[129]VEA 374'!#REF!</definedName>
    <definedName name="Excel_BuiltIn_Print_Titles_5">'[129]VEA 374'!#REF!</definedName>
    <definedName name="Excel_BuiltIn_Print_Titles_5_XX" localSheetId="39">'[129]VEA 374'!#REF!</definedName>
    <definedName name="Excel_BuiltIn_Print_Titles_5_XX">'[129]VEA 374'!#REF!</definedName>
    <definedName name="Excel_BuiltIn_Print_Titles_6" localSheetId="39">#REF!</definedName>
    <definedName name="Excel_BuiltIn_Print_Titles_6" localSheetId="20">#REF!</definedName>
    <definedName name="Excel_BuiltIn_Print_Titles_6" localSheetId="21">#REF!</definedName>
    <definedName name="Excel_BuiltIn_Print_Titles_6" localSheetId="9">#REF!</definedName>
    <definedName name="Excel_BuiltIn_Print_Titles_6" localSheetId="19">#REF!</definedName>
    <definedName name="Excel_BuiltIn_Print_Titles_6">#REF!</definedName>
    <definedName name="Excel_BuiltIn_Print_Titles_7" localSheetId="39">[129]HFB024!#REF!</definedName>
    <definedName name="Excel_BuiltIn_Print_Titles_7" localSheetId="20">[129]HFB024!#REF!</definedName>
    <definedName name="Excel_BuiltIn_Print_Titles_7" localSheetId="21">[129]HFB024!#REF!</definedName>
    <definedName name="Excel_BuiltIn_Print_Titles_7" localSheetId="9">[129]HFB024!#REF!</definedName>
    <definedName name="Excel_BuiltIn_Print_Titles_7" localSheetId="19">[129]HFB024!#REF!</definedName>
    <definedName name="Excel_BuiltIn_Print_Titles_7">[129]HFB024!#REF!</definedName>
    <definedName name="Excel_BuiltIn_Print_Titles_8" localSheetId="39">#REF!</definedName>
    <definedName name="Excel_BuiltIn_Print_Titles_8" localSheetId="20">#REF!</definedName>
    <definedName name="Excel_BuiltIn_Print_Titles_8" localSheetId="21">#REF!</definedName>
    <definedName name="Excel_BuiltIn_Print_Titles_8" localSheetId="9">#REF!</definedName>
    <definedName name="Excel_BuiltIn_Print_Titles_8" localSheetId="19">#REF!</definedName>
    <definedName name="Excel_BuiltIn_Print_Titles_8">#REF!</definedName>
    <definedName name="Excel_BuiltIn_Print_Titles_9" localSheetId="39">[129]PAJ825!#REF!</definedName>
    <definedName name="Excel_BuiltIn_Print_Titles_9" localSheetId="20">[129]PAJ825!#REF!</definedName>
    <definedName name="Excel_BuiltIn_Print_Titles_9" localSheetId="21">[129]PAJ825!#REF!</definedName>
    <definedName name="Excel_BuiltIn_Print_Titles_9" localSheetId="9">[129]PAJ825!#REF!</definedName>
    <definedName name="Excel_BuiltIn_Print_Titles_9" localSheetId="19">[129]PAJ825!#REF!</definedName>
    <definedName name="Excel_BuiltIn_Print_Titles_9">[129]PAJ825!#REF!</definedName>
    <definedName name="Exchange_Rate">#REF!</definedName>
    <definedName name="exchangerate">[168]Parameters!#REF!</definedName>
    <definedName name="EXCROC">'[169]Análisis de precios'!$H$52</definedName>
    <definedName name="Executivepb" localSheetId="20" hidden="1">#REF!</definedName>
    <definedName name="Executivepb" localSheetId="21" hidden="1">#REF!</definedName>
    <definedName name="Executivepb" localSheetId="19" hidden="1">#REF!</definedName>
    <definedName name="Executivepb" localSheetId="17" hidden="1">#REF!</definedName>
    <definedName name="Executivepb" localSheetId="18" hidden="1">#REF!</definedName>
    <definedName name="Executivepb" localSheetId="12" hidden="1">#REF!</definedName>
    <definedName name="Executivepb" hidden="1">#REF!</definedName>
    <definedName name="ExistAge">#REF!</definedName>
    <definedName name="ExistFleet">#REF!</definedName>
    <definedName name="expl1">[17]Gastos!#REF!</definedName>
    <definedName name="ExRateAus">[170]ProjectParameters!$G$18</definedName>
    <definedName name="ExRateCountry">[170]ProjectParameters!$B$18:$B$22</definedName>
    <definedName name="ExRates">[170]ProjectParameters!$G$18:$G$22</definedName>
    <definedName name="Extra_Pay">#REF!</definedName>
    <definedName name="Extracción_IM" localSheetId="39">#REF!</definedName>
    <definedName name="Extracción_IM" localSheetId="20">#REF!</definedName>
    <definedName name="Extracción_IM" localSheetId="21">#REF!</definedName>
    <definedName name="Extracción_IM" localSheetId="17">#REF!</definedName>
    <definedName name="Extracción_IM" localSheetId="18">#REF!</definedName>
    <definedName name="Extracción_IM" localSheetId="12">#REF!</definedName>
    <definedName name="Extracción_IM">#REF!</definedName>
    <definedName name="F.D.CV1_Moisture">#REF!</definedName>
    <definedName name="F.D.CV2_Al">#REF!</definedName>
    <definedName name="F.D.CV2_Co">#REF!</definedName>
    <definedName name="F.D.CV2_DryTonnes">#REF!</definedName>
    <definedName name="F.D.CV2_dtph">#REF!</definedName>
    <definedName name="F.D.CV2_Fe">#REF!</definedName>
    <definedName name="F.D.CV2_Mg">#REF!</definedName>
    <definedName name="F.D.CV2_Ni">#REF!</definedName>
    <definedName name="F.D.CV2_Si">#REF!</definedName>
    <definedName name="F.D.Mill_Availability">#REF!</definedName>
    <definedName name="F.D.Mill_Downtime">#REF!</definedName>
    <definedName name="F.D.Mill_DryTonnes">#REF!</definedName>
    <definedName name="F.D.Mill_DryTph">#REF!</definedName>
    <definedName name="F.D.Mill_PowerDraw">#REF!</definedName>
    <definedName name="F.D.Mill_PowerDrawPerTonne">#REF!</definedName>
    <definedName name="F.D.Mill_Uptime">#REF!</definedName>
    <definedName name="F.D.Mill_Utilization">#REF!</definedName>
    <definedName name="F.D.Mill_WetTonnes">#REF!</definedName>
    <definedName name="F.D.Mill_WetTph">#REF!</definedName>
    <definedName name="F.D.MillFeed_Al">#REF!</definedName>
    <definedName name="F.D.MillFeed_Co">#REF!</definedName>
    <definedName name="F.D.MillFeed_Fe">#REF!</definedName>
    <definedName name="F.D.MillFeed_Mg">#REF!</definedName>
    <definedName name="F.D.MillFeed_Ni">#REF!</definedName>
    <definedName name="F.D.MillFeed_Si">#REF!</definedName>
    <definedName name="F.D.MillH2O_Head">#REF!</definedName>
    <definedName name="F.D.MillH2O_Screen">#REF!</definedName>
    <definedName name="F.D.MillH2O_Total">#REF!</definedName>
    <definedName name="F.D.OreToStorage_Al">#REF!</definedName>
    <definedName name="F.D.OreToStorage_Co">#REF!</definedName>
    <definedName name="F.D.OreToStorage_DryTonnes">#REF!</definedName>
    <definedName name="F.D.OreToStorage_DryTph">#REF!</definedName>
    <definedName name="F.D.OreToStorage_Fe">#REF!</definedName>
    <definedName name="F.D.OreToStorage_Mg">#REF!</definedName>
    <definedName name="F.D.OreToStorage_Ni">#REF!</definedName>
    <definedName name="F.D.OreToStorage_PulpDensity">#REF!</definedName>
    <definedName name="F.D.OreToStorage_PulpYieldStress">#REF!</definedName>
    <definedName name="F.D.OreToStorage_Si">#REF!</definedName>
    <definedName name="F.D.OreToStorage_Tank1Level">#REF!</definedName>
    <definedName name="F.D.OreToStorage_Tank2Level">#REF!</definedName>
    <definedName name="F.D.OreToStorage_Tank3Level">#REF!</definedName>
    <definedName name="F.D.OreToStorage_Tank4Level">#REF!</definedName>
    <definedName name="F.D.OreToStorage_Volume">#REF!</definedName>
    <definedName name="F.D.OreToStorage_VolumePerHr">#REF!</definedName>
    <definedName name="F.M.CV1_Moisture">#REF!</definedName>
    <definedName name="F.M.CV2_Al">#REF!</definedName>
    <definedName name="F.M.CV2_Co">#REF!</definedName>
    <definedName name="F.M.CV2_DryTonnes">#REF!</definedName>
    <definedName name="F.M.CV2_dtph">#REF!</definedName>
    <definedName name="F.M.CV2_Fe">#REF!</definedName>
    <definedName name="F.M.CV2_Mg">#REF!</definedName>
    <definedName name="F.M.CV2_Ni">#REF!</definedName>
    <definedName name="F.M.CV2_Si">#REF!</definedName>
    <definedName name="F.M.Mill_Availability">#REF!</definedName>
    <definedName name="F.M.Mill_Downtime">#REF!</definedName>
    <definedName name="F.M.Mill_DryTonnes">#REF!</definedName>
    <definedName name="F.M.Mill_DryTph">#REF!</definedName>
    <definedName name="F.M.Mill_PowerDraw">#REF!</definedName>
    <definedName name="F.M.Mill_PowerDrawPerTonne">#REF!</definedName>
    <definedName name="F.M.Mill_Uptime">#REF!</definedName>
    <definedName name="F.M.Mill_Utilization">#REF!</definedName>
    <definedName name="F.M.Mill_WetTonnes">#REF!</definedName>
    <definedName name="F.M.Mill_WetTph">#REF!</definedName>
    <definedName name="F.M.MillFeed_Al">#REF!</definedName>
    <definedName name="F.M.MillFeed_Co">#REF!</definedName>
    <definedName name="F.M.MillFeed_Fe">#REF!</definedName>
    <definedName name="F.M.MillFeed_Mg">#REF!</definedName>
    <definedName name="F.M.MillFeed_Ni">#REF!</definedName>
    <definedName name="F.M.MillFeed_Si">#REF!</definedName>
    <definedName name="F.M.MillH2O_Head">#REF!</definedName>
    <definedName name="F.M.MillH2O_Screen">#REF!</definedName>
    <definedName name="F.M.MillH2O_Total">#REF!</definedName>
    <definedName name="F.M.OreToStorage_Al">#REF!</definedName>
    <definedName name="F.M.OreToStorage_Co">#REF!</definedName>
    <definedName name="F.M.OreToStorage_DryTonnes">#REF!</definedName>
    <definedName name="F.M.OreToStorage_DryTph">#REF!</definedName>
    <definedName name="F.M.OreToStorage_Fe">#REF!</definedName>
    <definedName name="F.M.OreToStorage_Mg">#REF!</definedName>
    <definedName name="F.M.OreToStorage_Ni">#REF!</definedName>
    <definedName name="F.M.OreToStorage_PulpDensity">#REF!</definedName>
    <definedName name="F.M.OreToStorage_PulpYieldStress">#REF!</definedName>
    <definedName name="F.M.OreToStorage_Si">#REF!</definedName>
    <definedName name="F.M.OreToStorage_Volume">#REF!</definedName>
    <definedName name="F.M.OreToStorage_VolumePerHr">#REF!</definedName>
    <definedName name="F.Y.CV1_Moisture">#REF!</definedName>
    <definedName name="F.Y.CV2_Al">#REF!</definedName>
    <definedName name="F.Y.CV2_Co">#REF!</definedName>
    <definedName name="F.Y.CV2_DryTonnes">#REF!</definedName>
    <definedName name="F.Y.CV2_dtph">#REF!</definedName>
    <definedName name="F.Y.CV2_Fe">#REF!</definedName>
    <definedName name="F.Y.CV2_Mg">#REF!</definedName>
    <definedName name="F.Y.CV2_Ni">#REF!</definedName>
    <definedName name="F.Y.CV2_Si">#REF!</definedName>
    <definedName name="F.Y.Mill_Availability">#REF!</definedName>
    <definedName name="F.Y.Mill_Downtime">#REF!</definedName>
    <definedName name="F.Y.Mill_DryTonnes">#REF!</definedName>
    <definedName name="F.Y.Mill_DryTph">#REF!</definedName>
    <definedName name="F.Y.Mill_PowerDraw">#REF!</definedName>
    <definedName name="F.Y.Mill_PowerDrawPerTonne">#REF!</definedName>
    <definedName name="F.Y.Mill_Uptime">#REF!</definedName>
    <definedName name="F.Y.Mill_Utilization">#REF!</definedName>
    <definedName name="F.Y.Mill_WetTonnes">#REF!</definedName>
    <definedName name="F.Y.Mill_WetTph">#REF!</definedName>
    <definedName name="F.Y.MillFeed_Al">#REF!</definedName>
    <definedName name="F.Y.MillFeed_Co">#REF!</definedName>
    <definedName name="F.Y.MillFeed_Fe">#REF!</definedName>
    <definedName name="F.Y.MillFeed_Mg">#REF!</definedName>
    <definedName name="F.Y.MillFeed_Ni">#REF!</definedName>
    <definedName name="F.Y.MillFeed_Si">#REF!</definedName>
    <definedName name="F.Y.MillH2O_Head">#REF!</definedName>
    <definedName name="F.Y.MillH2O_Screen">#REF!</definedName>
    <definedName name="F.Y.MillH2O_Total">#REF!</definedName>
    <definedName name="F.Y.OreToStorage_Al">#REF!</definedName>
    <definedName name="F.Y.OreToStorage_Co">#REF!</definedName>
    <definedName name="F.Y.OreToStorage_DryTonnes">#REF!</definedName>
    <definedName name="F.Y.OreToStorage_DryTph">#REF!</definedName>
    <definedName name="F.Y.OreToStorage_Fe">#REF!</definedName>
    <definedName name="F.Y.OreToStorage_Mg">#REF!</definedName>
    <definedName name="F.Y.OreToStorage_Ni">#REF!</definedName>
    <definedName name="F.Y.OreToStorage_PulpDensity">#REF!</definedName>
    <definedName name="F.Y.OreToStorage_PulpYieldStress">#REF!</definedName>
    <definedName name="F.Y.OreToStorage_Si">#REF!</definedName>
    <definedName name="F.Y.OreToStorage_Volume">#REF!</definedName>
    <definedName name="F.Y.OreToStorage_VolumePerHr">#REF!</definedName>
    <definedName name="f_INSTAC_AIRE_ACONDICIONADO">#REF!</definedName>
    <definedName name="f_INSTAC_ELECTRICAS_TELEF">#REF!</definedName>
    <definedName name="f_INSTALA_GAS">#REF!</definedName>
    <definedName name="fa">#REF!</definedName>
    <definedName name="FABI" localSheetId="22">Scheduled_Payment+Extra_Payment</definedName>
    <definedName name="FABI" localSheetId="21">Scheduled_Payment+Extra_Payment</definedName>
    <definedName name="FABI" localSheetId="17">Scheduled_Payment+Extra_Payment</definedName>
    <definedName name="FABI" localSheetId="28">Scheduled_Payment+Extra_Payment</definedName>
    <definedName name="FABI" localSheetId="29">Scheduled_Payment+Extra_Payment</definedName>
    <definedName name="FABI" localSheetId="12">Scheduled_Payment+Extra_Payment</definedName>
    <definedName name="FABI">Scheduled_Payment+Extra_Payment</definedName>
    <definedName name="FABIAN">#N/A</definedName>
    <definedName name="FAC">#REF!</definedName>
    <definedName name="FacConv">[171]CálculoTarifasMR!$M$1</definedName>
    <definedName name="FACT" localSheetId="39">#REF!</definedName>
    <definedName name="FACT" localSheetId="20">#REF!</definedName>
    <definedName name="FACT" localSheetId="21">#REF!</definedName>
    <definedName name="FACT">#REF!</definedName>
    <definedName name="FACTOR">#REF!</definedName>
    <definedName name="FactorCostoPotencia">[121]Modelo!#REF!</definedName>
    <definedName name="FactorMultFinal" localSheetId="9">[73]FM!$E$57</definedName>
    <definedName name="FactorMultFinal">#REF!</definedName>
    <definedName name="FactorMultiplicaCalculado" localSheetId="9">[73]FM!$D$45</definedName>
    <definedName name="FactorMultiplicaCalculado">#REF!</definedName>
    <definedName name="FACTORPRESTACIONAL" localSheetId="39">#REF!</definedName>
    <definedName name="FACTORPRESTACIONAL" localSheetId="9">#REF!</definedName>
    <definedName name="FACTORPRESTACIONAL">#REF!</definedName>
    <definedName name="Factpb" localSheetId="13" hidden="1">#REF!</definedName>
    <definedName name="Factpb" hidden="1">#REF!</definedName>
    <definedName name="Factpb2" localSheetId="13" hidden="1">#REF!</definedName>
    <definedName name="Factpb2" hidden="1">#REF!</definedName>
    <definedName name="FALTANTES1">'[172]CANT OBRA'!$A:$IV</definedName>
    <definedName name="fb">#REF!</definedName>
    <definedName name="fcc">#REF!</definedName>
    <definedName name="fcv">#REF!</definedName>
    <definedName name="fd">'[98]A. P. U.'!#REF!</definedName>
    <definedName name="fda" localSheetId="39">{"TAB1",#N/A,TRUE,"GENERAL";"TAB2",#N/A,TRUE,"GENERAL";"TAB3",#N/A,TRUE,"GENERAL";"TAB4",#N/A,TRUE,"GENERAL";"TAB5",#N/A,TRUE,"GENERAL"}</definedName>
    <definedName name="fda" localSheetId="20">{"TAB1",#N/A,TRUE,"GENERAL";"TAB2",#N/A,TRUE,"GENERAL";"TAB3",#N/A,TRUE,"GENERAL";"TAB4",#N/A,TRUE,"GENERAL";"TAB5",#N/A,TRUE,"GENERAL"}</definedName>
    <definedName name="fda" localSheetId="21">{"TAB1",#N/A,TRUE,"GENERAL";"TAB2",#N/A,TRUE,"GENERAL";"TAB3",#N/A,TRUE,"GENERAL";"TAB4",#N/A,TRUE,"GENERAL";"TAB5",#N/A,TRUE,"GENERAL"}</definedName>
    <definedName name="fda" localSheetId="9">{"TAB1",#N/A,TRUE,"GENERAL";"TAB2",#N/A,TRUE,"GENERAL";"TAB3",#N/A,TRUE,"GENERAL";"TAB4",#N/A,TRUE,"GENERAL";"TAB5",#N/A,TRUE,"GENERAL"}</definedName>
    <definedName name="fda" localSheetId="19">{"TAB1",#N/A,TRUE,"GENERAL";"TAB2",#N/A,TRUE,"GENERAL";"TAB3",#N/A,TRUE,"GENERAL";"TAB4",#N/A,TRUE,"GENERAL";"TAB5",#N/A,TRUE,"GENERAL"}</definedName>
    <definedName name="fda" localSheetId="17">#REF!</definedName>
    <definedName name="fda" localSheetId="18">#REF!</definedName>
    <definedName name="fda" localSheetId="28">{"TAB1",#N/A,TRUE,"GENERAL";"TAB2",#N/A,TRUE,"GENERAL";"TAB3",#N/A,TRUE,"GENERAL";"TAB4",#N/A,TRUE,"GENERAL";"TAB5",#N/A,TRUE,"GENERAL"}</definedName>
    <definedName name="fda" localSheetId="29">{"TAB1",#N/A,TRUE,"GENERAL";"TAB2",#N/A,TRUE,"GENERAL";"TAB3",#N/A,TRUE,"GENERAL";"TAB4",#N/A,TRUE,"GENERAL";"TAB5",#N/A,TRUE,"GENERAL"}</definedName>
    <definedName name="fda" localSheetId="12">#REF!</definedName>
    <definedName name="fda">{"TAB1",#N/A,TRUE,"GENERAL";"TAB2",#N/A,TRUE,"GENERAL";"TAB3",#N/A,TRUE,"GENERAL";"TAB4",#N/A,TRUE,"GENERAL";"TAB5",#N/A,TRUE,"GENERAL"}</definedName>
    <definedName name="fdbjp" localSheetId="39">{"TAB1",#N/A,TRUE,"GENERAL";"TAB2",#N/A,TRUE,"GENERAL";"TAB3",#N/A,TRUE,"GENERAL";"TAB4",#N/A,TRUE,"GENERAL";"TAB5",#N/A,TRUE,"GENERAL"}</definedName>
    <definedName name="fdbjp" localSheetId="20">{"TAB1",#N/A,TRUE,"GENERAL";"TAB2",#N/A,TRUE,"GENERAL";"TAB3",#N/A,TRUE,"GENERAL";"TAB4",#N/A,TRUE,"GENERAL";"TAB5",#N/A,TRUE,"GENERAL"}</definedName>
    <definedName name="fdbjp" localSheetId="21">{"TAB1",#N/A,TRUE,"GENERAL";"TAB2",#N/A,TRUE,"GENERAL";"TAB3",#N/A,TRUE,"GENERAL";"TAB4",#N/A,TRUE,"GENERAL";"TAB5",#N/A,TRUE,"GENERAL"}</definedName>
    <definedName name="fdbjp" localSheetId="9">{"TAB1",#N/A,TRUE,"GENERAL";"TAB2",#N/A,TRUE,"GENERAL";"TAB3",#N/A,TRUE,"GENERAL";"TAB4",#N/A,TRUE,"GENERAL";"TAB5",#N/A,TRUE,"GENERAL"}</definedName>
    <definedName name="fdbjp" localSheetId="19">{"TAB1",#N/A,TRUE,"GENERAL";"TAB2",#N/A,TRUE,"GENERAL";"TAB3",#N/A,TRUE,"GENERAL";"TAB4",#N/A,TRUE,"GENERAL";"TAB5",#N/A,TRUE,"GENERAL"}</definedName>
    <definedName name="fdbjp" localSheetId="28">{"TAB1",#N/A,TRUE,"GENERAL";"TAB2",#N/A,TRUE,"GENERAL";"TAB3",#N/A,TRUE,"GENERAL";"TAB4",#N/A,TRUE,"GENERAL";"TAB5",#N/A,TRUE,"GENERAL"}</definedName>
    <definedName name="fdbjp" localSheetId="29">{"TAB1",#N/A,TRUE,"GENERAL";"TAB2",#N/A,TRUE,"GENERAL";"TAB3",#N/A,TRUE,"GENERAL";"TAB4",#N/A,TRUE,"GENERAL";"TAB5",#N/A,TRUE,"GENERAL"}</definedName>
    <definedName name="fdbjp">{"TAB1",#N/A,TRUE,"GENERAL";"TAB2",#N/A,TRUE,"GENERAL";"TAB3",#N/A,TRUE,"GENERAL";"TAB4",#N/A,TRUE,"GENERAL";"TAB5",#N/A,TRUE,"GENERAL"}</definedName>
    <definedName name="fdf" localSheetId="39">{"TAB1",#N/A,TRUE,"GENERAL";"TAB2",#N/A,TRUE,"GENERAL";"TAB3",#N/A,TRUE,"GENERAL";"TAB4",#N/A,TRUE,"GENERAL";"TAB5",#N/A,TRUE,"GENERAL"}</definedName>
    <definedName name="fdf" localSheetId="20">{"TAB1",#N/A,TRUE,"GENERAL";"TAB2",#N/A,TRUE,"GENERAL";"TAB3",#N/A,TRUE,"GENERAL";"TAB4",#N/A,TRUE,"GENERAL";"TAB5",#N/A,TRUE,"GENERAL"}</definedName>
    <definedName name="fdf" localSheetId="21">{"TAB1",#N/A,TRUE,"GENERAL";"TAB2",#N/A,TRUE,"GENERAL";"TAB3",#N/A,TRUE,"GENERAL";"TAB4",#N/A,TRUE,"GENERAL";"TAB5",#N/A,TRUE,"GENERAL"}</definedName>
    <definedName name="fdf" localSheetId="9">{"TAB1",#N/A,TRUE,"GENERAL";"TAB2",#N/A,TRUE,"GENERAL";"TAB3",#N/A,TRUE,"GENERAL";"TAB4",#N/A,TRUE,"GENERAL";"TAB5",#N/A,TRUE,"GENERAL"}</definedName>
    <definedName name="fdf" localSheetId="19">{"TAB1",#N/A,TRUE,"GENERAL";"TAB2",#N/A,TRUE,"GENERAL";"TAB3",#N/A,TRUE,"GENERAL";"TAB4",#N/A,TRUE,"GENERAL";"TAB5",#N/A,TRUE,"GENERAL"}</definedName>
    <definedName name="fdf" localSheetId="17">#REF!</definedName>
    <definedName name="fdf" localSheetId="18">#REF!</definedName>
    <definedName name="fdf" localSheetId="28">{"TAB1",#N/A,TRUE,"GENERAL";"TAB2",#N/A,TRUE,"GENERAL";"TAB3",#N/A,TRUE,"GENERAL";"TAB4",#N/A,TRUE,"GENERAL";"TAB5",#N/A,TRUE,"GENERAL"}</definedName>
    <definedName name="fdf" localSheetId="29">{"TAB1",#N/A,TRUE,"GENERAL";"TAB2",#N/A,TRUE,"GENERAL";"TAB3",#N/A,TRUE,"GENERAL";"TAB4",#N/A,TRUE,"GENERAL";"TAB5",#N/A,TRUE,"GENERAL"}</definedName>
    <definedName name="fdf" localSheetId="12">#REF!</definedName>
    <definedName name="fdf">{"TAB1",#N/A,TRUE,"GENERAL";"TAB2",#N/A,TRUE,"GENERAL";"TAB3",#N/A,TRUE,"GENERAL";"TAB4",#N/A,TRUE,"GENERAL";"TAB5",#N/A,TRUE,"GENERAL"}</definedName>
    <definedName name="fdg" localSheetId="39">{"via1",#N/A,TRUE,"general";"via2",#N/A,TRUE,"general";"via3",#N/A,TRUE,"general"}</definedName>
    <definedName name="fdg" localSheetId="20">{"via1",#N/A,TRUE,"general";"via2",#N/A,TRUE,"general";"via3",#N/A,TRUE,"general"}</definedName>
    <definedName name="fdg" localSheetId="21">{"via1",#N/A,TRUE,"general";"via2",#N/A,TRUE,"general";"via3",#N/A,TRUE,"general"}</definedName>
    <definedName name="fdg" localSheetId="9">{"via1",#N/A,TRUE,"general";"via2",#N/A,TRUE,"general";"via3",#N/A,TRUE,"general"}</definedName>
    <definedName name="fdg" localSheetId="19">{"via1",#N/A,TRUE,"general";"via2",#N/A,TRUE,"general";"via3",#N/A,TRUE,"general"}</definedName>
    <definedName name="fdg" localSheetId="28">{"via1",#N/A,TRUE,"general";"via2",#N/A,TRUE,"general";"via3",#N/A,TRUE,"general"}</definedName>
    <definedName name="fdg" localSheetId="29">{"via1",#N/A,TRUE,"general";"via2",#N/A,TRUE,"general";"via3",#N/A,TRUE,"general"}</definedName>
    <definedName name="fdg">{"via1",#N/A,TRUE,"general";"via2",#N/A,TRUE,"general";"via3",#N/A,TRUE,"general"}</definedName>
    <definedName name="FDGD" localSheetId="39">{"TAB1",#N/A,TRUE,"GENERAL";"TAB2",#N/A,TRUE,"GENERAL";"TAB3",#N/A,TRUE,"GENERAL";"TAB4",#N/A,TRUE,"GENERAL";"TAB5",#N/A,TRUE,"GENERAL"}</definedName>
    <definedName name="FDGD" localSheetId="20">{"TAB1",#N/A,TRUE,"GENERAL";"TAB2",#N/A,TRUE,"GENERAL";"TAB3",#N/A,TRUE,"GENERAL";"TAB4",#N/A,TRUE,"GENERAL";"TAB5",#N/A,TRUE,"GENERAL"}</definedName>
    <definedName name="FDGD" localSheetId="21">{"TAB1",#N/A,TRUE,"GENERAL";"TAB2",#N/A,TRUE,"GENERAL";"TAB3",#N/A,TRUE,"GENERAL";"TAB4",#N/A,TRUE,"GENERAL";"TAB5",#N/A,TRUE,"GENERAL"}</definedName>
    <definedName name="FDGD" localSheetId="9">{"TAB1",#N/A,TRUE,"GENERAL";"TAB2",#N/A,TRUE,"GENERAL";"TAB3",#N/A,TRUE,"GENERAL";"TAB4",#N/A,TRUE,"GENERAL";"TAB5",#N/A,TRUE,"GENERAL"}</definedName>
    <definedName name="FDGD" localSheetId="19">{"TAB1",#N/A,TRUE,"GENERAL";"TAB2",#N/A,TRUE,"GENERAL";"TAB3",#N/A,TRUE,"GENERAL";"TAB4",#N/A,TRUE,"GENERAL";"TAB5",#N/A,TRUE,"GENERAL"}</definedName>
    <definedName name="FDGD" localSheetId="28">{"TAB1",#N/A,TRUE,"GENERAL";"TAB2",#N/A,TRUE,"GENERAL";"TAB3",#N/A,TRUE,"GENERAL";"TAB4",#N/A,TRUE,"GENERAL";"TAB5",#N/A,TRUE,"GENERAL"}</definedName>
    <definedName name="FDGD" localSheetId="29">{"TAB1",#N/A,TRUE,"GENERAL";"TAB2",#N/A,TRUE,"GENERAL";"TAB3",#N/A,TRUE,"GENERAL";"TAB4",#N/A,TRUE,"GENERAL";"TAB5",#N/A,TRUE,"GENERAL"}</definedName>
    <definedName name="FDGD">{"TAB1",#N/A,TRUE,"GENERAL";"TAB2",#N/A,TRUE,"GENERAL";"TAB3",#N/A,TRUE,"GENERAL";"TAB4",#N/A,TRUE,"GENERAL";"TAB5",#N/A,TRUE,"GENERAL"}</definedName>
    <definedName name="FDGFDBBP" localSheetId="39">{"TAB1",#N/A,TRUE,"GENERAL";"TAB2",#N/A,TRUE,"GENERAL";"TAB3",#N/A,TRUE,"GENERAL";"TAB4",#N/A,TRUE,"GENERAL";"TAB5",#N/A,TRUE,"GENERAL"}</definedName>
    <definedName name="FDGFDBBP" localSheetId="20">{"TAB1",#N/A,TRUE,"GENERAL";"TAB2",#N/A,TRUE,"GENERAL";"TAB3",#N/A,TRUE,"GENERAL";"TAB4",#N/A,TRUE,"GENERAL";"TAB5",#N/A,TRUE,"GENERAL"}</definedName>
    <definedName name="FDGFDBBP" localSheetId="21">{"TAB1",#N/A,TRUE,"GENERAL";"TAB2",#N/A,TRUE,"GENERAL";"TAB3",#N/A,TRUE,"GENERAL";"TAB4",#N/A,TRUE,"GENERAL";"TAB5",#N/A,TRUE,"GENERAL"}</definedName>
    <definedName name="FDGFDBBP" localSheetId="9">{"TAB1",#N/A,TRUE,"GENERAL";"TAB2",#N/A,TRUE,"GENERAL";"TAB3",#N/A,TRUE,"GENERAL";"TAB4",#N/A,TRUE,"GENERAL";"TAB5",#N/A,TRUE,"GENERAL"}</definedName>
    <definedName name="FDGFDBBP" localSheetId="19">{"TAB1",#N/A,TRUE,"GENERAL";"TAB2",#N/A,TRUE,"GENERAL";"TAB3",#N/A,TRUE,"GENERAL";"TAB4",#N/A,TRUE,"GENERAL";"TAB5",#N/A,TRUE,"GENERAL"}</definedName>
    <definedName name="FDGFDBBP" localSheetId="28">{"TAB1",#N/A,TRUE,"GENERAL";"TAB2",#N/A,TRUE,"GENERAL";"TAB3",#N/A,TRUE,"GENERAL";"TAB4",#N/A,TRUE,"GENERAL";"TAB5",#N/A,TRUE,"GENERAL"}</definedName>
    <definedName name="FDGFDBBP" localSheetId="29">{"TAB1",#N/A,TRUE,"GENERAL";"TAB2",#N/A,TRUE,"GENERAL";"TAB3",#N/A,TRUE,"GENERAL";"TAB4",#N/A,TRUE,"GENERAL";"TAB5",#N/A,TRUE,"GENERAL"}</definedName>
    <definedName name="FDGFDBBP">{"TAB1",#N/A,TRUE,"GENERAL";"TAB2",#N/A,TRUE,"GENERAL";"TAB3",#N/A,TRUE,"GENERAL";"TAB4",#N/A,TRUE,"GENERAL";"TAB5",#N/A,TRUE,"GENERAL"}</definedName>
    <definedName name="fdh" localSheetId="39">{"TAB1",#N/A,TRUE,"GENERAL";"TAB2",#N/A,TRUE,"GENERAL";"TAB3",#N/A,TRUE,"GENERAL";"TAB4",#N/A,TRUE,"GENERAL";"TAB5",#N/A,TRUE,"GENERAL"}</definedName>
    <definedName name="fdh" localSheetId="20">{"TAB1",#N/A,TRUE,"GENERAL";"TAB2",#N/A,TRUE,"GENERAL";"TAB3",#N/A,TRUE,"GENERAL";"TAB4",#N/A,TRUE,"GENERAL";"TAB5",#N/A,TRUE,"GENERAL"}</definedName>
    <definedName name="fdh" localSheetId="21">{"TAB1",#N/A,TRUE,"GENERAL";"TAB2",#N/A,TRUE,"GENERAL";"TAB3",#N/A,TRUE,"GENERAL";"TAB4",#N/A,TRUE,"GENERAL";"TAB5",#N/A,TRUE,"GENERAL"}</definedName>
    <definedName name="fdh" localSheetId="9">{"TAB1",#N/A,TRUE,"GENERAL";"TAB2",#N/A,TRUE,"GENERAL";"TAB3",#N/A,TRUE,"GENERAL";"TAB4",#N/A,TRUE,"GENERAL";"TAB5",#N/A,TRUE,"GENERAL"}</definedName>
    <definedName name="fdh" localSheetId="19">{"TAB1",#N/A,TRUE,"GENERAL";"TAB2",#N/A,TRUE,"GENERAL";"TAB3",#N/A,TRUE,"GENERAL";"TAB4",#N/A,TRUE,"GENERAL";"TAB5",#N/A,TRUE,"GENERAL"}</definedName>
    <definedName name="fdh" localSheetId="28">{"TAB1",#N/A,TRUE,"GENERAL";"TAB2",#N/A,TRUE,"GENERAL";"TAB3",#N/A,TRUE,"GENERAL";"TAB4",#N/A,TRUE,"GENERAL";"TAB5",#N/A,TRUE,"GENERAL"}</definedName>
    <definedName name="fdh" localSheetId="29">{"TAB1",#N/A,TRUE,"GENERAL";"TAB2",#N/A,TRUE,"GENERAL";"TAB3",#N/A,TRUE,"GENERAL";"TAB4",#N/A,TRUE,"GENERAL";"TAB5",#N/A,TRUE,"GENERAL"}</definedName>
    <definedName name="fdh">{"TAB1",#N/A,TRUE,"GENERAL";"TAB2",#N/A,TRUE,"GENERAL";"TAB3",#N/A,TRUE,"GENERAL";"TAB4",#N/A,TRUE,"GENERAL";"TAB5",#N/A,TRUE,"GENERAL"}</definedName>
    <definedName name="fdsdfasd">#REF!</definedName>
    <definedName name="fdsf" localSheetId="39">{"TAB1",#N/A,TRUE,"GENERAL";"TAB2",#N/A,TRUE,"GENERAL";"TAB3",#N/A,TRUE,"GENERAL";"TAB4",#N/A,TRUE,"GENERAL";"TAB5",#N/A,TRUE,"GENERAL"}</definedName>
    <definedName name="fdsf" localSheetId="20">{"TAB1",#N/A,TRUE,"GENERAL";"TAB2",#N/A,TRUE,"GENERAL";"TAB3",#N/A,TRUE,"GENERAL";"TAB4",#N/A,TRUE,"GENERAL";"TAB5",#N/A,TRUE,"GENERAL"}</definedName>
    <definedName name="fdsf" localSheetId="21">{"TAB1",#N/A,TRUE,"GENERAL";"TAB2",#N/A,TRUE,"GENERAL";"TAB3",#N/A,TRUE,"GENERAL";"TAB4",#N/A,TRUE,"GENERAL";"TAB5",#N/A,TRUE,"GENERAL"}</definedName>
    <definedName name="fdsf" localSheetId="9">{"TAB1",#N/A,TRUE,"GENERAL";"TAB2",#N/A,TRUE,"GENERAL";"TAB3",#N/A,TRUE,"GENERAL";"TAB4",#N/A,TRUE,"GENERAL";"TAB5",#N/A,TRUE,"GENERAL"}</definedName>
    <definedName name="fdsf" localSheetId="19">{"TAB1",#N/A,TRUE,"GENERAL";"TAB2",#N/A,TRUE,"GENERAL";"TAB3",#N/A,TRUE,"GENERAL";"TAB4",#N/A,TRUE,"GENERAL";"TAB5",#N/A,TRUE,"GENERAL"}</definedName>
    <definedName name="fdsf" localSheetId="28">{"TAB1",#N/A,TRUE,"GENERAL";"TAB2",#N/A,TRUE,"GENERAL";"TAB3",#N/A,TRUE,"GENERAL";"TAB4",#N/A,TRUE,"GENERAL";"TAB5",#N/A,TRUE,"GENERAL"}</definedName>
    <definedName name="fdsf" localSheetId="29">{"TAB1",#N/A,TRUE,"GENERAL";"TAB2",#N/A,TRUE,"GENERAL";"TAB3",#N/A,TRUE,"GENERAL";"TAB4",#N/A,TRUE,"GENERAL";"TAB5",#N/A,TRUE,"GENERAL"}</definedName>
    <definedName name="fdsf">{"TAB1",#N/A,TRUE,"GENERAL";"TAB2",#N/A,TRUE,"GENERAL";"TAB3",#N/A,TRUE,"GENERAL";"TAB4",#N/A,TRUE,"GENERAL";"TAB5",#N/A,TRUE,"GENERAL"}</definedName>
    <definedName name="fdsfds" localSheetId="39">{"TAB1",#N/A,TRUE,"GENERAL";"TAB2",#N/A,TRUE,"GENERAL";"TAB3",#N/A,TRUE,"GENERAL";"TAB4",#N/A,TRUE,"GENERAL";"TAB5",#N/A,TRUE,"GENERAL"}</definedName>
    <definedName name="fdsfds" localSheetId="20">{"TAB1",#N/A,TRUE,"GENERAL";"TAB2",#N/A,TRUE,"GENERAL";"TAB3",#N/A,TRUE,"GENERAL";"TAB4",#N/A,TRUE,"GENERAL";"TAB5",#N/A,TRUE,"GENERAL"}</definedName>
    <definedName name="fdsfds" localSheetId="21">{"TAB1",#N/A,TRUE,"GENERAL";"TAB2",#N/A,TRUE,"GENERAL";"TAB3",#N/A,TRUE,"GENERAL";"TAB4",#N/A,TRUE,"GENERAL";"TAB5",#N/A,TRUE,"GENERAL"}</definedName>
    <definedName name="fdsfds" localSheetId="9">{"TAB1",#N/A,TRUE,"GENERAL";"TAB2",#N/A,TRUE,"GENERAL";"TAB3",#N/A,TRUE,"GENERAL";"TAB4",#N/A,TRUE,"GENERAL";"TAB5",#N/A,TRUE,"GENERAL"}</definedName>
    <definedName name="fdsfds" localSheetId="19">{"TAB1",#N/A,TRUE,"GENERAL";"TAB2",#N/A,TRUE,"GENERAL";"TAB3",#N/A,TRUE,"GENERAL";"TAB4",#N/A,TRUE,"GENERAL";"TAB5",#N/A,TRUE,"GENERAL"}</definedName>
    <definedName name="fdsfds" localSheetId="28">{"TAB1",#N/A,TRUE,"GENERAL";"TAB2",#N/A,TRUE,"GENERAL";"TAB3",#N/A,TRUE,"GENERAL";"TAB4",#N/A,TRUE,"GENERAL";"TAB5",#N/A,TRUE,"GENERAL"}</definedName>
    <definedName name="fdsfds" localSheetId="29">{"TAB1",#N/A,TRUE,"GENERAL";"TAB2",#N/A,TRUE,"GENERAL";"TAB3",#N/A,TRUE,"GENERAL";"TAB4",#N/A,TRUE,"GENERAL";"TAB5",#N/A,TRUE,"GENERAL"}</definedName>
    <definedName name="fdsfds">{"TAB1",#N/A,TRUE,"GENERAL";"TAB2",#N/A,TRUE,"GENERAL";"TAB3",#N/A,TRUE,"GENERAL";"TAB4",#N/A,TRUE,"GENERAL";"TAB5",#N/A,TRUE,"GENERAL"}</definedName>
    <definedName name="fdsfdsf" localSheetId="39">{"via1",#N/A,TRUE,"general";"via2",#N/A,TRUE,"general";"via3",#N/A,TRUE,"general"}</definedName>
    <definedName name="fdsfdsf" localSheetId="20">{"via1",#N/A,TRUE,"general";"via2",#N/A,TRUE,"general";"via3",#N/A,TRUE,"general"}</definedName>
    <definedName name="fdsfdsf" localSheetId="21">{"via1",#N/A,TRUE,"general";"via2",#N/A,TRUE,"general";"via3",#N/A,TRUE,"general"}</definedName>
    <definedName name="fdsfdsf" localSheetId="9">{"via1",#N/A,TRUE,"general";"via2",#N/A,TRUE,"general";"via3",#N/A,TRUE,"general"}</definedName>
    <definedName name="fdsfdsf" localSheetId="19">{"via1",#N/A,TRUE,"general";"via2",#N/A,TRUE,"general";"via3",#N/A,TRUE,"general"}</definedName>
    <definedName name="fdsfdsf" localSheetId="28">{"via1",#N/A,TRUE,"general";"via2",#N/A,TRUE,"general";"via3",#N/A,TRUE,"general"}</definedName>
    <definedName name="fdsfdsf" localSheetId="29">{"via1",#N/A,TRUE,"general";"via2",#N/A,TRUE,"general";"via3",#N/A,TRUE,"general"}</definedName>
    <definedName name="fdsfdsf">{"via1",#N/A,TRUE,"general";"via2",#N/A,TRUE,"general";"via3",#N/A,TRUE,"general"}</definedName>
    <definedName name="fdsgfds" localSheetId="39">{"via1",#N/A,TRUE,"general";"via2",#N/A,TRUE,"general";"via3",#N/A,TRUE,"general"}</definedName>
    <definedName name="fdsgfds" localSheetId="20">{"via1",#N/A,TRUE,"general";"via2",#N/A,TRUE,"general";"via3",#N/A,TRUE,"general"}</definedName>
    <definedName name="fdsgfds" localSheetId="21">{"via1",#N/A,TRUE,"general";"via2",#N/A,TRUE,"general";"via3",#N/A,TRUE,"general"}</definedName>
    <definedName name="fdsgfds" localSheetId="9">{"via1",#N/A,TRUE,"general";"via2",#N/A,TRUE,"general";"via3",#N/A,TRUE,"general"}</definedName>
    <definedName name="fdsgfds" localSheetId="19">{"via1",#N/A,TRUE,"general";"via2",#N/A,TRUE,"general";"via3",#N/A,TRUE,"general"}</definedName>
    <definedName name="fdsgfds" localSheetId="28">{"via1",#N/A,TRUE,"general";"via2",#N/A,TRUE,"general";"via3",#N/A,TRUE,"general"}</definedName>
    <definedName name="fdsgfds" localSheetId="29">{"via1",#N/A,TRUE,"general";"via2",#N/A,TRUE,"general";"via3",#N/A,TRUE,"general"}</definedName>
    <definedName name="fdsgfds">{"via1",#N/A,TRUE,"general";"via2",#N/A,TRUE,"general";"via3",#N/A,TRUE,"general"}</definedName>
    <definedName name="fdsgsdfu" localSheetId="39">{"TAB1",#N/A,TRUE,"GENERAL";"TAB2",#N/A,TRUE,"GENERAL";"TAB3",#N/A,TRUE,"GENERAL";"TAB4",#N/A,TRUE,"GENERAL";"TAB5",#N/A,TRUE,"GENERAL"}</definedName>
    <definedName name="fdsgsdfu" localSheetId="20">{"TAB1",#N/A,TRUE,"GENERAL";"TAB2",#N/A,TRUE,"GENERAL";"TAB3",#N/A,TRUE,"GENERAL";"TAB4",#N/A,TRUE,"GENERAL";"TAB5",#N/A,TRUE,"GENERAL"}</definedName>
    <definedName name="fdsgsdfu" localSheetId="21">{"TAB1",#N/A,TRUE,"GENERAL";"TAB2",#N/A,TRUE,"GENERAL";"TAB3",#N/A,TRUE,"GENERAL";"TAB4",#N/A,TRUE,"GENERAL";"TAB5",#N/A,TRUE,"GENERAL"}</definedName>
    <definedName name="fdsgsdfu" localSheetId="9">{"TAB1",#N/A,TRUE,"GENERAL";"TAB2",#N/A,TRUE,"GENERAL";"TAB3",#N/A,TRUE,"GENERAL";"TAB4",#N/A,TRUE,"GENERAL";"TAB5",#N/A,TRUE,"GENERAL"}</definedName>
    <definedName name="fdsgsdfu" localSheetId="19">{"TAB1",#N/A,TRUE,"GENERAL";"TAB2",#N/A,TRUE,"GENERAL";"TAB3",#N/A,TRUE,"GENERAL";"TAB4",#N/A,TRUE,"GENERAL";"TAB5",#N/A,TRUE,"GENERAL"}</definedName>
    <definedName name="fdsgsdfu" localSheetId="28">{"TAB1",#N/A,TRUE,"GENERAL";"TAB2",#N/A,TRUE,"GENERAL";"TAB3",#N/A,TRUE,"GENERAL";"TAB4",#N/A,TRUE,"GENERAL";"TAB5",#N/A,TRUE,"GENERAL"}</definedName>
    <definedName name="fdsgsdfu" localSheetId="29">{"TAB1",#N/A,TRUE,"GENERAL";"TAB2",#N/A,TRUE,"GENERAL";"TAB3",#N/A,TRUE,"GENERAL";"TAB4",#N/A,TRUE,"GENERAL";"TAB5",#N/A,TRUE,"GENERAL"}</definedName>
    <definedName name="fdsgsdfu">{"TAB1",#N/A,TRUE,"GENERAL";"TAB2",#N/A,TRUE,"GENERAL";"TAB3",#N/A,TRUE,"GENERAL";"TAB4",#N/A,TRUE,"GENERAL";"TAB5",#N/A,TRUE,"GENERAL"}</definedName>
    <definedName name="FDSIO" localSheetId="39">{"TAB1",#N/A,TRUE,"GENERAL";"TAB2",#N/A,TRUE,"GENERAL";"TAB3",#N/A,TRUE,"GENERAL";"TAB4",#N/A,TRUE,"GENERAL";"TAB5",#N/A,TRUE,"GENERAL"}</definedName>
    <definedName name="FDSIO" localSheetId="20">{"TAB1",#N/A,TRUE,"GENERAL";"TAB2",#N/A,TRUE,"GENERAL";"TAB3",#N/A,TRUE,"GENERAL";"TAB4",#N/A,TRUE,"GENERAL";"TAB5",#N/A,TRUE,"GENERAL"}</definedName>
    <definedName name="FDSIO" localSheetId="21">{"TAB1",#N/A,TRUE,"GENERAL";"TAB2",#N/A,TRUE,"GENERAL";"TAB3",#N/A,TRUE,"GENERAL";"TAB4",#N/A,TRUE,"GENERAL";"TAB5",#N/A,TRUE,"GENERAL"}</definedName>
    <definedName name="FDSIO" localSheetId="9">{"TAB1",#N/A,TRUE,"GENERAL";"TAB2",#N/A,TRUE,"GENERAL";"TAB3",#N/A,TRUE,"GENERAL";"TAB4",#N/A,TRUE,"GENERAL";"TAB5",#N/A,TRUE,"GENERAL"}</definedName>
    <definedName name="FDSIO" localSheetId="19">{"TAB1",#N/A,TRUE,"GENERAL";"TAB2",#N/A,TRUE,"GENERAL";"TAB3",#N/A,TRUE,"GENERAL";"TAB4",#N/A,TRUE,"GENERAL";"TAB5",#N/A,TRUE,"GENERAL"}</definedName>
    <definedName name="FDSIO" localSheetId="28">{"TAB1",#N/A,TRUE,"GENERAL";"TAB2",#N/A,TRUE,"GENERAL";"TAB3",#N/A,TRUE,"GENERAL";"TAB4",#N/A,TRUE,"GENERAL";"TAB5",#N/A,TRUE,"GENERAL"}</definedName>
    <definedName name="FDSIO" localSheetId="29">{"TAB1",#N/A,TRUE,"GENERAL";"TAB2",#N/A,TRUE,"GENERAL";"TAB3",#N/A,TRUE,"GENERAL";"TAB4",#N/A,TRUE,"GENERAL";"TAB5",#N/A,TRUE,"GENERAL"}</definedName>
    <definedName name="FDSIO">{"TAB1",#N/A,TRUE,"GENERAL";"TAB2",#N/A,TRUE,"GENERAL";"TAB3",#N/A,TRUE,"GENERAL";"TAB4",#N/A,TRUE,"GENERAL";"TAB5",#N/A,TRUE,"GENERAL"}</definedName>
    <definedName name="fdwssf">#REF!</definedName>
    <definedName name="FE">#REF!</definedName>
    <definedName name="FEB">#REF!</definedName>
    <definedName name="feb00">[17]Dólar!#REF!</definedName>
    <definedName name="FECH">[53]DATOS!$D$6</definedName>
    <definedName name="Fecha" localSheetId="17">[115]Datos!$B$7</definedName>
    <definedName name="Fecha" localSheetId="18">[115]Datos!$B$7</definedName>
    <definedName name="Fecha" localSheetId="12">[115]Datos!$B$7</definedName>
    <definedName name="Fecha">[116]Datos!$B$5</definedName>
    <definedName name="Fechas">#REF!</definedName>
    <definedName name="ferfer" localSheetId="39">{"via1",#N/A,TRUE,"general";"via2",#N/A,TRUE,"general";"via3",#N/A,TRUE,"general"}</definedName>
    <definedName name="ferfer" localSheetId="20">{"via1",#N/A,TRUE,"general";"via2",#N/A,TRUE,"general";"via3",#N/A,TRUE,"general"}</definedName>
    <definedName name="ferfer" localSheetId="21">{"via1",#N/A,TRUE,"general";"via2",#N/A,TRUE,"general";"via3",#N/A,TRUE,"general"}</definedName>
    <definedName name="ferfer" localSheetId="9">{"via1",#N/A,TRUE,"general";"via2",#N/A,TRUE,"general";"via3",#N/A,TRUE,"general"}</definedName>
    <definedName name="ferfer" localSheetId="19">{"via1",#N/A,TRUE,"general";"via2",#N/A,TRUE,"general";"via3",#N/A,TRUE,"general"}</definedName>
    <definedName name="ferfer" localSheetId="28">{"via1",#N/A,TRUE,"general";"via2",#N/A,TRUE,"general";"via3",#N/A,TRUE,"general"}</definedName>
    <definedName name="ferfer" localSheetId="29">{"via1",#N/A,TRUE,"general";"via2",#N/A,TRUE,"general";"via3",#N/A,TRUE,"general"}</definedName>
    <definedName name="ferfer">{"via1",#N/A,TRUE,"general";"via2",#N/A,TRUE,"general";"via3",#N/A,TRUE,"general"}</definedName>
    <definedName name="Festivos">'[173]días habiles 2015'!$D$2:$D$21</definedName>
    <definedName name="FEW" localSheetId="9">#REF!</definedName>
    <definedName name="FEW">#REF!</definedName>
    <definedName name="Fexx">[14]Cálculo!$B$39</definedName>
    <definedName name="FF">'[174]cost codes'!$B$2:$F$54</definedName>
    <definedName name="FFDFDFRRER" localSheetId="28">[84]Estruc.ICEL!#REF!</definedName>
    <definedName name="FFDFDFRRER" localSheetId="29">[84]Estruc.ICEL!#REF!</definedName>
    <definedName name="FFDFDFRRER">[82]Estruc.ICEL!#REF!</definedName>
    <definedName name="fff" localSheetId="39">{"via1",#N/A,TRUE,"general";"via2",#N/A,TRUE,"general";"via3",#N/A,TRUE,"general"}</definedName>
    <definedName name="fff" localSheetId="20">{"via1",#N/A,TRUE,"general";"via2",#N/A,TRUE,"general";"via3",#N/A,TRUE,"general"}</definedName>
    <definedName name="fff" localSheetId="21">{"via1",#N/A,TRUE,"general";"via2",#N/A,TRUE,"general";"via3",#N/A,TRUE,"general"}</definedName>
    <definedName name="fff" localSheetId="9">{"via1",#N/A,TRUE,"general";"via2",#N/A,TRUE,"general";"via3",#N/A,TRUE,"general"}</definedName>
    <definedName name="fff" localSheetId="19">{"via1",#N/A,TRUE,"general";"via2",#N/A,TRUE,"general";"via3",#N/A,TRUE,"general"}</definedName>
    <definedName name="fff" localSheetId="17">#REF!</definedName>
    <definedName name="fff" localSheetId="18">#REF!</definedName>
    <definedName name="fff" localSheetId="28">{"via1",#N/A,TRUE,"general";"via2",#N/A,TRUE,"general";"via3",#N/A,TRUE,"general"}</definedName>
    <definedName name="fff" localSheetId="29">{"via1",#N/A,TRUE,"general";"via2",#N/A,TRUE,"general";"via3",#N/A,TRUE,"general"}</definedName>
    <definedName name="fff" localSheetId="12">#REF!</definedName>
    <definedName name="fff">{"via1",#N/A,TRUE,"general";"via2",#N/A,TRUE,"general";"via3",#N/A,TRUE,"general"}</definedName>
    <definedName name="ffff">#REF!</definedName>
    <definedName name="ffffd" localSheetId="39">{"via1",#N/A,TRUE,"general";"via2",#N/A,TRUE,"general";"via3",#N/A,TRUE,"general"}</definedName>
    <definedName name="ffffd" localSheetId="20">{"via1",#N/A,TRUE,"general";"via2",#N/A,TRUE,"general";"via3",#N/A,TRUE,"general"}</definedName>
    <definedName name="ffffd" localSheetId="21">{"via1",#N/A,TRUE,"general";"via2",#N/A,TRUE,"general";"via3",#N/A,TRUE,"general"}</definedName>
    <definedName name="ffffd" localSheetId="9">{"via1",#N/A,TRUE,"general";"via2",#N/A,TRUE,"general";"via3",#N/A,TRUE,"general"}</definedName>
    <definedName name="ffffd" localSheetId="19">{"via1",#N/A,TRUE,"general";"via2",#N/A,TRUE,"general";"via3",#N/A,TRUE,"general"}</definedName>
    <definedName name="ffffd" localSheetId="28">{"via1",#N/A,TRUE,"general";"via2",#N/A,TRUE,"general";"via3",#N/A,TRUE,"general"}</definedName>
    <definedName name="ffffd" localSheetId="29">{"via1",#N/A,TRUE,"general";"via2",#N/A,TRUE,"general";"via3",#N/A,TRUE,"general"}</definedName>
    <definedName name="ffffd">{"via1",#N/A,TRUE,"general";"via2",#N/A,TRUE,"general";"via3",#N/A,TRUE,"general"}</definedName>
    <definedName name="fffffdfdfddf">#REF!</definedName>
    <definedName name="ffffffffffffffff">#REF!</definedName>
    <definedName name="fffffft" localSheetId="39">{"TAB1",#N/A,TRUE,"GENERAL";"TAB2",#N/A,TRUE,"GENERAL";"TAB3",#N/A,TRUE,"GENERAL";"TAB4",#N/A,TRUE,"GENERAL";"TAB5",#N/A,TRUE,"GENERAL"}</definedName>
    <definedName name="fffffft" localSheetId="20">{"TAB1",#N/A,TRUE,"GENERAL";"TAB2",#N/A,TRUE,"GENERAL";"TAB3",#N/A,TRUE,"GENERAL";"TAB4",#N/A,TRUE,"GENERAL";"TAB5",#N/A,TRUE,"GENERAL"}</definedName>
    <definedName name="fffffft" localSheetId="21">{"TAB1",#N/A,TRUE,"GENERAL";"TAB2",#N/A,TRUE,"GENERAL";"TAB3",#N/A,TRUE,"GENERAL";"TAB4",#N/A,TRUE,"GENERAL";"TAB5",#N/A,TRUE,"GENERAL"}</definedName>
    <definedName name="fffffft" localSheetId="9">{"TAB1",#N/A,TRUE,"GENERAL";"TAB2",#N/A,TRUE,"GENERAL";"TAB3",#N/A,TRUE,"GENERAL";"TAB4",#N/A,TRUE,"GENERAL";"TAB5",#N/A,TRUE,"GENERAL"}</definedName>
    <definedName name="fffffft" localSheetId="19">{"TAB1",#N/A,TRUE,"GENERAL";"TAB2",#N/A,TRUE,"GENERAL";"TAB3",#N/A,TRUE,"GENERAL";"TAB4",#N/A,TRUE,"GENERAL";"TAB5",#N/A,TRUE,"GENERAL"}</definedName>
    <definedName name="fffffft" localSheetId="28">{"TAB1",#N/A,TRUE,"GENERAL";"TAB2",#N/A,TRUE,"GENERAL";"TAB3",#N/A,TRUE,"GENERAL";"TAB4",#N/A,TRUE,"GENERAL";"TAB5",#N/A,TRUE,"GENERAL"}</definedName>
    <definedName name="fffffft" localSheetId="29">{"TAB1",#N/A,TRUE,"GENERAL";"TAB2",#N/A,TRUE,"GENERAL";"TAB3",#N/A,TRUE,"GENERAL";"TAB4",#N/A,TRUE,"GENERAL";"TAB5",#N/A,TRUE,"GENERAL"}</definedName>
    <definedName name="fffffft">{"TAB1",#N/A,TRUE,"GENERAL";"TAB2",#N/A,TRUE,"GENERAL";"TAB3",#N/A,TRUE,"GENERAL";"TAB4",#N/A,TRUE,"GENERAL";"TAB5",#N/A,TRUE,"GENERAL"}</definedName>
    <definedName name="fffffik" localSheetId="39">{"TAB1",#N/A,TRUE,"GENERAL";"TAB2",#N/A,TRUE,"GENERAL";"TAB3",#N/A,TRUE,"GENERAL";"TAB4",#N/A,TRUE,"GENERAL";"TAB5",#N/A,TRUE,"GENERAL"}</definedName>
    <definedName name="fffffik" localSheetId="20">{"TAB1",#N/A,TRUE,"GENERAL";"TAB2",#N/A,TRUE,"GENERAL";"TAB3",#N/A,TRUE,"GENERAL";"TAB4",#N/A,TRUE,"GENERAL";"TAB5",#N/A,TRUE,"GENERAL"}</definedName>
    <definedName name="fffffik" localSheetId="21">{"TAB1",#N/A,TRUE,"GENERAL";"TAB2",#N/A,TRUE,"GENERAL";"TAB3",#N/A,TRUE,"GENERAL";"TAB4",#N/A,TRUE,"GENERAL";"TAB5",#N/A,TRUE,"GENERAL"}</definedName>
    <definedName name="fffffik" localSheetId="9">{"TAB1",#N/A,TRUE,"GENERAL";"TAB2",#N/A,TRUE,"GENERAL";"TAB3",#N/A,TRUE,"GENERAL";"TAB4",#N/A,TRUE,"GENERAL";"TAB5",#N/A,TRUE,"GENERAL"}</definedName>
    <definedName name="fffffik" localSheetId="19">{"TAB1",#N/A,TRUE,"GENERAL";"TAB2",#N/A,TRUE,"GENERAL";"TAB3",#N/A,TRUE,"GENERAL";"TAB4",#N/A,TRUE,"GENERAL";"TAB5",#N/A,TRUE,"GENERAL"}</definedName>
    <definedName name="fffffik" localSheetId="28">{"TAB1",#N/A,TRUE,"GENERAL";"TAB2",#N/A,TRUE,"GENERAL";"TAB3",#N/A,TRUE,"GENERAL";"TAB4",#N/A,TRUE,"GENERAL";"TAB5",#N/A,TRUE,"GENERAL"}</definedName>
    <definedName name="fffffik" localSheetId="29">{"TAB1",#N/A,TRUE,"GENERAL";"TAB2",#N/A,TRUE,"GENERAL";"TAB3",#N/A,TRUE,"GENERAL";"TAB4",#N/A,TRUE,"GENERAL";"TAB5",#N/A,TRUE,"GENERAL"}</definedName>
    <definedName name="fffffik">{"TAB1",#N/A,TRUE,"GENERAL";"TAB2",#N/A,TRUE,"GENERAL";"TAB3",#N/A,TRUE,"GENERAL";"TAB4",#N/A,TRUE,"GENERAL";"TAB5",#N/A,TRUE,"GENERAL"}</definedName>
    <definedName name="fffffj" localSheetId="39">{"TAB1",#N/A,TRUE,"GENERAL";"TAB2",#N/A,TRUE,"GENERAL";"TAB3",#N/A,TRUE,"GENERAL";"TAB4",#N/A,TRUE,"GENERAL";"TAB5",#N/A,TRUE,"GENERAL"}</definedName>
    <definedName name="fffffj" localSheetId="20">{"TAB1",#N/A,TRUE,"GENERAL";"TAB2",#N/A,TRUE,"GENERAL";"TAB3",#N/A,TRUE,"GENERAL";"TAB4",#N/A,TRUE,"GENERAL";"TAB5",#N/A,TRUE,"GENERAL"}</definedName>
    <definedName name="fffffj" localSheetId="21">{"TAB1",#N/A,TRUE,"GENERAL";"TAB2",#N/A,TRUE,"GENERAL";"TAB3",#N/A,TRUE,"GENERAL";"TAB4",#N/A,TRUE,"GENERAL";"TAB5",#N/A,TRUE,"GENERAL"}</definedName>
    <definedName name="fffffj" localSheetId="9">{"TAB1",#N/A,TRUE,"GENERAL";"TAB2",#N/A,TRUE,"GENERAL";"TAB3",#N/A,TRUE,"GENERAL";"TAB4",#N/A,TRUE,"GENERAL";"TAB5",#N/A,TRUE,"GENERAL"}</definedName>
    <definedName name="fffffj" localSheetId="19">{"TAB1",#N/A,TRUE,"GENERAL";"TAB2",#N/A,TRUE,"GENERAL";"TAB3",#N/A,TRUE,"GENERAL";"TAB4",#N/A,TRUE,"GENERAL";"TAB5",#N/A,TRUE,"GENERAL"}</definedName>
    <definedName name="fffffj" localSheetId="28">{"TAB1",#N/A,TRUE,"GENERAL";"TAB2",#N/A,TRUE,"GENERAL";"TAB3",#N/A,TRUE,"GENERAL";"TAB4",#N/A,TRUE,"GENERAL";"TAB5",#N/A,TRUE,"GENERAL"}</definedName>
    <definedName name="fffffj" localSheetId="29">{"TAB1",#N/A,TRUE,"GENERAL";"TAB2",#N/A,TRUE,"GENERAL";"TAB3",#N/A,TRUE,"GENERAL";"TAB4",#N/A,TRUE,"GENERAL";"TAB5",#N/A,TRUE,"GENERAL"}</definedName>
    <definedName name="fffffj">{"TAB1",#N/A,TRUE,"GENERAL";"TAB2",#N/A,TRUE,"GENERAL";"TAB3",#N/A,TRUE,"GENERAL";"TAB4",#N/A,TRUE,"GENERAL";"TAB5",#N/A,TRUE,"GENERAL"}</definedName>
    <definedName name="ffffrd" localSheetId="39">{"via1",#N/A,TRUE,"general";"via2",#N/A,TRUE,"general";"via3",#N/A,TRUE,"general"}</definedName>
    <definedName name="ffffrd" localSheetId="20">{"via1",#N/A,TRUE,"general";"via2",#N/A,TRUE,"general";"via3",#N/A,TRUE,"general"}</definedName>
    <definedName name="ffffrd" localSheetId="21">{"via1",#N/A,TRUE,"general";"via2",#N/A,TRUE,"general";"via3",#N/A,TRUE,"general"}</definedName>
    <definedName name="ffffrd" localSheetId="9">{"via1",#N/A,TRUE,"general";"via2",#N/A,TRUE,"general";"via3",#N/A,TRUE,"general"}</definedName>
    <definedName name="ffffrd" localSheetId="19">{"via1",#N/A,TRUE,"general";"via2",#N/A,TRUE,"general";"via3",#N/A,TRUE,"general"}</definedName>
    <definedName name="ffffrd" localSheetId="28">{"via1",#N/A,TRUE,"general";"via2",#N/A,TRUE,"general";"via3",#N/A,TRUE,"general"}</definedName>
    <definedName name="ffffrd" localSheetId="29">{"via1",#N/A,TRUE,"general";"via2",#N/A,TRUE,"general";"via3",#N/A,TRUE,"general"}</definedName>
    <definedName name="ffffrd">{"via1",#N/A,TRUE,"general";"via2",#N/A,TRUE,"general";"via3",#N/A,TRUE,"general"}</definedName>
    <definedName name="ffffy" localSheetId="39">{"TAB1",#N/A,TRUE,"GENERAL";"TAB2",#N/A,TRUE,"GENERAL";"TAB3",#N/A,TRUE,"GENERAL";"TAB4",#N/A,TRUE,"GENERAL";"TAB5",#N/A,TRUE,"GENERAL"}</definedName>
    <definedName name="ffffy" localSheetId="20">{"TAB1",#N/A,TRUE,"GENERAL";"TAB2",#N/A,TRUE,"GENERAL";"TAB3",#N/A,TRUE,"GENERAL";"TAB4",#N/A,TRUE,"GENERAL";"TAB5",#N/A,TRUE,"GENERAL"}</definedName>
    <definedName name="ffffy" localSheetId="21">{"TAB1",#N/A,TRUE,"GENERAL";"TAB2",#N/A,TRUE,"GENERAL";"TAB3",#N/A,TRUE,"GENERAL";"TAB4",#N/A,TRUE,"GENERAL";"TAB5",#N/A,TRUE,"GENERAL"}</definedName>
    <definedName name="ffffy" localSheetId="9">{"TAB1",#N/A,TRUE,"GENERAL";"TAB2",#N/A,TRUE,"GENERAL";"TAB3",#N/A,TRUE,"GENERAL";"TAB4",#N/A,TRUE,"GENERAL";"TAB5",#N/A,TRUE,"GENERAL"}</definedName>
    <definedName name="ffffy" localSheetId="19">{"TAB1",#N/A,TRUE,"GENERAL";"TAB2",#N/A,TRUE,"GENERAL";"TAB3",#N/A,TRUE,"GENERAL";"TAB4",#N/A,TRUE,"GENERAL";"TAB5",#N/A,TRUE,"GENERAL"}</definedName>
    <definedName name="ffffy" localSheetId="28">{"TAB1",#N/A,TRUE,"GENERAL";"TAB2",#N/A,TRUE,"GENERAL";"TAB3",#N/A,TRUE,"GENERAL";"TAB4",#N/A,TRUE,"GENERAL";"TAB5",#N/A,TRUE,"GENERAL"}</definedName>
    <definedName name="ffffy" localSheetId="29">{"TAB1",#N/A,TRUE,"GENERAL";"TAB2",#N/A,TRUE,"GENERAL";"TAB3",#N/A,TRUE,"GENERAL";"TAB4",#N/A,TRUE,"GENERAL";"TAB5",#N/A,TRUE,"GENERAL"}</definedName>
    <definedName name="ffffy">{"TAB1",#N/A,TRUE,"GENERAL";"TAB2",#N/A,TRUE,"GENERAL";"TAB3",#N/A,TRUE,"GENERAL";"TAB4",#N/A,TRUE,"GENERAL";"TAB5",#N/A,TRUE,"GENERAL"}</definedName>
    <definedName name="fffrfr" localSheetId="39">{"TAB1",#N/A,TRUE,"GENERAL";"TAB2",#N/A,TRUE,"GENERAL";"TAB3",#N/A,TRUE,"GENERAL";"TAB4",#N/A,TRUE,"GENERAL";"TAB5",#N/A,TRUE,"GENERAL"}</definedName>
    <definedName name="fffrfr" localSheetId="20">{"TAB1",#N/A,TRUE,"GENERAL";"TAB2",#N/A,TRUE,"GENERAL";"TAB3",#N/A,TRUE,"GENERAL";"TAB4",#N/A,TRUE,"GENERAL";"TAB5",#N/A,TRUE,"GENERAL"}</definedName>
    <definedName name="fffrfr" localSheetId="21">{"TAB1",#N/A,TRUE,"GENERAL";"TAB2",#N/A,TRUE,"GENERAL";"TAB3",#N/A,TRUE,"GENERAL";"TAB4",#N/A,TRUE,"GENERAL";"TAB5",#N/A,TRUE,"GENERAL"}</definedName>
    <definedName name="fffrfr" localSheetId="9">{"TAB1",#N/A,TRUE,"GENERAL";"TAB2",#N/A,TRUE,"GENERAL";"TAB3",#N/A,TRUE,"GENERAL";"TAB4",#N/A,TRUE,"GENERAL";"TAB5",#N/A,TRUE,"GENERAL"}</definedName>
    <definedName name="fffrfr" localSheetId="19">{"TAB1",#N/A,TRUE,"GENERAL";"TAB2",#N/A,TRUE,"GENERAL";"TAB3",#N/A,TRUE,"GENERAL";"TAB4",#N/A,TRUE,"GENERAL";"TAB5",#N/A,TRUE,"GENERAL"}</definedName>
    <definedName name="fffrfr" localSheetId="28">{"TAB1",#N/A,TRUE,"GENERAL";"TAB2",#N/A,TRUE,"GENERAL";"TAB3",#N/A,TRUE,"GENERAL";"TAB4",#N/A,TRUE,"GENERAL";"TAB5",#N/A,TRUE,"GENERAL"}</definedName>
    <definedName name="fffrfr" localSheetId="29">{"TAB1",#N/A,TRUE,"GENERAL";"TAB2",#N/A,TRUE,"GENERAL";"TAB3",#N/A,TRUE,"GENERAL";"TAB4",#N/A,TRUE,"GENERAL";"TAB5",#N/A,TRUE,"GENERAL"}</definedName>
    <definedName name="fffrfr">{"TAB1",#N/A,TRUE,"GENERAL";"TAB2",#N/A,TRUE,"GENERAL";"TAB3",#N/A,TRUE,"GENERAL";"TAB4",#N/A,TRUE,"GENERAL";"TAB5",#N/A,TRUE,"GENERAL"}</definedName>
    <definedName name="fffs" localSheetId="39">{"TAB1",#N/A,TRUE,"GENERAL";"TAB2",#N/A,TRUE,"GENERAL";"TAB3",#N/A,TRUE,"GENERAL";"TAB4",#N/A,TRUE,"GENERAL";"TAB5",#N/A,TRUE,"GENERAL"}</definedName>
    <definedName name="fffs" localSheetId="20">{"TAB1",#N/A,TRUE,"GENERAL";"TAB2",#N/A,TRUE,"GENERAL";"TAB3",#N/A,TRUE,"GENERAL";"TAB4",#N/A,TRUE,"GENERAL";"TAB5",#N/A,TRUE,"GENERAL"}</definedName>
    <definedName name="fffs" localSheetId="21">{"TAB1",#N/A,TRUE,"GENERAL";"TAB2",#N/A,TRUE,"GENERAL";"TAB3",#N/A,TRUE,"GENERAL";"TAB4",#N/A,TRUE,"GENERAL";"TAB5",#N/A,TRUE,"GENERAL"}</definedName>
    <definedName name="fffs" localSheetId="9">{"TAB1",#N/A,TRUE,"GENERAL";"TAB2",#N/A,TRUE,"GENERAL";"TAB3",#N/A,TRUE,"GENERAL";"TAB4",#N/A,TRUE,"GENERAL";"TAB5",#N/A,TRUE,"GENERAL"}</definedName>
    <definedName name="fffs" localSheetId="19">{"TAB1",#N/A,TRUE,"GENERAL";"TAB2",#N/A,TRUE,"GENERAL";"TAB3",#N/A,TRUE,"GENERAL";"TAB4",#N/A,TRUE,"GENERAL";"TAB5",#N/A,TRUE,"GENERAL"}</definedName>
    <definedName name="fffs" localSheetId="28">{"TAB1",#N/A,TRUE,"GENERAL";"TAB2",#N/A,TRUE,"GENERAL";"TAB3",#N/A,TRUE,"GENERAL";"TAB4",#N/A,TRUE,"GENERAL";"TAB5",#N/A,TRUE,"GENERAL"}</definedName>
    <definedName name="fffs" localSheetId="29">{"TAB1",#N/A,TRUE,"GENERAL";"TAB2",#N/A,TRUE,"GENERAL";"TAB3",#N/A,TRUE,"GENERAL";"TAB4",#N/A,TRUE,"GENERAL";"TAB5",#N/A,TRUE,"GENERAL"}</definedName>
    <definedName name="fffs">{"TAB1",#N/A,TRUE,"GENERAL";"TAB2",#N/A,TRUE,"GENERAL";"TAB3",#N/A,TRUE,"GENERAL";"TAB4",#N/A,TRUE,"GENERAL";"TAB5",#N/A,TRUE,"GENERAL"}</definedName>
    <definedName name="FFGS">#REF!</definedName>
    <definedName name="fg">#REF!</definedName>
    <definedName name="fgdfg" localSheetId="39">{"TAB1",#N/A,TRUE,"GENERAL";"TAB2",#N/A,TRUE,"GENERAL";"TAB3",#N/A,TRUE,"GENERAL";"TAB4",#N/A,TRUE,"GENERAL";"TAB5",#N/A,TRUE,"GENERAL"}</definedName>
    <definedName name="fgdfg" localSheetId="20">{"TAB1",#N/A,TRUE,"GENERAL";"TAB2",#N/A,TRUE,"GENERAL";"TAB3",#N/A,TRUE,"GENERAL";"TAB4",#N/A,TRUE,"GENERAL";"TAB5",#N/A,TRUE,"GENERAL"}</definedName>
    <definedName name="fgdfg" localSheetId="21">{"TAB1",#N/A,TRUE,"GENERAL";"TAB2",#N/A,TRUE,"GENERAL";"TAB3",#N/A,TRUE,"GENERAL";"TAB4",#N/A,TRUE,"GENERAL";"TAB5",#N/A,TRUE,"GENERAL"}</definedName>
    <definedName name="fgdfg" localSheetId="9">{"TAB1",#N/A,TRUE,"GENERAL";"TAB2",#N/A,TRUE,"GENERAL";"TAB3",#N/A,TRUE,"GENERAL";"TAB4",#N/A,TRUE,"GENERAL";"TAB5",#N/A,TRUE,"GENERAL"}</definedName>
    <definedName name="fgdfg" localSheetId="19">{"TAB1",#N/A,TRUE,"GENERAL";"TAB2",#N/A,TRUE,"GENERAL";"TAB3",#N/A,TRUE,"GENERAL";"TAB4",#N/A,TRUE,"GENERAL";"TAB5",#N/A,TRUE,"GENERAL"}</definedName>
    <definedName name="fgdfg" localSheetId="28">{"TAB1",#N/A,TRUE,"GENERAL";"TAB2",#N/A,TRUE,"GENERAL";"TAB3",#N/A,TRUE,"GENERAL";"TAB4",#N/A,TRUE,"GENERAL";"TAB5",#N/A,TRUE,"GENERAL"}</definedName>
    <definedName name="fgdfg" localSheetId="29">{"TAB1",#N/A,TRUE,"GENERAL";"TAB2",#N/A,TRUE,"GENERAL";"TAB3",#N/A,TRUE,"GENERAL";"TAB4",#N/A,TRUE,"GENERAL";"TAB5",#N/A,TRUE,"GENERAL"}</definedName>
    <definedName name="fgdfg">{"TAB1",#N/A,TRUE,"GENERAL";"TAB2",#N/A,TRUE,"GENERAL";"TAB3",#N/A,TRUE,"GENERAL";"TAB4",#N/A,TRUE,"GENERAL";"TAB5",#N/A,TRUE,"GENERAL"}</definedName>
    <definedName name="fgdfsgr" localSheetId="39">{"via1",#N/A,TRUE,"general";"via2",#N/A,TRUE,"general";"via3",#N/A,TRUE,"general"}</definedName>
    <definedName name="fgdfsgr" localSheetId="20">{"via1",#N/A,TRUE,"general";"via2",#N/A,TRUE,"general";"via3",#N/A,TRUE,"general"}</definedName>
    <definedName name="fgdfsgr" localSheetId="21">{"via1",#N/A,TRUE,"general";"via2",#N/A,TRUE,"general";"via3",#N/A,TRUE,"general"}</definedName>
    <definedName name="fgdfsgr" localSheetId="9">{"via1",#N/A,TRUE,"general";"via2",#N/A,TRUE,"general";"via3",#N/A,TRUE,"general"}</definedName>
    <definedName name="fgdfsgr" localSheetId="19">{"via1",#N/A,TRUE,"general";"via2",#N/A,TRUE,"general";"via3",#N/A,TRUE,"general"}</definedName>
    <definedName name="fgdfsgr" localSheetId="28">{"via1",#N/A,TRUE,"general";"via2",#N/A,TRUE,"general";"via3",#N/A,TRUE,"general"}</definedName>
    <definedName name="fgdfsgr" localSheetId="29">{"via1",#N/A,TRUE,"general";"via2",#N/A,TRUE,"general";"via3",#N/A,TRUE,"general"}</definedName>
    <definedName name="fgdfsgr">{"via1",#N/A,TRUE,"general";"via2",#N/A,TRUE,"general";"via3",#N/A,TRUE,"general"}</definedName>
    <definedName name="fgdsfg" localSheetId="39">{"TAB1",#N/A,TRUE,"GENERAL";"TAB2",#N/A,TRUE,"GENERAL";"TAB3",#N/A,TRUE,"GENERAL";"TAB4",#N/A,TRUE,"GENERAL";"TAB5",#N/A,TRUE,"GENERAL"}</definedName>
    <definedName name="fgdsfg" localSheetId="20">{"TAB1",#N/A,TRUE,"GENERAL";"TAB2",#N/A,TRUE,"GENERAL";"TAB3",#N/A,TRUE,"GENERAL";"TAB4",#N/A,TRUE,"GENERAL";"TAB5",#N/A,TRUE,"GENERAL"}</definedName>
    <definedName name="fgdsfg" localSheetId="21">{"TAB1",#N/A,TRUE,"GENERAL";"TAB2",#N/A,TRUE,"GENERAL";"TAB3",#N/A,TRUE,"GENERAL";"TAB4",#N/A,TRUE,"GENERAL";"TAB5",#N/A,TRUE,"GENERAL"}</definedName>
    <definedName name="fgdsfg" localSheetId="9">{"TAB1",#N/A,TRUE,"GENERAL";"TAB2",#N/A,TRUE,"GENERAL";"TAB3",#N/A,TRUE,"GENERAL";"TAB4",#N/A,TRUE,"GENERAL";"TAB5",#N/A,TRUE,"GENERAL"}</definedName>
    <definedName name="fgdsfg" localSheetId="19">{"TAB1",#N/A,TRUE,"GENERAL";"TAB2",#N/A,TRUE,"GENERAL";"TAB3",#N/A,TRUE,"GENERAL";"TAB4",#N/A,TRUE,"GENERAL";"TAB5",#N/A,TRUE,"GENERAL"}</definedName>
    <definedName name="fgdsfg" localSheetId="28">{"TAB1",#N/A,TRUE,"GENERAL";"TAB2",#N/A,TRUE,"GENERAL";"TAB3",#N/A,TRUE,"GENERAL";"TAB4",#N/A,TRUE,"GENERAL";"TAB5",#N/A,TRUE,"GENERAL"}</definedName>
    <definedName name="fgdsfg" localSheetId="29">{"TAB1",#N/A,TRUE,"GENERAL";"TAB2",#N/A,TRUE,"GENERAL";"TAB3",#N/A,TRUE,"GENERAL";"TAB4",#N/A,TRUE,"GENERAL";"TAB5",#N/A,TRUE,"GENERAL"}</definedName>
    <definedName name="fgdsfg">{"TAB1",#N/A,TRUE,"GENERAL";"TAB2",#N/A,TRUE,"GENERAL";"TAB3",#N/A,TRUE,"GENERAL";"TAB4",#N/A,TRUE,"GENERAL";"TAB5",#N/A,TRUE,"GENERAL"}</definedName>
    <definedName name="FGFDH" localSheetId="39">{"via1",#N/A,TRUE,"general";"via2",#N/A,TRUE,"general";"via3",#N/A,TRUE,"general"}</definedName>
    <definedName name="FGFDH" localSheetId="20">{"via1",#N/A,TRUE,"general";"via2",#N/A,TRUE,"general";"via3",#N/A,TRUE,"general"}</definedName>
    <definedName name="FGFDH" localSheetId="21">{"via1",#N/A,TRUE,"general";"via2",#N/A,TRUE,"general";"via3",#N/A,TRUE,"general"}</definedName>
    <definedName name="FGFDH" localSheetId="9">{"via1",#N/A,TRUE,"general";"via2",#N/A,TRUE,"general";"via3",#N/A,TRUE,"general"}</definedName>
    <definedName name="FGFDH" localSheetId="19">{"via1",#N/A,TRUE,"general";"via2",#N/A,TRUE,"general";"via3",#N/A,TRUE,"general"}</definedName>
    <definedName name="FGFDH" localSheetId="28">{"via1",#N/A,TRUE,"general";"via2",#N/A,TRUE,"general";"via3",#N/A,TRUE,"general"}</definedName>
    <definedName name="FGFDH" localSheetId="29">{"via1",#N/A,TRUE,"general";"via2",#N/A,TRUE,"general";"via3",#N/A,TRUE,"general"}</definedName>
    <definedName name="FGFDH">{"via1",#N/A,TRUE,"general";"via2",#N/A,TRUE,"general";"via3",#N/A,TRUE,"general"}</definedName>
    <definedName name="FGGFRGRG">#REF!</definedName>
    <definedName name="fgghhj" localSheetId="39">{"via1",#N/A,TRUE,"general";"via2",#N/A,TRUE,"general";"via3",#N/A,TRUE,"general"}</definedName>
    <definedName name="fgghhj" localSheetId="20">{"via1",#N/A,TRUE,"general";"via2",#N/A,TRUE,"general";"via3",#N/A,TRUE,"general"}</definedName>
    <definedName name="fgghhj" localSheetId="21">{"via1",#N/A,TRUE,"general";"via2",#N/A,TRUE,"general";"via3",#N/A,TRUE,"general"}</definedName>
    <definedName name="fgghhj" localSheetId="9">{"via1",#N/A,TRUE,"general";"via2",#N/A,TRUE,"general";"via3",#N/A,TRUE,"general"}</definedName>
    <definedName name="fgghhj" localSheetId="19">{"via1",#N/A,TRUE,"general";"via2",#N/A,TRUE,"general";"via3",#N/A,TRUE,"general"}</definedName>
    <definedName name="fgghhj" localSheetId="28">{"via1",#N/A,TRUE,"general";"via2",#N/A,TRUE,"general";"via3",#N/A,TRUE,"general"}</definedName>
    <definedName name="fgghhj" localSheetId="29">{"via1",#N/A,TRUE,"general";"via2",#N/A,TRUE,"general";"via3",#N/A,TRUE,"general"}</definedName>
    <definedName name="fgghhj">{"via1",#N/A,TRUE,"general";"via2",#N/A,TRUE,"general";"via3",#N/A,TRUE,"general"}</definedName>
    <definedName name="FGHFBC" localSheetId="39">{"via1",#N/A,TRUE,"general";"via2",#N/A,TRUE,"general";"via3",#N/A,TRUE,"general"}</definedName>
    <definedName name="FGHFBC" localSheetId="20">{"via1",#N/A,TRUE,"general";"via2",#N/A,TRUE,"general";"via3",#N/A,TRUE,"general"}</definedName>
    <definedName name="FGHFBC" localSheetId="21">{"via1",#N/A,TRUE,"general";"via2",#N/A,TRUE,"general";"via3",#N/A,TRUE,"general"}</definedName>
    <definedName name="FGHFBC" localSheetId="9">{"via1",#N/A,TRUE,"general";"via2",#N/A,TRUE,"general";"via3",#N/A,TRUE,"general"}</definedName>
    <definedName name="FGHFBC" localSheetId="19">{"via1",#N/A,TRUE,"general";"via2",#N/A,TRUE,"general";"via3",#N/A,TRUE,"general"}</definedName>
    <definedName name="FGHFBC" localSheetId="28">{"via1",#N/A,TRUE,"general";"via2",#N/A,TRUE,"general";"via3",#N/A,TRUE,"general"}</definedName>
    <definedName name="FGHFBC" localSheetId="29">{"via1",#N/A,TRUE,"general";"via2",#N/A,TRUE,"general";"via3",#N/A,TRUE,"general"}</definedName>
    <definedName name="FGHFBC">{"via1",#N/A,TRUE,"general";"via2",#N/A,TRUE,"general";"via3",#N/A,TRUE,"general"}</definedName>
    <definedName name="fghfg" localSheetId="39">{"TAB1",#N/A,TRUE,"GENERAL";"TAB2",#N/A,TRUE,"GENERAL";"TAB3",#N/A,TRUE,"GENERAL";"TAB4",#N/A,TRUE,"GENERAL";"TAB5",#N/A,TRUE,"GENERAL"}</definedName>
    <definedName name="fghfg" localSheetId="20">{"TAB1",#N/A,TRUE,"GENERAL";"TAB2",#N/A,TRUE,"GENERAL";"TAB3",#N/A,TRUE,"GENERAL";"TAB4",#N/A,TRUE,"GENERAL";"TAB5",#N/A,TRUE,"GENERAL"}</definedName>
    <definedName name="fghfg" localSheetId="21">{"TAB1",#N/A,TRUE,"GENERAL";"TAB2",#N/A,TRUE,"GENERAL";"TAB3",#N/A,TRUE,"GENERAL";"TAB4",#N/A,TRUE,"GENERAL";"TAB5",#N/A,TRUE,"GENERAL"}</definedName>
    <definedName name="fghfg" localSheetId="9">{"TAB1",#N/A,TRUE,"GENERAL";"TAB2",#N/A,TRUE,"GENERAL";"TAB3",#N/A,TRUE,"GENERAL";"TAB4",#N/A,TRUE,"GENERAL";"TAB5",#N/A,TRUE,"GENERAL"}</definedName>
    <definedName name="fghfg" localSheetId="19">{"TAB1",#N/A,TRUE,"GENERAL";"TAB2",#N/A,TRUE,"GENERAL";"TAB3",#N/A,TRUE,"GENERAL";"TAB4",#N/A,TRUE,"GENERAL";"TAB5",#N/A,TRUE,"GENERAL"}</definedName>
    <definedName name="fghfg" localSheetId="28">{"TAB1",#N/A,TRUE,"GENERAL";"TAB2",#N/A,TRUE,"GENERAL";"TAB3",#N/A,TRUE,"GENERAL";"TAB4",#N/A,TRUE,"GENERAL";"TAB5",#N/A,TRUE,"GENERAL"}</definedName>
    <definedName name="fghfg" localSheetId="29">{"TAB1",#N/A,TRUE,"GENERAL";"TAB2",#N/A,TRUE,"GENERAL";"TAB3",#N/A,TRUE,"GENERAL";"TAB4",#N/A,TRUE,"GENERAL";"TAB5",#N/A,TRUE,"GENERAL"}</definedName>
    <definedName name="fghfg">{"TAB1",#N/A,TRUE,"GENERAL";"TAB2",#N/A,TRUE,"GENERAL";"TAB3",#N/A,TRUE,"GENERAL";"TAB4",#N/A,TRUE,"GENERAL";"TAB5",#N/A,TRUE,"GENERAL"}</definedName>
    <definedName name="fghfgh" localSheetId="39">{"via1",#N/A,TRUE,"general";"via2",#N/A,TRUE,"general";"via3",#N/A,TRUE,"general"}</definedName>
    <definedName name="fghfgh" localSheetId="20">{"via1",#N/A,TRUE,"general";"via2",#N/A,TRUE,"general";"via3",#N/A,TRUE,"general"}</definedName>
    <definedName name="fghfgh" localSheetId="21">{"via1",#N/A,TRUE,"general";"via2",#N/A,TRUE,"general";"via3",#N/A,TRUE,"general"}</definedName>
    <definedName name="fghfgh" localSheetId="9">{"via1",#N/A,TRUE,"general";"via2",#N/A,TRUE,"general";"via3",#N/A,TRUE,"general"}</definedName>
    <definedName name="fghfgh" localSheetId="19">{"via1",#N/A,TRUE,"general";"via2",#N/A,TRUE,"general";"via3",#N/A,TRUE,"general"}</definedName>
    <definedName name="fghfgh" localSheetId="28">{"via1",#N/A,TRUE,"general";"via2",#N/A,TRUE,"general";"via3",#N/A,TRUE,"general"}</definedName>
    <definedName name="fghfgh" localSheetId="29">{"via1",#N/A,TRUE,"general";"via2",#N/A,TRUE,"general";"via3",#N/A,TRUE,"general"}</definedName>
    <definedName name="fghfgh">{"via1",#N/A,TRUE,"general";"via2",#N/A,TRUE,"general";"via3",#N/A,TRUE,"general"}</definedName>
    <definedName name="FGHFW" localSheetId="39">{"via1",#N/A,TRUE,"general";"via2",#N/A,TRUE,"general";"via3",#N/A,TRUE,"general"}</definedName>
    <definedName name="FGHFW" localSheetId="20">{"via1",#N/A,TRUE,"general";"via2",#N/A,TRUE,"general";"via3",#N/A,TRUE,"general"}</definedName>
    <definedName name="FGHFW" localSheetId="21">{"via1",#N/A,TRUE,"general";"via2",#N/A,TRUE,"general";"via3",#N/A,TRUE,"general"}</definedName>
    <definedName name="FGHFW" localSheetId="9">{"via1",#N/A,TRUE,"general";"via2",#N/A,TRUE,"general";"via3",#N/A,TRUE,"general"}</definedName>
    <definedName name="FGHFW" localSheetId="19">{"via1",#N/A,TRUE,"general";"via2",#N/A,TRUE,"general";"via3",#N/A,TRUE,"general"}</definedName>
    <definedName name="FGHFW" localSheetId="28">{"via1",#N/A,TRUE,"general";"via2",#N/A,TRUE,"general";"via3",#N/A,TRUE,"general"}</definedName>
    <definedName name="FGHFW" localSheetId="29">{"via1",#N/A,TRUE,"general";"via2",#N/A,TRUE,"general";"via3",#N/A,TRUE,"general"}</definedName>
    <definedName name="FGHFW">{"via1",#N/A,TRUE,"general";"via2",#N/A,TRUE,"general";"via3",#N/A,TRUE,"general"}</definedName>
    <definedName name="fghhh" localSheetId="39">{"TAB1",#N/A,TRUE,"GENERAL";"TAB2",#N/A,TRUE,"GENERAL";"TAB3",#N/A,TRUE,"GENERAL";"TAB4",#N/A,TRUE,"GENERAL";"TAB5",#N/A,TRUE,"GENERAL"}</definedName>
    <definedName name="fghhh" localSheetId="20">{"TAB1",#N/A,TRUE,"GENERAL";"TAB2",#N/A,TRUE,"GENERAL";"TAB3",#N/A,TRUE,"GENERAL";"TAB4",#N/A,TRUE,"GENERAL";"TAB5",#N/A,TRUE,"GENERAL"}</definedName>
    <definedName name="fghhh" localSheetId="21">{"TAB1",#N/A,TRUE,"GENERAL";"TAB2",#N/A,TRUE,"GENERAL";"TAB3",#N/A,TRUE,"GENERAL";"TAB4",#N/A,TRUE,"GENERAL";"TAB5",#N/A,TRUE,"GENERAL"}</definedName>
    <definedName name="fghhh" localSheetId="9">{"TAB1",#N/A,TRUE,"GENERAL";"TAB2",#N/A,TRUE,"GENERAL";"TAB3",#N/A,TRUE,"GENERAL";"TAB4",#N/A,TRUE,"GENERAL";"TAB5",#N/A,TRUE,"GENERAL"}</definedName>
    <definedName name="fghhh" localSheetId="19">{"TAB1",#N/A,TRUE,"GENERAL";"TAB2",#N/A,TRUE,"GENERAL";"TAB3",#N/A,TRUE,"GENERAL";"TAB4",#N/A,TRUE,"GENERAL";"TAB5",#N/A,TRUE,"GENERAL"}</definedName>
    <definedName name="fghhh" localSheetId="28">{"TAB1",#N/A,TRUE,"GENERAL";"TAB2",#N/A,TRUE,"GENERAL";"TAB3",#N/A,TRUE,"GENERAL";"TAB4",#N/A,TRUE,"GENERAL";"TAB5",#N/A,TRUE,"GENERAL"}</definedName>
    <definedName name="fghhh" localSheetId="29">{"TAB1",#N/A,TRUE,"GENERAL";"TAB2",#N/A,TRUE,"GENERAL";"TAB3",#N/A,TRUE,"GENERAL";"TAB4",#N/A,TRUE,"GENERAL";"TAB5",#N/A,TRUE,"GENERAL"}</definedName>
    <definedName name="fghhh">{"TAB1",#N/A,TRUE,"GENERAL";"TAB2",#N/A,TRUE,"GENERAL";"TAB3",#N/A,TRUE,"GENERAL";"TAB4",#N/A,TRUE,"GENERAL";"TAB5",#N/A,TRUE,"GENERAL"}</definedName>
    <definedName name="fghsfgh" localSheetId="39">{"via1",#N/A,TRUE,"general";"via2",#N/A,TRUE,"general";"via3",#N/A,TRUE,"general"}</definedName>
    <definedName name="fghsfgh" localSheetId="20">{"via1",#N/A,TRUE,"general";"via2",#N/A,TRUE,"general";"via3",#N/A,TRUE,"general"}</definedName>
    <definedName name="fghsfgh" localSheetId="21">{"via1",#N/A,TRUE,"general";"via2",#N/A,TRUE,"general";"via3",#N/A,TRUE,"general"}</definedName>
    <definedName name="fghsfgh" localSheetId="9">{"via1",#N/A,TRUE,"general";"via2",#N/A,TRUE,"general";"via3",#N/A,TRUE,"general"}</definedName>
    <definedName name="fghsfgh" localSheetId="19">{"via1",#N/A,TRUE,"general";"via2",#N/A,TRUE,"general";"via3",#N/A,TRUE,"general"}</definedName>
    <definedName name="fghsfgh" localSheetId="28">{"via1",#N/A,TRUE,"general";"via2",#N/A,TRUE,"general";"via3",#N/A,TRUE,"general"}</definedName>
    <definedName name="fghsfgh" localSheetId="29">{"via1",#N/A,TRUE,"general";"via2",#N/A,TRUE,"general";"via3",#N/A,TRUE,"general"}</definedName>
    <definedName name="fghsfgh">{"via1",#N/A,TRUE,"general";"via2",#N/A,TRUE,"general";"via3",#N/A,TRUE,"general"}</definedName>
    <definedName name="fght" localSheetId="39">{"TAB1",#N/A,TRUE,"GENERAL";"TAB2",#N/A,TRUE,"GENERAL";"TAB3",#N/A,TRUE,"GENERAL";"TAB4",#N/A,TRUE,"GENERAL";"TAB5",#N/A,TRUE,"GENERAL"}</definedName>
    <definedName name="fght" localSheetId="20">{"TAB1",#N/A,TRUE,"GENERAL";"TAB2",#N/A,TRUE,"GENERAL";"TAB3",#N/A,TRUE,"GENERAL";"TAB4",#N/A,TRUE,"GENERAL";"TAB5",#N/A,TRUE,"GENERAL"}</definedName>
    <definedName name="fght" localSheetId="21">{"TAB1",#N/A,TRUE,"GENERAL";"TAB2",#N/A,TRUE,"GENERAL";"TAB3",#N/A,TRUE,"GENERAL";"TAB4",#N/A,TRUE,"GENERAL";"TAB5",#N/A,TRUE,"GENERAL"}</definedName>
    <definedName name="fght" localSheetId="9">{"TAB1",#N/A,TRUE,"GENERAL";"TAB2",#N/A,TRUE,"GENERAL";"TAB3",#N/A,TRUE,"GENERAL";"TAB4",#N/A,TRUE,"GENERAL";"TAB5",#N/A,TRUE,"GENERAL"}</definedName>
    <definedName name="fght" localSheetId="19">{"TAB1",#N/A,TRUE,"GENERAL";"TAB2",#N/A,TRUE,"GENERAL";"TAB3",#N/A,TRUE,"GENERAL";"TAB4",#N/A,TRUE,"GENERAL";"TAB5",#N/A,TRUE,"GENERAL"}</definedName>
    <definedName name="fght" localSheetId="28">{"TAB1",#N/A,TRUE,"GENERAL";"TAB2",#N/A,TRUE,"GENERAL";"TAB3",#N/A,TRUE,"GENERAL";"TAB4",#N/A,TRUE,"GENERAL";"TAB5",#N/A,TRUE,"GENERAL"}</definedName>
    <definedName name="fght" localSheetId="29">{"TAB1",#N/A,TRUE,"GENERAL";"TAB2",#N/A,TRUE,"GENERAL";"TAB3",#N/A,TRUE,"GENERAL";"TAB4",#N/A,TRUE,"GENERAL";"TAB5",#N/A,TRUE,"GENERAL"}</definedName>
    <definedName name="fght">{"TAB1",#N/A,TRUE,"GENERAL";"TAB2",#N/A,TRUE,"GENERAL";"TAB3",#N/A,TRUE,"GENERAL";"TAB4",#N/A,TRUE,"GENERAL";"TAB5",#N/A,TRUE,"GENERAL"}</definedName>
    <definedName name="fgjgryi" localSheetId="39">{"TAB1",#N/A,TRUE,"GENERAL";"TAB2",#N/A,TRUE,"GENERAL";"TAB3",#N/A,TRUE,"GENERAL";"TAB4",#N/A,TRUE,"GENERAL";"TAB5",#N/A,TRUE,"GENERAL"}</definedName>
    <definedName name="fgjgryi" localSheetId="20">{"TAB1",#N/A,TRUE,"GENERAL";"TAB2",#N/A,TRUE,"GENERAL";"TAB3",#N/A,TRUE,"GENERAL";"TAB4",#N/A,TRUE,"GENERAL";"TAB5",#N/A,TRUE,"GENERAL"}</definedName>
    <definedName name="fgjgryi" localSheetId="21">{"TAB1",#N/A,TRUE,"GENERAL";"TAB2",#N/A,TRUE,"GENERAL";"TAB3",#N/A,TRUE,"GENERAL";"TAB4",#N/A,TRUE,"GENERAL";"TAB5",#N/A,TRUE,"GENERAL"}</definedName>
    <definedName name="fgjgryi" localSheetId="9">{"TAB1",#N/A,TRUE,"GENERAL";"TAB2",#N/A,TRUE,"GENERAL";"TAB3",#N/A,TRUE,"GENERAL";"TAB4",#N/A,TRUE,"GENERAL";"TAB5",#N/A,TRUE,"GENERAL"}</definedName>
    <definedName name="fgjgryi" localSheetId="19">{"TAB1",#N/A,TRUE,"GENERAL";"TAB2",#N/A,TRUE,"GENERAL";"TAB3",#N/A,TRUE,"GENERAL";"TAB4",#N/A,TRUE,"GENERAL";"TAB5",#N/A,TRUE,"GENERAL"}</definedName>
    <definedName name="fgjgryi" localSheetId="28">{"TAB1",#N/A,TRUE,"GENERAL";"TAB2",#N/A,TRUE,"GENERAL";"TAB3",#N/A,TRUE,"GENERAL";"TAB4",#N/A,TRUE,"GENERAL";"TAB5",#N/A,TRUE,"GENERAL"}</definedName>
    <definedName name="fgjgryi" localSheetId="29">{"TAB1",#N/A,TRUE,"GENERAL";"TAB2",#N/A,TRUE,"GENERAL";"TAB3",#N/A,TRUE,"GENERAL";"TAB4",#N/A,TRUE,"GENERAL";"TAB5",#N/A,TRUE,"GENERAL"}</definedName>
    <definedName name="fgjgryi">{"TAB1",#N/A,TRUE,"GENERAL";"TAB2",#N/A,TRUE,"GENERAL";"TAB3",#N/A,TRUE,"GENERAL";"TAB4",#N/A,TRUE,"GENERAL";"TAB5",#N/A,TRUE,"GENERAL"}</definedName>
    <definedName name="FGV">#REF!</definedName>
    <definedName name="fhfg" localSheetId="39">{"TAB1",#N/A,TRUE,"GENERAL";"TAB2",#N/A,TRUE,"GENERAL";"TAB3",#N/A,TRUE,"GENERAL";"TAB4",#N/A,TRUE,"GENERAL";"TAB5",#N/A,TRUE,"GENERAL"}</definedName>
    <definedName name="fhfg" localSheetId="20">{"TAB1",#N/A,TRUE,"GENERAL";"TAB2",#N/A,TRUE,"GENERAL";"TAB3",#N/A,TRUE,"GENERAL";"TAB4",#N/A,TRUE,"GENERAL";"TAB5",#N/A,TRUE,"GENERAL"}</definedName>
    <definedName name="fhfg" localSheetId="21">{"TAB1",#N/A,TRUE,"GENERAL";"TAB2",#N/A,TRUE,"GENERAL";"TAB3",#N/A,TRUE,"GENERAL";"TAB4",#N/A,TRUE,"GENERAL";"TAB5",#N/A,TRUE,"GENERAL"}</definedName>
    <definedName name="fhfg" localSheetId="9">{"TAB1",#N/A,TRUE,"GENERAL";"TAB2",#N/A,TRUE,"GENERAL";"TAB3",#N/A,TRUE,"GENERAL";"TAB4",#N/A,TRUE,"GENERAL";"TAB5",#N/A,TRUE,"GENERAL"}</definedName>
    <definedName name="fhfg" localSheetId="19">{"TAB1",#N/A,TRUE,"GENERAL";"TAB2",#N/A,TRUE,"GENERAL";"TAB3",#N/A,TRUE,"GENERAL";"TAB4",#N/A,TRUE,"GENERAL";"TAB5",#N/A,TRUE,"GENERAL"}</definedName>
    <definedName name="fhfg" localSheetId="28">{"TAB1",#N/A,TRUE,"GENERAL";"TAB2",#N/A,TRUE,"GENERAL";"TAB3",#N/A,TRUE,"GENERAL";"TAB4",#N/A,TRUE,"GENERAL";"TAB5",#N/A,TRUE,"GENERAL"}</definedName>
    <definedName name="fhfg" localSheetId="29">{"TAB1",#N/A,TRUE,"GENERAL";"TAB2",#N/A,TRUE,"GENERAL";"TAB3",#N/A,TRUE,"GENERAL";"TAB4",#N/A,TRUE,"GENERAL";"TAB5",#N/A,TRUE,"GENERAL"}</definedName>
    <definedName name="fhfg">{"TAB1",#N/A,TRUE,"GENERAL";"TAB2",#N/A,TRUE,"GENERAL";"TAB3",#N/A,TRUE,"GENERAL";"TAB4",#N/A,TRUE,"GENERAL";"TAB5",#N/A,TRUE,"GENERAL"}</definedName>
    <definedName name="fhfgh" localSheetId="39">{"via1",#N/A,TRUE,"general";"via2",#N/A,TRUE,"general";"via3",#N/A,TRUE,"general"}</definedName>
    <definedName name="fhfgh" localSheetId="20">{"via1",#N/A,TRUE,"general";"via2",#N/A,TRUE,"general";"via3",#N/A,TRUE,"general"}</definedName>
    <definedName name="fhfgh" localSheetId="21">{"via1",#N/A,TRUE,"general";"via2",#N/A,TRUE,"general";"via3",#N/A,TRUE,"general"}</definedName>
    <definedName name="fhfgh" localSheetId="9">{"via1",#N/A,TRUE,"general";"via2",#N/A,TRUE,"general";"via3",#N/A,TRUE,"general"}</definedName>
    <definedName name="fhfgh" localSheetId="19">{"via1",#N/A,TRUE,"general";"via2",#N/A,TRUE,"general";"via3",#N/A,TRUE,"general"}</definedName>
    <definedName name="fhfgh" localSheetId="28">{"via1",#N/A,TRUE,"general";"via2",#N/A,TRUE,"general";"via3",#N/A,TRUE,"general"}</definedName>
    <definedName name="fhfgh" localSheetId="29">{"via1",#N/A,TRUE,"general";"via2",#N/A,TRUE,"general";"via3",#N/A,TRUE,"general"}</definedName>
    <definedName name="fhfgh">{"via1",#N/A,TRUE,"general";"via2",#N/A,TRUE,"general";"via3",#N/A,TRUE,"general"}</definedName>
    <definedName name="fhgh" localSheetId="39">{"via1",#N/A,TRUE,"general";"via2",#N/A,TRUE,"general";"via3",#N/A,TRUE,"general"}</definedName>
    <definedName name="fhgh" localSheetId="20">{"via1",#N/A,TRUE,"general";"via2",#N/A,TRUE,"general";"via3",#N/A,TRUE,"general"}</definedName>
    <definedName name="fhgh" localSheetId="21">{"via1",#N/A,TRUE,"general";"via2",#N/A,TRUE,"general";"via3",#N/A,TRUE,"general"}</definedName>
    <definedName name="fhgh" localSheetId="9">{"via1",#N/A,TRUE,"general";"via2",#N/A,TRUE,"general";"via3",#N/A,TRUE,"general"}</definedName>
    <definedName name="fhgh" localSheetId="19">{"via1",#N/A,TRUE,"general";"via2",#N/A,TRUE,"general";"via3",#N/A,TRUE,"general"}</definedName>
    <definedName name="fhgh" localSheetId="28">{"via1",#N/A,TRUE,"general";"via2",#N/A,TRUE,"general";"via3",#N/A,TRUE,"general"}</definedName>
    <definedName name="fhgh" localSheetId="29">{"via1",#N/A,TRUE,"general";"via2",#N/A,TRUE,"general";"via3",#N/A,TRUE,"general"}</definedName>
    <definedName name="fhgh">{"via1",#N/A,TRUE,"general";"via2",#N/A,TRUE,"general";"via3",#N/A,TRUE,"general"}</definedName>
    <definedName name="FHGTRDHGT">#REF!</definedName>
    <definedName name="fhpltyunh" localSheetId="39">{"via1",#N/A,TRUE,"general";"via2",#N/A,TRUE,"general";"via3",#N/A,TRUE,"general"}</definedName>
    <definedName name="fhpltyunh" localSheetId="20">{"via1",#N/A,TRUE,"general";"via2",#N/A,TRUE,"general";"via3",#N/A,TRUE,"general"}</definedName>
    <definedName name="fhpltyunh" localSheetId="21">{"via1",#N/A,TRUE,"general";"via2",#N/A,TRUE,"general";"via3",#N/A,TRUE,"general"}</definedName>
    <definedName name="fhpltyunh" localSheetId="9">{"via1",#N/A,TRUE,"general";"via2",#N/A,TRUE,"general";"via3",#N/A,TRUE,"general"}</definedName>
    <definedName name="fhpltyunh" localSheetId="19">{"via1",#N/A,TRUE,"general";"via2",#N/A,TRUE,"general";"via3",#N/A,TRUE,"general"}</definedName>
    <definedName name="fhpltyunh" localSheetId="28">{"via1",#N/A,TRUE,"general";"via2",#N/A,TRUE,"general";"via3",#N/A,TRUE,"general"}</definedName>
    <definedName name="fhpltyunh" localSheetId="29">{"via1",#N/A,TRUE,"general";"via2",#N/A,TRUE,"general";"via3",#N/A,TRUE,"general"}</definedName>
    <definedName name="fhpltyunh">{"via1",#N/A,TRUE,"general";"via2",#N/A,TRUE,"general";"via3",#N/A,TRUE,"general"}</definedName>
    <definedName name="fi">#REF!</definedName>
    <definedName name="fid" localSheetId="28">[175]Fiducia!$F$7</definedName>
    <definedName name="fid" localSheetId="29">[175]Fiducia!$F$7</definedName>
    <definedName name="fid">[176]Fiducia!$F$7</definedName>
    <definedName name="FILTRANTE" localSheetId="39">#REF!</definedName>
    <definedName name="FILTRANTE" localSheetId="20">#REF!</definedName>
    <definedName name="FILTRANTE" localSheetId="21">#REF!</definedName>
    <definedName name="FILTRANTE" localSheetId="9">#REF!</definedName>
    <definedName name="FILTRANTE" localSheetId="19">#REF!</definedName>
    <definedName name="FILTRANTE">#REF!</definedName>
    <definedName name="Fin_de_semana">'[173]días habiles 2015'!$M$1:$M$2</definedName>
    <definedName name="Finaliza">[123]Design!$B$275</definedName>
    <definedName name="Financialpb" localSheetId="20" hidden="1">#REF!</definedName>
    <definedName name="Financialpb" localSheetId="21" hidden="1">#REF!</definedName>
    <definedName name="Financialpb" localSheetId="13" hidden="1">#REF!</definedName>
    <definedName name="Financialpb" localSheetId="17" hidden="1">#REF!</definedName>
    <definedName name="Financialpb" localSheetId="18" hidden="1">#REF!</definedName>
    <definedName name="Financialpb" localSheetId="12" hidden="1">#REF!</definedName>
    <definedName name="Financialpb" hidden="1">#REF!</definedName>
    <definedName name="Financialpb2" localSheetId="20" hidden="1">#REF!</definedName>
    <definedName name="Financialpb2" localSheetId="21" hidden="1">#REF!</definedName>
    <definedName name="Financialpb2" localSheetId="13" hidden="1">#REF!</definedName>
    <definedName name="Financialpb2" hidden="1">#REF!</definedName>
    <definedName name="FINISHER" localSheetId="39">#REF!</definedName>
    <definedName name="FINISHER">#REF!</definedName>
    <definedName name="FixEquip_hrs">'[177]Fixed Plant'!$F$109:$AA$168</definedName>
    <definedName name="fk">#REF!</definedName>
    <definedName name="Fleet">#REF!</definedName>
    <definedName name="FleetC">#REF!</definedName>
    <definedName name="fleetRecNo">[178]Fleet!$B$12:$B$80</definedName>
    <definedName name="FleetS">#REF!</definedName>
    <definedName name="FleetW">#REF!</definedName>
    <definedName name="flq">#REF!</definedName>
    <definedName name="FlsSumDetail">#REF!</definedName>
    <definedName name="FlsSumHeading">#REF!</definedName>
    <definedName name="FlsTotDetail">#REF!</definedName>
    <definedName name="FlsTotHeading">#REF!</definedName>
    <definedName name="Fluid">'[179]Actual Data (MAP)'!$E$1:$F$8</definedName>
    <definedName name="FM">#REF!</definedName>
    <definedName name="fma" localSheetId="13">'Factor Multiplicador'!$L$41</definedName>
    <definedName name="fma" localSheetId="17">'[42]Factor Multiplicador'!$L$41</definedName>
    <definedName name="fma" localSheetId="18">'[42]Factor Multiplicador'!$L$41</definedName>
    <definedName name="fma" localSheetId="28">'[43]Factor Multiplicador'!$L$41</definedName>
    <definedName name="fma" localSheetId="29">'[43]Factor Multiplicador'!$L$41</definedName>
    <definedName name="fma" localSheetId="12">'[42]Factor Multiplicador'!$L$41</definedName>
    <definedName name="fma">'[44]Factor Multiplicador'!$L$41</definedName>
    <definedName name="fmb" localSheetId="13">'Factor Multiplicador'!$Z$41</definedName>
    <definedName name="fmb" localSheetId="17">'[42]Factor Multiplicador'!$Z$41</definedName>
    <definedName name="fmb" localSheetId="18">'[42]Factor Multiplicador'!$Z$41</definedName>
    <definedName name="fmb" localSheetId="28">'[43]Factor Multiplicador'!$Z$41</definedName>
    <definedName name="fmb" localSheetId="29">'[43]Factor Multiplicador'!$Z$41</definedName>
    <definedName name="fmb" localSheetId="12">'[42]Factor Multiplicador'!$Z$41</definedName>
    <definedName name="fmb">'[44]Factor Multiplicador'!$Z$41</definedName>
    <definedName name="fmc" localSheetId="17">'[42]Factor Multiplicador'!$L$86</definedName>
    <definedName name="fmc" localSheetId="18">'[42]Factor Multiplicador'!$L$86</definedName>
    <definedName name="fmc" localSheetId="28">'[43]Factor Multiplicador'!$L$86</definedName>
    <definedName name="fmc" localSheetId="29">'[43]Factor Multiplicador'!$L$86</definedName>
    <definedName name="fmc" localSheetId="12">'[42]Factor Multiplicador'!$L$86</definedName>
    <definedName name="fmc">'[44]Factor Multiplicador'!$L$86</definedName>
    <definedName name="FMO">#REF!</definedName>
    <definedName name="FO">'[74]CIRCUITOS CODENSA'!#REF!</definedName>
    <definedName name="FOB_POINT">#REF!</definedName>
    <definedName name="forapproval">'[180]LISTS-FOR INTERNAL USE ONLY'!$B$16:$B$25</definedName>
    <definedName name="form_calcmod">'[181]CALC-MOD'!$C$4:$C$11,'[181]CALC-MOD'!$G$4:$G$11,'[181]CALC-MOD'!$C$16:$C$23,'[181]CALC-MOD'!$G$16:$G$23,'[181]CALC-MOD'!$C$29:$C$36,'[181]CALC-MOD'!$B$43:$B$47</definedName>
    <definedName name="form_cons">[182]CONS!$F$14:$F$81,[182]CONS!$G$13:$G$81,[182]CONS!$G$87:$G$90,[182]CONS!$K$13:$K$22,[182]CONS!$M$13:$M$21</definedName>
    <definedName name="form_desglose">#REF!,#REF!</definedName>
    <definedName name="form_equi">[182]EQUI!$D$15:$E$45,[182]EQUI!$E$46,[182]EQUI!$D$52:$E$86,[182]EQUI!$E$87,[182]EQUI!$D$94:$E$109,[182]EQUI!$E$110,[182]EQUI!$D$116:$E$122,[182]EQUI!$E$123,[182]EQUI!$D$131:$E$136,[182]EQUI!$E$137,[182]EQUI!$E$140,[182]EQUI!$D$146:$E$159,[182]EQUI!$E$161,[182]EQUI!$I$2:$I$14,[182]EQUI!$K$2:$K$13</definedName>
    <definedName name="form_indir">[181]INDIR!$C$17:$M$22,[181]INDIR!$O$17:$P$22,[181]INDIR!$R$17:$R$23,[181]INDIR!$C$25:$M$26,[181]INDIR!$O$25:$P$26,[181]INDIR!$R$25:$R$27,[181]INDIR!$C$32:$M$33,[181]INDIR!$O$32:$P$33,[181]INDIR!$R$32:$R$34,[181]INDIR!$R$37,[181]INDIR!$P$43:$P$49,[181]INDIR!$R$43:$R$50,[181]INDIR!$P$54:$P$59,[181]INDIR!$R$54:$R$60,[181]INDIR!$P$65:$P$67,[181]INDIR!$R$65:$R$68,[181]INDIR!$R$71</definedName>
    <definedName name="form_otrosmod">'[182]OTROS MO'!$C$15:$D$19,'[182]OTROS MO'!$F$15:$G$19,'[182]OTROS MO'!$H$15:$H$20,'[182]OTROS MO'!$F$25:$F$26,'[182]OTROS MO'!$H$25:$H$27,'[182]OTROS MO'!$F$33:$F$34,'[182]OTROS MO'!$H$33:$H$35,'[182]OTROS MO'!$H$38</definedName>
    <definedName name="form_resumen">#REF!,#REF!,#REF!,#REF!,#REF!,#REF!,#REF!,#REF!,#REF!,#REF!,#REF!</definedName>
    <definedName name="form_subcon">#REF!,#REF!</definedName>
    <definedName name="form_superv">[181]SUPERV!$C$17:$L$23,[181]SUPERV!$N$17:$O$23,[181]SUPERV!$Q$17:$Q$24</definedName>
    <definedName name="formadepago">#REF!</definedName>
    <definedName name="FORMALETA">[52]Materiales!$F$37</definedName>
    <definedName name="FORMALETAM2">#REF!</definedName>
    <definedName name="Formaletas">'[33]LISTADO '!$L$5</definedName>
    <definedName name="Format">#REF!</definedName>
    <definedName name="formularioCantidades">#REF!</definedName>
    <definedName name="FP">[183]PRECIOS!$E$3</definedName>
    <definedName name="fpa" localSheetId="13">'[41]Mano de Obra'!$I$72</definedName>
    <definedName name="fpa" localSheetId="17">'[42]Mano de Obra'!$I$73</definedName>
    <definedName name="fpa" localSheetId="18">'[42]Mano de Obra'!$I$73</definedName>
    <definedName name="fpa" localSheetId="28">'[43]Factor Prestacional'!$L$31</definedName>
    <definedName name="fpa" localSheetId="29">'[43]Factor Prestacional'!$L$31</definedName>
    <definedName name="fpa" localSheetId="12">'[42]Mano de Obra'!$I$73</definedName>
    <definedName name="fpa">'[44]Factor Prestacional'!$L$31</definedName>
    <definedName name="fpb" localSheetId="13">'[41]Mano de Obra'!$I$91</definedName>
    <definedName name="fpb" localSheetId="17">'[42]Mano de Obra'!$I$92</definedName>
    <definedName name="fpb" localSheetId="18">'[42]Mano de Obra'!$I$92</definedName>
    <definedName name="fpb" localSheetId="28">'[43]Factor Prestacional'!$Z$31</definedName>
    <definedName name="fpb" localSheetId="29">'[43]Factor Prestacional'!$Z$31</definedName>
    <definedName name="fpb" localSheetId="12">'[42]Mano de Obra'!$I$92</definedName>
    <definedName name="fpb">'[44]Factor Prestacional'!$Z$31</definedName>
    <definedName name="FPrestacional">[184]PlanCero!$D$8+[184]PlanCero!$D$9</definedName>
    <definedName name="frbgsd" localSheetId="39">{"TAB1",#N/A,TRUE,"GENERAL";"TAB2",#N/A,TRUE,"GENERAL";"TAB3",#N/A,TRUE,"GENERAL";"TAB4",#N/A,TRUE,"GENERAL";"TAB5",#N/A,TRUE,"GENERAL"}</definedName>
    <definedName name="frbgsd" localSheetId="20">{"TAB1",#N/A,TRUE,"GENERAL";"TAB2",#N/A,TRUE,"GENERAL";"TAB3",#N/A,TRUE,"GENERAL";"TAB4",#N/A,TRUE,"GENERAL";"TAB5",#N/A,TRUE,"GENERAL"}</definedName>
    <definedName name="frbgsd" localSheetId="21">{"TAB1",#N/A,TRUE,"GENERAL";"TAB2",#N/A,TRUE,"GENERAL";"TAB3",#N/A,TRUE,"GENERAL";"TAB4",#N/A,TRUE,"GENERAL";"TAB5",#N/A,TRUE,"GENERAL"}</definedName>
    <definedName name="frbgsd" localSheetId="9">{"TAB1",#N/A,TRUE,"GENERAL";"TAB2",#N/A,TRUE,"GENERAL";"TAB3",#N/A,TRUE,"GENERAL";"TAB4",#N/A,TRUE,"GENERAL";"TAB5",#N/A,TRUE,"GENERAL"}</definedName>
    <definedName name="frbgsd" localSheetId="19">{"TAB1",#N/A,TRUE,"GENERAL";"TAB2",#N/A,TRUE,"GENERAL";"TAB3",#N/A,TRUE,"GENERAL";"TAB4",#N/A,TRUE,"GENERAL";"TAB5",#N/A,TRUE,"GENERAL"}</definedName>
    <definedName name="frbgsd" localSheetId="28">{"TAB1",#N/A,TRUE,"GENERAL";"TAB2",#N/A,TRUE,"GENERAL";"TAB3",#N/A,TRUE,"GENERAL";"TAB4",#N/A,TRUE,"GENERAL";"TAB5",#N/A,TRUE,"GENERAL"}</definedName>
    <definedName name="frbgsd" localSheetId="29">{"TAB1",#N/A,TRUE,"GENERAL";"TAB2",#N/A,TRUE,"GENERAL";"TAB3",#N/A,TRUE,"GENERAL";"TAB4",#N/A,TRUE,"GENERAL";"TAB5",#N/A,TRUE,"GENERAL"}</definedName>
    <definedName name="frbgsd">{"TAB1",#N/A,TRUE,"GENERAL";"TAB2",#N/A,TRUE,"GENERAL";"TAB3",#N/A,TRUE,"GENERAL";"TAB4",#N/A,TRUE,"GENERAL";"TAB5",#N/A,TRUE,"GENERAL"}</definedName>
    <definedName name="FrecInctoMmtoAnno">#REF!</definedName>
    <definedName name="FrecInctoMmtoAno">#REF!</definedName>
    <definedName name="frefr" localSheetId="39">{"via1",#N/A,TRUE,"general";"via2",#N/A,TRUE,"general";"via3",#N/A,TRUE,"general"}</definedName>
    <definedName name="frefr" localSheetId="20">{"via1",#N/A,TRUE,"general";"via2",#N/A,TRUE,"general";"via3",#N/A,TRUE,"general"}</definedName>
    <definedName name="frefr" localSheetId="21">{"via1",#N/A,TRUE,"general";"via2",#N/A,TRUE,"general";"via3",#N/A,TRUE,"general"}</definedName>
    <definedName name="frefr" localSheetId="9">{"via1",#N/A,TRUE,"general";"via2",#N/A,TRUE,"general";"via3",#N/A,TRUE,"general"}</definedName>
    <definedName name="frefr" localSheetId="19">{"via1",#N/A,TRUE,"general";"via2",#N/A,TRUE,"general";"via3",#N/A,TRUE,"general"}</definedName>
    <definedName name="frefr" localSheetId="28">{"via1",#N/A,TRUE,"general";"via2",#N/A,TRUE,"general";"via3",#N/A,TRUE,"general"}</definedName>
    <definedName name="frefr" localSheetId="29">{"via1",#N/A,TRUE,"general";"via2",#N/A,TRUE,"general";"via3",#N/A,TRUE,"general"}</definedName>
    <definedName name="frefr">{"via1",#N/A,TRUE,"general";"via2",#N/A,TRUE,"general";"via3",#N/A,TRUE,"general"}</definedName>
    <definedName name="frfa" localSheetId="39">{"via1",#N/A,TRUE,"general";"via2",#N/A,TRUE,"general";"via3",#N/A,TRUE,"general"}</definedName>
    <definedName name="frfa" localSheetId="20">{"via1",#N/A,TRUE,"general";"via2",#N/A,TRUE,"general";"via3",#N/A,TRUE,"general"}</definedName>
    <definedName name="frfa" localSheetId="21">{"via1",#N/A,TRUE,"general";"via2",#N/A,TRUE,"general";"via3",#N/A,TRUE,"general"}</definedName>
    <definedName name="frfa" localSheetId="9">{"via1",#N/A,TRUE,"general";"via2",#N/A,TRUE,"general";"via3",#N/A,TRUE,"general"}</definedName>
    <definedName name="frfa" localSheetId="19">{"via1",#N/A,TRUE,"general";"via2",#N/A,TRUE,"general";"via3",#N/A,TRUE,"general"}</definedName>
    <definedName name="frfa" localSheetId="28">{"via1",#N/A,TRUE,"general";"via2",#N/A,TRUE,"general";"via3",#N/A,TRUE,"general"}</definedName>
    <definedName name="frfa" localSheetId="29">{"via1",#N/A,TRUE,"general";"via2",#N/A,TRUE,"general";"via3",#N/A,TRUE,"general"}</definedName>
    <definedName name="frfa">{"via1",#N/A,TRUE,"general";"via2",#N/A,TRUE,"general";"via3",#N/A,TRUE,"general"}</definedName>
    <definedName name="frfr" localSheetId="39">{"TAB1",#N/A,TRUE,"GENERAL";"TAB2",#N/A,TRUE,"GENERAL";"TAB3",#N/A,TRUE,"GENERAL";"TAB4",#N/A,TRUE,"GENERAL";"TAB5",#N/A,TRUE,"GENERAL"}</definedName>
    <definedName name="frfr" localSheetId="20">{"TAB1",#N/A,TRUE,"GENERAL";"TAB2",#N/A,TRUE,"GENERAL";"TAB3",#N/A,TRUE,"GENERAL";"TAB4",#N/A,TRUE,"GENERAL";"TAB5",#N/A,TRUE,"GENERAL"}</definedName>
    <definedName name="frfr" localSheetId="21">{"TAB1",#N/A,TRUE,"GENERAL";"TAB2",#N/A,TRUE,"GENERAL";"TAB3",#N/A,TRUE,"GENERAL";"TAB4",#N/A,TRUE,"GENERAL";"TAB5",#N/A,TRUE,"GENERAL"}</definedName>
    <definedName name="frfr" localSheetId="9">{"TAB1",#N/A,TRUE,"GENERAL";"TAB2",#N/A,TRUE,"GENERAL";"TAB3",#N/A,TRUE,"GENERAL";"TAB4",#N/A,TRUE,"GENERAL";"TAB5",#N/A,TRUE,"GENERAL"}</definedName>
    <definedName name="frfr" localSheetId="19">{"TAB1",#N/A,TRUE,"GENERAL";"TAB2",#N/A,TRUE,"GENERAL";"TAB3",#N/A,TRUE,"GENERAL";"TAB4",#N/A,TRUE,"GENERAL";"TAB5",#N/A,TRUE,"GENERAL"}</definedName>
    <definedName name="frfr" localSheetId="28">{"TAB1",#N/A,TRUE,"GENERAL";"TAB2",#N/A,TRUE,"GENERAL";"TAB3",#N/A,TRUE,"GENERAL";"TAB4",#N/A,TRUE,"GENERAL";"TAB5",#N/A,TRUE,"GENERAL"}</definedName>
    <definedName name="frfr" localSheetId="29">{"TAB1",#N/A,TRUE,"GENERAL";"TAB2",#N/A,TRUE,"GENERAL";"TAB3",#N/A,TRUE,"GENERAL";"TAB4",#N/A,TRUE,"GENERAL";"TAB5",#N/A,TRUE,"GENERAL"}</definedName>
    <definedName name="frfr">{"TAB1",#N/A,TRUE,"GENERAL";"TAB2",#N/A,TRUE,"GENERAL";"TAB3",#N/A,TRUE,"GENERAL";"TAB4",#N/A,TRUE,"GENERAL";"TAB5",#N/A,TRUE,"GENERAL"}</definedName>
    <definedName name="FSERFFSF">#REF!</definedName>
    <definedName name="FSM">[185]Salarios!$E$44</definedName>
    <definedName name="FT">#REF!</definedName>
    <definedName name="Fu">[14]Cálculo!$B$40</definedName>
    <definedName name="Fub">[14]Cálculo!$B$36</definedName>
    <definedName name="Fuel">'[108]Budget Assumptions'!$J$3</definedName>
    <definedName name="FuelControl">#REF!</definedName>
    <definedName name="FuelCostos">#REF!</definedName>
    <definedName name="FuelFactorA">#REF!</definedName>
    <definedName name="FuelFactorB">#REF!</definedName>
    <definedName name="FuelMedian">#REF!</definedName>
    <definedName name="FuelPrice">[77]Parameters!$R$18</definedName>
    <definedName name="Full_Print">#REF!</definedName>
    <definedName name="Fup">[14]Cálculo!$B$38</definedName>
    <definedName name="fv">#REF!</definedName>
    <definedName name="fwff" localSheetId="39">{"via1",#N/A,TRUE,"general";"via2",#N/A,TRUE,"general";"via3",#N/A,TRUE,"general"}</definedName>
    <definedName name="fwff" localSheetId="20">{"via1",#N/A,TRUE,"general";"via2",#N/A,TRUE,"general";"via3",#N/A,TRUE,"general"}</definedName>
    <definedName name="fwff" localSheetId="21">{"via1",#N/A,TRUE,"general";"via2",#N/A,TRUE,"general";"via3",#N/A,TRUE,"general"}</definedName>
    <definedName name="fwff" localSheetId="9">{"via1",#N/A,TRUE,"general";"via2",#N/A,TRUE,"general";"via3",#N/A,TRUE,"general"}</definedName>
    <definedName name="fwff" localSheetId="19">{"via1",#N/A,TRUE,"general";"via2",#N/A,TRUE,"general";"via3",#N/A,TRUE,"general"}</definedName>
    <definedName name="fwff" localSheetId="28">{"via1",#N/A,TRUE,"general";"via2",#N/A,TRUE,"general";"via3",#N/A,TRUE,"general"}</definedName>
    <definedName name="fwff" localSheetId="29">{"via1",#N/A,TRUE,"general";"via2",#N/A,TRUE,"general";"via3",#N/A,TRUE,"general"}</definedName>
    <definedName name="fwff">{"via1",#N/A,TRUE,"general";"via2",#N/A,TRUE,"general";"via3",#N/A,TRUE,"general"}</definedName>
    <definedName name="fwwe" localSheetId="39">{"via1",#N/A,TRUE,"general";"via2",#N/A,TRUE,"general";"via3",#N/A,TRUE,"general"}</definedName>
    <definedName name="fwwe" localSheetId="20">{"via1",#N/A,TRUE,"general";"via2",#N/A,TRUE,"general";"via3",#N/A,TRUE,"general"}</definedName>
    <definedName name="fwwe" localSheetId="21">{"via1",#N/A,TRUE,"general";"via2",#N/A,TRUE,"general";"via3",#N/A,TRUE,"general"}</definedName>
    <definedName name="fwwe" localSheetId="9">{"via1",#N/A,TRUE,"general";"via2",#N/A,TRUE,"general";"via3",#N/A,TRUE,"general"}</definedName>
    <definedName name="fwwe" localSheetId="19">{"via1",#N/A,TRUE,"general";"via2",#N/A,TRUE,"general";"via3",#N/A,TRUE,"general"}</definedName>
    <definedName name="fwwe" localSheetId="28">{"via1",#N/A,TRUE,"general";"via2",#N/A,TRUE,"general";"via3",#N/A,TRUE,"general"}</definedName>
    <definedName name="fwwe" localSheetId="29">{"via1",#N/A,TRUE,"general";"via2",#N/A,TRUE,"general";"via3",#N/A,TRUE,"general"}</definedName>
    <definedName name="fwwe">{"via1",#N/A,TRUE,"general";"via2",#N/A,TRUE,"general";"via3",#N/A,TRUE,"general"}</definedName>
    <definedName name="FX">#REF!</definedName>
    <definedName name="fx_rate">[147]Cover!#REF!</definedName>
    <definedName name="fy">#REF!</definedName>
    <definedName name="Fyb">[14]Cálculo!$B$35</definedName>
    <definedName name="Fyp">[14]Cálculo!$B$37</definedName>
    <definedName name="fyy">#REF!</definedName>
    <definedName name="G" localSheetId="9">#REF!</definedName>
    <definedName name="g" localSheetId="17">#REF!</definedName>
    <definedName name="g" localSheetId="18">#REF!</definedName>
    <definedName name="g" localSheetId="12">#REF!</definedName>
    <definedName name="G">#REF!</definedName>
    <definedName name="g_CARPINT_METALICA_MADERA">#REF!</definedName>
    <definedName name="Ga">#REF!</definedName>
    <definedName name="GAdministrativos" localSheetId="10">#REF!</definedName>
    <definedName name="GAdministrativos" localSheetId="20">#REF!</definedName>
    <definedName name="GAdministrativos" localSheetId="21">#REF!</definedName>
    <definedName name="GAdministrativos">#REF!</definedName>
    <definedName name="GAdministrativosAl" localSheetId="10">#REF!</definedName>
    <definedName name="GAdministrativosAl" localSheetId="20">#REF!</definedName>
    <definedName name="GAdministrativosAl" localSheetId="21">#REF!</definedName>
    <definedName name="GAdministrativosAl">#REF!</definedName>
    <definedName name="GAGTHH" localSheetId="39">#REF!</definedName>
    <definedName name="GAGTHH">#REF!</definedName>
    <definedName name="Gancho">#REF!</definedName>
    <definedName name="GanSumDetail">#REF!</definedName>
    <definedName name="GanSumHeading">#REF!</definedName>
    <definedName name="GanTotalDetail">#REF!</definedName>
    <definedName name="GanTotalHeading">#REF!</definedName>
    <definedName name="GarantiaExtendida">#REF!</definedName>
    <definedName name="GarantiaExtendidaCostos">#REF!</definedName>
    <definedName name="GastosViajes" localSheetId="9">'ENSAYOS DE LABORATORIO'!#REF!</definedName>
    <definedName name="GastosViajes">#REF!</definedName>
    <definedName name="Gb">#REF!</definedName>
    <definedName name="gbbfghghj" localSheetId="39">{"TAB1",#N/A,TRUE,"GENERAL";"TAB2",#N/A,TRUE,"GENERAL";"TAB3",#N/A,TRUE,"GENERAL";"TAB4",#N/A,TRUE,"GENERAL";"TAB5",#N/A,TRUE,"GENERAL"}</definedName>
    <definedName name="gbbfghghj" localSheetId="20">{"TAB1",#N/A,TRUE,"GENERAL";"TAB2",#N/A,TRUE,"GENERAL";"TAB3",#N/A,TRUE,"GENERAL";"TAB4",#N/A,TRUE,"GENERAL";"TAB5",#N/A,TRUE,"GENERAL"}</definedName>
    <definedName name="gbbfghghj" localSheetId="21">{"TAB1",#N/A,TRUE,"GENERAL";"TAB2",#N/A,TRUE,"GENERAL";"TAB3",#N/A,TRUE,"GENERAL";"TAB4",#N/A,TRUE,"GENERAL";"TAB5",#N/A,TRUE,"GENERAL"}</definedName>
    <definedName name="gbbfghghj" localSheetId="9">{"TAB1",#N/A,TRUE,"GENERAL";"TAB2",#N/A,TRUE,"GENERAL";"TAB3",#N/A,TRUE,"GENERAL";"TAB4",#N/A,TRUE,"GENERAL";"TAB5",#N/A,TRUE,"GENERAL"}</definedName>
    <definedName name="gbbfghghj" localSheetId="19">{"TAB1",#N/A,TRUE,"GENERAL";"TAB2",#N/A,TRUE,"GENERAL";"TAB3",#N/A,TRUE,"GENERAL";"TAB4",#N/A,TRUE,"GENERAL";"TAB5",#N/A,TRUE,"GENERAL"}</definedName>
    <definedName name="gbbfghghj" localSheetId="28">{"TAB1",#N/A,TRUE,"GENERAL";"TAB2",#N/A,TRUE,"GENERAL";"TAB3",#N/A,TRUE,"GENERAL";"TAB4",#N/A,TRUE,"GENERAL";"TAB5",#N/A,TRUE,"GENERAL"}</definedName>
    <definedName name="gbbfghghj" localSheetId="29">{"TAB1",#N/A,TRUE,"GENERAL";"TAB2",#N/A,TRUE,"GENERAL";"TAB3",#N/A,TRUE,"GENERAL";"TAB4",#N/A,TRUE,"GENERAL";"TAB5",#N/A,TRUE,"GENERAL"}</definedName>
    <definedName name="gbbfghghj">{"TAB1",#N/A,TRUE,"GENERAL";"TAB2",#N/A,TRUE,"GENERAL";"TAB3",#N/A,TRUE,"GENERAL";"TAB4",#N/A,TRUE,"GENERAL";"TAB5",#N/A,TRUE,"GENERAL"}</definedName>
    <definedName name="Gc">#REF!</definedName>
    <definedName name="Gd">#REF!</definedName>
    <definedName name="gdj">#REF!</definedName>
    <definedName name="GDJNDG">3+(ROW(OFFSET(#REF!,0,0,200,1))-1)*0.0301507538</definedName>
    <definedName name="gdt" localSheetId="39">{"TAB1",#N/A,TRUE,"GENERAL";"TAB2",#N/A,TRUE,"GENERAL";"TAB3",#N/A,TRUE,"GENERAL";"TAB4",#N/A,TRUE,"GENERAL";"TAB5",#N/A,TRUE,"GENERAL"}</definedName>
    <definedName name="gdt" localSheetId="20">{"TAB1",#N/A,TRUE,"GENERAL";"TAB2",#N/A,TRUE,"GENERAL";"TAB3",#N/A,TRUE,"GENERAL";"TAB4",#N/A,TRUE,"GENERAL";"TAB5",#N/A,TRUE,"GENERAL"}</definedName>
    <definedName name="gdt" localSheetId="21">{"TAB1",#N/A,TRUE,"GENERAL";"TAB2",#N/A,TRUE,"GENERAL";"TAB3",#N/A,TRUE,"GENERAL";"TAB4",#N/A,TRUE,"GENERAL";"TAB5",#N/A,TRUE,"GENERAL"}</definedName>
    <definedName name="gdt" localSheetId="9">{"TAB1",#N/A,TRUE,"GENERAL";"TAB2",#N/A,TRUE,"GENERAL";"TAB3",#N/A,TRUE,"GENERAL";"TAB4",#N/A,TRUE,"GENERAL";"TAB5",#N/A,TRUE,"GENERAL"}</definedName>
    <definedName name="gdt" localSheetId="19">{"TAB1",#N/A,TRUE,"GENERAL";"TAB2",#N/A,TRUE,"GENERAL";"TAB3",#N/A,TRUE,"GENERAL";"TAB4",#N/A,TRUE,"GENERAL";"TAB5",#N/A,TRUE,"GENERAL"}</definedName>
    <definedName name="gdt" localSheetId="28">{"TAB1",#N/A,TRUE,"GENERAL";"TAB2",#N/A,TRUE,"GENERAL";"TAB3",#N/A,TRUE,"GENERAL";"TAB4",#N/A,TRUE,"GENERAL";"TAB5",#N/A,TRUE,"GENERAL"}</definedName>
    <definedName name="gdt" localSheetId="29">{"TAB1",#N/A,TRUE,"GENERAL";"TAB2",#N/A,TRUE,"GENERAL";"TAB3",#N/A,TRUE,"GENERAL";"TAB4",#N/A,TRUE,"GENERAL";"TAB5",#N/A,TRUE,"GENERAL"}</definedName>
    <definedName name="gdt">{"TAB1",#N/A,TRUE,"GENERAL";"TAB2",#N/A,TRUE,"GENERAL";"TAB3",#N/A,TRUE,"GENERAL";"TAB4",#N/A,TRUE,"GENERAL";"TAB5",#N/A,TRUE,"GENERAL"}</definedName>
    <definedName name="Ge">#REF!</definedName>
    <definedName name="gecolsa06">[17]Gastos!#REF!</definedName>
    <definedName name="geg" localSheetId="39">{"via1",#N/A,TRUE,"general";"via2",#N/A,TRUE,"general";"via3",#N/A,TRUE,"general"}</definedName>
    <definedName name="geg" localSheetId="20">{"via1",#N/A,TRUE,"general";"via2",#N/A,TRUE,"general";"via3",#N/A,TRUE,"general"}</definedName>
    <definedName name="geg" localSheetId="21">{"via1",#N/A,TRUE,"general";"via2",#N/A,TRUE,"general";"via3",#N/A,TRUE,"general"}</definedName>
    <definedName name="geg" localSheetId="9">{"via1",#N/A,TRUE,"general";"via2",#N/A,TRUE,"general";"via3",#N/A,TRUE,"general"}</definedName>
    <definedName name="geg" localSheetId="19">{"via1",#N/A,TRUE,"general";"via2",#N/A,TRUE,"general";"via3",#N/A,TRUE,"general"}</definedName>
    <definedName name="geg" localSheetId="28">{"via1",#N/A,TRUE,"general";"via2",#N/A,TRUE,"general";"via3",#N/A,TRUE,"general"}</definedName>
    <definedName name="geg" localSheetId="29">{"via1",#N/A,TRUE,"general";"via2",#N/A,TRUE,"general";"via3",#N/A,TRUE,"general"}</definedName>
    <definedName name="geg">{"via1",#N/A,TRUE,"general";"via2",#N/A,TRUE,"general";"via3",#N/A,TRUE,"general"}</definedName>
    <definedName name="gen" localSheetId="28">'[175]Gerencia Proyecto'!$G$47</definedName>
    <definedName name="gen" localSheetId="29">'[175]Gerencia Proyecto'!$G$47</definedName>
    <definedName name="gen">'[176]Gerencia Proyecto'!$G$47</definedName>
    <definedName name="GEOTEXTIL" localSheetId="39">#REF!</definedName>
    <definedName name="GEOTEXTIL" localSheetId="20">#REF!</definedName>
    <definedName name="GEOTEXTIL" localSheetId="21">#REF!</definedName>
    <definedName name="GEOTEXTIL" localSheetId="9">#REF!</definedName>
    <definedName name="GEOTEXTIL" localSheetId="19">#REF!</definedName>
    <definedName name="GEOTEXTIL">#REF!</definedName>
    <definedName name="gerg" localSheetId="39">{"TAB1",#N/A,TRUE,"GENERAL";"TAB2",#N/A,TRUE,"GENERAL";"TAB3",#N/A,TRUE,"GENERAL";"TAB4",#N/A,TRUE,"GENERAL";"TAB5",#N/A,TRUE,"GENERAL"}</definedName>
    <definedName name="gerg" localSheetId="20">{"TAB1",#N/A,TRUE,"GENERAL";"TAB2",#N/A,TRUE,"GENERAL";"TAB3",#N/A,TRUE,"GENERAL";"TAB4",#N/A,TRUE,"GENERAL";"TAB5",#N/A,TRUE,"GENERAL"}</definedName>
    <definedName name="gerg" localSheetId="21">{"TAB1",#N/A,TRUE,"GENERAL";"TAB2",#N/A,TRUE,"GENERAL";"TAB3",#N/A,TRUE,"GENERAL";"TAB4",#N/A,TRUE,"GENERAL";"TAB5",#N/A,TRUE,"GENERAL"}</definedName>
    <definedName name="gerg" localSheetId="9">{"TAB1",#N/A,TRUE,"GENERAL";"TAB2",#N/A,TRUE,"GENERAL";"TAB3",#N/A,TRUE,"GENERAL";"TAB4",#N/A,TRUE,"GENERAL";"TAB5",#N/A,TRUE,"GENERAL"}</definedName>
    <definedName name="gerg" localSheetId="19">{"TAB1",#N/A,TRUE,"GENERAL";"TAB2",#N/A,TRUE,"GENERAL";"TAB3",#N/A,TRUE,"GENERAL";"TAB4",#N/A,TRUE,"GENERAL";"TAB5",#N/A,TRUE,"GENERAL"}</definedName>
    <definedName name="gerg" localSheetId="28">{"TAB1",#N/A,TRUE,"GENERAL";"TAB2",#N/A,TRUE,"GENERAL";"TAB3",#N/A,TRUE,"GENERAL";"TAB4",#N/A,TRUE,"GENERAL";"TAB5",#N/A,TRUE,"GENERAL"}</definedName>
    <definedName name="gerg" localSheetId="29">{"TAB1",#N/A,TRUE,"GENERAL";"TAB2",#N/A,TRUE,"GENERAL";"TAB3",#N/A,TRUE,"GENERAL";"TAB4",#N/A,TRUE,"GENERAL";"TAB5",#N/A,TRUE,"GENERAL"}</definedName>
    <definedName name="gerg">{"TAB1",#N/A,TRUE,"GENERAL";"TAB2",#N/A,TRUE,"GENERAL";"TAB3",#N/A,TRUE,"GENERAL";"TAB4",#N/A,TRUE,"GENERAL";"TAB5",#N/A,TRUE,"GENERAL"}</definedName>
    <definedName name="gerg54" localSheetId="39">{"via1",#N/A,TRUE,"general";"via2",#N/A,TRUE,"general";"via3",#N/A,TRUE,"general"}</definedName>
    <definedName name="gerg54" localSheetId="20">{"via1",#N/A,TRUE,"general";"via2",#N/A,TRUE,"general";"via3",#N/A,TRUE,"general"}</definedName>
    <definedName name="gerg54" localSheetId="21">{"via1",#N/A,TRUE,"general";"via2",#N/A,TRUE,"general";"via3",#N/A,TRUE,"general"}</definedName>
    <definedName name="gerg54" localSheetId="9">{"via1",#N/A,TRUE,"general";"via2",#N/A,TRUE,"general";"via3",#N/A,TRUE,"general"}</definedName>
    <definedName name="gerg54" localSheetId="19">{"via1",#N/A,TRUE,"general";"via2",#N/A,TRUE,"general";"via3",#N/A,TRUE,"general"}</definedName>
    <definedName name="gerg54" localSheetId="28">{"via1",#N/A,TRUE,"general";"via2",#N/A,TRUE,"general";"via3",#N/A,TRUE,"general"}</definedName>
    <definedName name="gerg54" localSheetId="29">{"via1",#N/A,TRUE,"general";"via2",#N/A,TRUE,"general";"via3",#N/A,TRUE,"general"}</definedName>
    <definedName name="gerg54">{"via1",#N/A,TRUE,"general";"via2",#N/A,TRUE,"general";"via3",#N/A,TRUE,"general"}</definedName>
    <definedName name="gergew" localSheetId="39">{"TAB1",#N/A,TRUE,"GENERAL";"TAB2",#N/A,TRUE,"GENERAL";"TAB3",#N/A,TRUE,"GENERAL";"TAB4",#N/A,TRUE,"GENERAL";"TAB5",#N/A,TRUE,"GENERAL"}</definedName>
    <definedName name="gergew" localSheetId="20">{"TAB1",#N/A,TRUE,"GENERAL";"TAB2",#N/A,TRUE,"GENERAL";"TAB3",#N/A,TRUE,"GENERAL";"TAB4",#N/A,TRUE,"GENERAL";"TAB5",#N/A,TRUE,"GENERAL"}</definedName>
    <definedName name="gergew" localSheetId="21">{"TAB1",#N/A,TRUE,"GENERAL";"TAB2",#N/A,TRUE,"GENERAL";"TAB3",#N/A,TRUE,"GENERAL";"TAB4",#N/A,TRUE,"GENERAL";"TAB5",#N/A,TRUE,"GENERAL"}</definedName>
    <definedName name="gergew" localSheetId="9">{"TAB1",#N/A,TRUE,"GENERAL";"TAB2",#N/A,TRUE,"GENERAL";"TAB3",#N/A,TRUE,"GENERAL";"TAB4",#N/A,TRUE,"GENERAL";"TAB5",#N/A,TRUE,"GENERAL"}</definedName>
    <definedName name="gergew" localSheetId="19">{"TAB1",#N/A,TRUE,"GENERAL";"TAB2",#N/A,TRUE,"GENERAL";"TAB3",#N/A,TRUE,"GENERAL";"TAB4",#N/A,TRUE,"GENERAL";"TAB5",#N/A,TRUE,"GENERAL"}</definedName>
    <definedName name="gergew" localSheetId="28">{"TAB1",#N/A,TRUE,"GENERAL";"TAB2",#N/A,TRUE,"GENERAL";"TAB3",#N/A,TRUE,"GENERAL";"TAB4",#N/A,TRUE,"GENERAL";"TAB5",#N/A,TRUE,"GENERAL"}</definedName>
    <definedName name="gergew" localSheetId="29">{"TAB1",#N/A,TRUE,"GENERAL";"TAB2",#N/A,TRUE,"GENERAL";"TAB3",#N/A,TRUE,"GENERAL";"TAB4",#N/A,TRUE,"GENERAL";"TAB5",#N/A,TRUE,"GENERAL"}</definedName>
    <definedName name="gergew">{"TAB1",#N/A,TRUE,"GENERAL";"TAB2",#N/A,TRUE,"GENERAL";"TAB3",#N/A,TRUE,"GENERAL";"TAB4",#N/A,TRUE,"GENERAL";"TAB5",#N/A,TRUE,"GENERAL"}</definedName>
    <definedName name="gergw" localSheetId="39">{"TAB1",#N/A,TRUE,"GENERAL";"TAB2",#N/A,TRUE,"GENERAL";"TAB3",#N/A,TRUE,"GENERAL";"TAB4",#N/A,TRUE,"GENERAL";"TAB5",#N/A,TRUE,"GENERAL"}</definedName>
    <definedName name="gergw" localSheetId="20">{"TAB1",#N/A,TRUE,"GENERAL";"TAB2",#N/A,TRUE,"GENERAL";"TAB3",#N/A,TRUE,"GENERAL";"TAB4",#N/A,TRUE,"GENERAL";"TAB5",#N/A,TRUE,"GENERAL"}</definedName>
    <definedName name="gergw" localSheetId="21">{"TAB1",#N/A,TRUE,"GENERAL";"TAB2",#N/A,TRUE,"GENERAL";"TAB3",#N/A,TRUE,"GENERAL";"TAB4",#N/A,TRUE,"GENERAL";"TAB5",#N/A,TRUE,"GENERAL"}</definedName>
    <definedName name="gergw" localSheetId="9">{"TAB1",#N/A,TRUE,"GENERAL";"TAB2",#N/A,TRUE,"GENERAL";"TAB3",#N/A,TRUE,"GENERAL";"TAB4",#N/A,TRUE,"GENERAL";"TAB5",#N/A,TRUE,"GENERAL"}</definedName>
    <definedName name="gergw" localSheetId="19">{"TAB1",#N/A,TRUE,"GENERAL";"TAB2",#N/A,TRUE,"GENERAL";"TAB3",#N/A,TRUE,"GENERAL";"TAB4",#N/A,TRUE,"GENERAL";"TAB5",#N/A,TRUE,"GENERAL"}</definedName>
    <definedName name="gergw" localSheetId="28">{"TAB1",#N/A,TRUE,"GENERAL";"TAB2",#N/A,TRUE,"GENERAL";"TAB3",#N/A,TRUE,"GENERAL";"TAB4",#N/A,TRUE,"GENERAL";"TAB5",#N/A,TRUE,"GENERAL"}</definedName>
    <definedName name="gergw" localSheetId="29">{"TAB1",#N/A,TRUE,"GENERAL";"TAB2",#N/A,TRUE,"GENERAL";"TAB3",#N/A,TRUE,"GENERAL";"TAB4",#N/A,TRUE,"GENERAL";"TAB5",#N/A,TRUE,"GENERAL"}</definedName>
    <definedName name="gergw">{"TAB1",#N/A,TRUE,"GENERAL";"TAB2",#N/A,TRUE,"GENERAL";"TAB3",#N/A,TRUE,"GENERAL";"TAB4",#N/A,TRUE,"GENERAL";"TAB5",#N/A,TRUE,"GENERAL"}</definedName>
    <definedName name="gestion">'[102]Indicadores Gestión'!$B$2:$B$403</definedName>
    <definedName name="GETCostOutput">#REF!</definedName>
    <definedName name="Gf">#REF!</definedName>
    <definedName name="gfd" localSheetId="39">{"TAB1",#N/A,TRUE,"GENERAL";"TAB2",#N/A,TRUE,"GENERAL";"TAB3",#N/A,TRUE,"GENERAL";"TAB4",#N/A,TRUE,"GENERAL";"TAB5",#N/A,TRUE,"GENERAL"}</definedName>
    <definedName name="gfd" localSheetId="20">{"TAB1",#N/A,TRUE,"GENERAL";"TAB2",#N/A,TRUE,"GENERAL";"TAB3",#N/A,TRUE,"GENERAL";"TAB4",#N/A,TRUE,"GENERAL";"TAB5",#N/A,TRUE,"GENERAL"}</definedName>
    <definedName name="gfd" localSheetId="21">{"TAB1",#N/A,TRUE,"GENERAL";"TAB2",#N/A,TRUE,"GENERAL";"TAB3",#N/A,TRUE,"GENERAL";"TAB4",#N/A,TRUE,"GENERAL";"TAB5",#N/A,TRUE,"GENERAL"}</definedName>
    <definedName name="gfd" localSheetId="9">{"TAB1",#N/A,TRUE,"GENERAL";"TAB2",#N/A,TRUE,"GENERAL";"TAB3",#N/A,TRUE,"GENERAL";"TAB4",#N/A,TRUE,"GENERAL";"TAB5",#N/A,TRUE,"GENERAL"}</definedName>
    <definedName name="gfd" localSheetId="19">{"TAB1",#N/A,TRUE,"GENERAL";"TAB2",#N/A,TRUE,"GENERAL";"TAB3",#N/A,TRUE,"GENERAL";"TAB4",#N/A,TRUE,"GENERAL";"TAB5",#N/A,TRUE,"GENERAL"}</definedName>
    <definedName name="gfd" localSheetId="28">{"TAB1",#N/A,TRUE,"GENERAL";"TAB2",#N/A,TRUE,"GENERAL";"TAB3",#N/A,TRUE,"GENERAL";"TAB4",#N/A,TRUE,"GENERAL";"TAB5",#N/A,TRUE,"GENERAL"}</definedName>
    <definedName name="gfd" localSheetId="29">{"TAB1",#N/A,TRUE,"GENERAL";"TAB2",#N/A,TRUE,"GENERAL";"TAB3",#N/A,TRUE,"GENERAL";"TAB4",#N/A,TRUE,"GENERAL";"TAB5",#N/A,TRUE,"GENERAL"}</definedName>
    <definedName name="gfd">{"TAB1",#N/A,TRUE,"GENERAL";"TAB2",#N/A,TRUE,"GENERAL";"TAB3",#N/A,TRUE,"GENERAL";"TAB4",#N/A,TRUE,"GENERAL";"TAB5",#N/A,TRUE,"GENERAL"}</definedName>
    <definedName name="gfdg" localSheetId="39">{"via1",#N/A,TRUE,"general";"via2",#N/A,TRUE,"general";"via3",#N/A,TRUE,"general"}</definedName>
    <definedName name="gfdg" localSheetId="20">{"via1",#N/A,TRUE,"general";"via2",#N/A,TRUE,"general";"via3",#N/A,TRUE,"general"}</definedName>
    <definedName name="gfdg" localSheetId="21">{"via1",#N/A,TRUE,"general";"via2",#N/A,TRUE,"general";"via3",#N/A,TRUE,"general"}</definedName>
    <definedName name="gfdg" localSheetId="9">{"via1",#N/A,TRUE,"general";"via2",#N/A,TRUE,"general";"via3",#N/A,TRUE,"general"}</definedName>
    <definedName name="gfdg" localSheetId="19">{"via1",#N/A,TRUE,"general";"via2",#N/A,TRUE,"general";"via3",#N/A,TRUE,"general"}</definedName>
    <definedName name="gfdg" localSheetId="28">{"via1",#N/A,TRUE,"general";"via2",#N/A,TRUE,"general";"via3",#N/A,TRUE,"general"}</definedName>
    <definedName name="gfdg" localSheetId="29">{"via1",#N/A,TRUE,"general";"via2",#N/A,TRUE,"general";"via3",#N/A,TRUE,"general"}</definedName>
    <definedName name="gfdg">{"via1",#N/A,TRUE,"general";"via2",#N/A,TRUE,"general";"via3",#N/A,TRUE,"general"}</definedName>
    <definedName name="gfgfgr" localSheetId="39">{"via1",#N/A,TRUE,"general";"via2",#N/A,TRUE,"general";"via3",#N/A,TRUE,"general"}</definedName>
    <definedName name="gfgfgr" localSheetId="20">{"via1",#N/A,TRUE,"general";"via2",#N/A,TRUE,"general";"via3",#N/A,TRUE,"general"}</definedName>
    <definedName name="gfgfgr" localSheetId="21">{"via1",#N/A,TRUE,"general";"via2",#N/A,TRUE,"general";"via3",#N/A,TRUE,"general"}</definedName>
    <definedName name="gfgfgr" localSheetId="9">{"via1",#N/A,TRUE,"general";"via2",#N/A,TRUE,"general";"via3",#N/A,TRUE,"general"}</definedName>
    <definedName name="gfgfgr" localSheetId="19">{"via1",#N/A,TRUE,"general";"via2",#N/A,TRUE,"general";"via3",#N/A,TRUE,"general"}</definedName>
    <definedName name="gfgfgr" localSheetId="28">{"via1",#N/A,TRUE,"general";"via2",#N/A,TRUE,"general";"via3",#N/A,TRUE,"general"}</definedName>
    <definedName name="gfgfgr" localSheetId="29">{"via1",#N/A,TRUE,"general";"via2",#N/A,TRUE,"general";"via3",#N/A,TRUE,"general"}</definedName>
    <definedName name="gfgfgr">{"via1",#N/A,TRUE,"general";"via2",#N/A,TRUE,"general";"via3",#N/A,TRUE,"general"}</definedName>
    <definedName name="gfhf" localSheetId="39">{"via1",#N/A,TRUE,"general";"via2",#N/A,TRUE,"general";"via3",#N/A,TRUE,"general"}</definedName>
    <definedName name="gfhf" localSheetId="20">{"via1",#N/A,TRUE,"general";"via2",#N/A,TRUE,"general";"via3",#N/A,TRUE,"general"}</definedName>
    <definedName name="gfhf" localSheetId="21">{"via1",#N/A,TRUE,"general";"via2",#N/A,TRUE,"general";"via3",#N/A,TRUE,"general"}</definedName>
    <definedName name="gfhf" localSheetId="9">{"via1",#N/A,TRUE,"general";"via2",#N/A,TRUE,"general";"via3",#N/A,TRUE,"general"}</definedName>
    <definedName name="gfhf" localSheetId="19">{"via1",#N/A,TRUE,"general";"via2",#N/A,TRUE,"general";"via3",#N/A,TRUE,"general"}</definedName>
    <definedName name="gfhf" localSheetId="28">{"via1",#N/A,TRUE,"general";"via2",#N/A,TRUE,"general";"via3",#N/A,TRUE,"general"}</definedName>
    <definedName name="gfhf" localSheetId="29">{"via1",#N/A,TRUE,"general";"via2",#N/A,TRUE,"general";"via3",#N/A,TRUE,"general"}</definedName>
    <definedName name="gfhf">{"via1",#N/A,TRUE,"general";"via2",#N/A,TRUE,"general";"via3",#N/A,TRUE,"general"}</definedName>
    <definedName name="gfhfdh" localSheetId="39">{"TAB1",#N/A,TRUE,"GENERAL";"TAB2",#N/A,TRUE,"GENERAL";"TAB3",#N/A,TRUE,"GENERAL";"TAB4",#N/A,TRUE,"GENERAL";"TAB5",#N/A,TRUE,"GENERAL"}</definedName>
    <definedName name="gfhfdh" localSheetId="20">{"TAB1",#N/A,TRUE,"GENERAL";"TAB2",#N/A,TRUE,"GENERAL";"TAB3",#N/A,TRUE,"GENERAL";"TAB4",#N/A,TRUE,"GENERAL";"TAB5",#N/A,TRUE,"GENERAL"}</definedName>
    <definedName name="gfhfdh" localSheetId="21">{"TAB1",#N/A,TRUE,"GENERAL";"TAB2",#N/A,TRUE,"GENERAL";"TAB3",#N/A,TRUE,"GENERAL";"TAB4",#N/A,TRUE,"GENERAL";"TAB5",#N/A,TRUE,"GENERAL"}</definedName>
    <definedName name="gfhfdh" localSheetId="9">{"TAB1",#N/A,TRUE,"GENERAL";"TAB2",#N/A,TRUE,"GENERAL";"TAB3",#N/A,TRUE,"GENERAL";"TAB4",#N/A,TRUE,"GENERAL";"TAB5",#N/A,TRUE,"GENERAL"}</definedName>
    <definedName name="gfhfdh" localSheetId="19">{"TAB1",#N/A,TRUE,"GENERAL";"TAB2",#N/A,TRUE,"GENERAL";"TAB3",#N/A,TRUE,"GENERAL";"TAB4",#N/A,TRUE,"GENERAL";"TAB5",#N/A,TRUE,"GENERAL"}</definedName>
    <definedName name="gfhfdh" localSheetId="28">{"TAB1",#N/A,TRUE,"GENERAL";"TAB2",#N/A,TRUE,"GENERAL";"TAB3",#N/A,TRUE,"GENERAL";"TAB4",#N/A,TRUE,"GENERAL";"TAB5",#N/A,TRUE,"GENERAL"}</definedName>
    <definedName name="gfhfdh" localSheetId="29">{"TAB1",#N/A,TRUE,"GENERAL";"TAB2",#N/A,TRUE,"GENERAL";"TAB3",#N/A,TRUE,"GENERAL";"TAB4",#N/A,TRUE,"GENERAL";"TAB5",#N/A,TRUE,"GENERAL"}</definedName>
    <definedName name="gfhfdh">{"TAB1",#N/A,TRUE,"GENERAL";"TAB2",#N/A,TRUE,"GENERAL";"TAB3",#N/A,TRUE,"GENERAL";"TAB4",#N/A,TRUE,"GENERAL";"TAB5",#N/A,TRUE,"GENERAL"}</definedName>
    <definedName name="gfhgfh" localSheetId="39">{"TAB1",#N/A,TRUE,"GENERAL";"TAB2",#N/A,TRUE,"GENERAL";"TAB3",#N/A,TRUE,"GENERAL";"TAB4",#N/A,TRUE,"GENERAL";"TAB5",#N/A,TRUE,"GENERAL"}</definedName>
    <definedName name="gfhgfh" localSheetId="20">{"TAB1",#N/A,TRUE,"GENERAL";"TAB2",#N/A,TRUE,"GENERAL";"TAB3",#N/A,TRUE,"GENERAL";"TAB4",#N/A,TRUE,"GENERAL";"TAB5",#N/A,TRUE,"GENERAL"}</definedName>
    <definedName name="gfhgfh" localSheetId="21">{"TAB1",#N/A,TRUE,"GENERAL";"TAB2",#N/A,TRUE,"GENERAL";"TAB3",#N/A,TRUE,"GENERAL";"TAB4",#N/A,TRUE,"GENERAL";"TAB5",#N/A,TRUE,"GENERAL"}</definedName>
    <definedName name="gfhgfh" localSheetId="9">{"TAB1",#N/A,TRUE,"GENERAL";"TAB2",#N/A,TRUE,"GENERAL";"TAB3",#N/A,TRUE,"GENERAL";"TAB4",#N/A,TRUE,"GENERAL";"TAB5",#N/A,TRUE,"GENERAL"}</definedName>
    <definedName name="gfhgfh" localSheetId="19">{"TAB1",#N/A,TRUE,"GENERAL";"TAB2",#N/A,TRUE,"GENERAL";"TAB3",#N/A,TRUE,"GENERAL";"TAB4",#N/A,TRUE,"GENERAL";"TAB5",#N/A,TRUE,"GENERAL"}</definedName>
    <definedName name="gfhgfh" localSheetId="28">{"TAB1",#N/A,TRUE,"GENERAL";"TAB2",#N/A,TRUE,"GENERAL";"TAB3",#N/A,TRUE,"GENERAL";"TAB4",#N/A,TRUE,"GENERAL";"TAB5",#N/A,TRUE,"GENERAL"}</definedName>
    <definedName name="gfhgfh" localSheetId="29">{"TAB1",#N/A,TRUE,"GENERAL";"TAB2",#N/A,TRUE,"GENERAL";"TAB3",#N/A,TRUE,"GENERAL";"TAB4",#N/A,TRUE,"GENERAL";"TAB5",#N/A,TRUE,"GENERAL"}</definedName>
    <definedName name="gfhgfh">{"TAB1",#N/A,TRUE,"GENERAL";"TAB2",#N/A,TRUE,"GENERAL";"TAB3",#N/A,TRUE,"GENERAL";"TAB4",#N/A,TRUE,"GENERAL";"TAB5",#N/A,TRUE,"GENERAL"}</definedName>
    <definedName name="GFJHG">#REF!</definedName>
    <definedName name="GFJHGJ" localSheetId="39">{"TAB1",#N/A,TRUE,"GENERAL";"TAB2",#N/A,TRUE,"GENERAL";"TAB3",#N/A,TRUE,"GENERAL";"TAB4",#N/A,TRUE,"GENERAL";"TAB5",#N/A,TRUE,"GENERAL"}</definedName>
    <definedName name="GFJHGJ" localSheetId="20">{"TAB1",#N/A,TRUE,"GENERAL";"TAB2",#N/A,TRUE,"GENERAL";"TAB3",#N/A,TRUE,"GENERAL";"TAB4",#N/A,TRUE,"GENERAL";"TAB5",#N/A,TRUE,"GENERAL"}</definedName>
    <definedName name="GFJHGJ" localSheetId="21">{"TAB1",#N/A,TRUE,"GENERAL";"TAB2",#N/A,TRUE,"GENERAL";"TAB3",#N/A,TRUE,"GENERAL";"TAB4",#N/A,TRUE,"GENERAL";"TAB5",#N/A,TRUE,"GENERAL"}</definedName>
    <definedName name="GFJHGJ" localSheetId="9">{"TAB1",#N/A,TRUE,"GENERAL";"TAB2",#N/A,TRUE,"GENERAL";"TAB3",#N/A,TRUE,"GENERAL";"TAB4",#N/A,TRUE,"GENERAL";"TAB5",#N/A,TRUE,"GENERAL"}</definedName>
    <definedName name="GFJHGJ" localSheetId="19">{"TAB1",#N/A,TRUE,"GENERAL";"TAB2",#N/A,TRUE,"GENERAL";"TAB3",#N/A,TRUE,"GENERAL";"TAB4",#N/A,TRUE,"GENERAL";"TAB5",#N/A,TRUE,"GENERAL"}</definedName>
    <definedName name="GFJHGJ" localSheetId="28">{"TAB1",#N/A,TRUE,"GENERAL";"TAB2",#N/A,TRUE,"GENERAL";"TAB3",#N/A,TRUE,"GENERAL";"TAB4",#N/A,TRUE,"GENERAL";"TAB5",#N/A,TRUE,"GENERAL"}</definedName>
    <definedName name="GFJHGJ" localSheetId="29">{"TAB1",#N/A,TRUE,"GENERAL";"TAB2",#N/A,TRUE,"GENERAL";"TAB3",#N/A,TRUE,"GENERAL";"TAB4",#N/A,TRUE,"GENERAL";"TAB5",#N/A,TRUE,"GENERAL"}</definedName>
    <definedName name="GFJHGJ">{"TAB1",#N/A,TRUE,"GENERAL";"TAB2",#N/A,TRUE,"GENERAL";"TAB3",#N/A,TRUE,"GENERAL";"TAB4",#N/A,TRUE,"GENERAL";"TAB5",#N/A,TRUE,"GENERAL"}</definedName>
    <definedName name="gfjjh" localSheetId="39">{"via1",#N/A,TRUE,"general";"via2",#N/A,TRUE,"general";"via3",#N/A,TRUE,"general"}</definedName>
    <definedName name="gfjjh" localSheetId="20">{"via1",#N/A,TRUE,"general";"via2",#N/A,TRUE,"general";"via3",#N/A,TRUE,"general"}</definedName>
    <definedName name="gfjjh" localSheetId="21">{"via1",#N/A,TRUE,"general";"via2",#N/A,TRUE,"general";"via3",#N/A,TRUE,"general"}</definedName>
    <definedName name="gfjjh" localSheetId="9">{"via1",#N/A,TRUE,"general";"via2",#N/A,TRUE,"general";"via3",#N/A,TRUE,"general"}</definedName>
    <definedName name="gfjjh" localSheetId="19">{"via1",#N/A,TRUE,"general";"via2",#N/A,TRUE,"general";"via3",#N/A,TRUE,"general"}</definedName>
    <definedName name="gfjjh" localSheetId="28">{"via1",#N/A,TRUE,"general";"via2",#N/A,TRUE,"general";"via3",#N/A,TRUE,"general"}</definedName>
    <definedName name="gfjjh" localSheetId="29">{"via1",#N/A,TRUE,"general";"via2",#N/A,TRUE,"general";"via3",#N/A,TRUE,"general"}</definedName>
    <definedName name="gfjjh">{"via1",#N/A,TRUE,"general";"via2",#N/A,TRUE,"general";"via3",#N/A,TRUE,"general"}</definedName>
    <definedName name="gft">#REF!</definedName>
    <definedName name="gfutyj6" localSheetId="39">{"via1",#N/A,TRUE,"general";"via2",#N/A,TRUE,"general";"via3",#N/A,TRUE,"general"}</definedName>
    <definedName name="gfutyj6" localSheetId="20">{"via1",#N/A,TRUE,"general";"via2",#N/A,TRUE,"general";"via3",#N/A,TRUE,"general"}</definedName>
    <definedName name="gfutyj6" localSheetId="21">{"via1",#N/A,TRUE,"general";"via2",#N/A,TRUE,"general";"via3",#N/A,TRUE,"general"}</definedName>
    <definedName name="gfutyj6" localSheetId="9">{"via1",#N/A,TRUE,"general";"via2",#N/A,TRUE,"general";"via3",#N/A,TRUE,"general"}</definedName>
    <definedName name="gfutyj6" localSheetId="19">{"via1",#N/A,TRUE,"general";"via2",#N/A,TRUE,"general";"via3",#N/A,TRUE,"general"}</definedName>
    <definedName name="gfutyj6" localSheetId="28">{"via1",#N/A,TRUE,"general";"via2",#N/A,TRUE,"general";"via3",#N/A,TRUE,"general"}</definedName>
    <definedName name="gfutyj6" localSheetId="29">{"via1",#N/A,TRUE,"general";"via2",#N/A,TRUE,"general";"via3",#N/A,TRUE,"general"}</definedName>
    <definedName name="gfutyj6">{"via1",#N/A,TRUE,"general";"via2",#N/A,TRUE,"general";"via3",#N/A,TRUE,"general"}</definedName>
    <definedName name="gg" localSheetId="39">{"TAB1",#N/A,TRUE,"GENERAL";"TAB2",#N/A,TRUE,"GENERAL";"TAB3",#N/A,TRUE,"GENERAL";"TAB4",#N/A,TRUE,"GENERAL";"TAB5",#N/A,TRUE,"GENERAL"}</definedName>
    <definedName name="gg" localSheetId="20">{"TAB1",#N/A,TRUE,"GENERAL";"TAB2",#N/A,TRUE,"GENERAL";"TAB3",#N/A,TRUE,"GENERAL";"TAB4",#N/A,TRUE,"GENERAL";"TAB5",#N/A,TRUE,"GENERAL"}</definedName>
    <definedName name="gg" localSheetId="21">{"TAB1",#N/A,TRUE,"GENERAL";"TAB2",#N/A,TRUE,"GENERAL";"TAB3",#N/A,TRUE,"GENERAL";"TAB4",#N/A,TRUE,"GENERAL";"TAB5",#N/A,TRUE,"GENERAL"}</definedName>
    <definedName name="gg" localSheetId="9">{"TAB1",#N/A,TRUE,"GENERAL";"TAB2",#N/A,TRUE,"GENERAL";"TAB3",#N/A,TRUE,"GENERAL";"TAB4",#N/A,TRUE,"GENERAL";"TAB5",#N/A,TRUE,"GENERAL"}</definedName>
    <definedName name="gg" localSheetId="19">{"TAB1",#N/A,TRUE,"GENERAL";"TAB2",#N/A,TRUE,"GENERAL";"TAB3",#N/A,TRUE,"GENERAL";"TAB4",#N/A,TRUE,"GENERAL";"TAB5",#N/A,TRUE,"GENERAL"}</definedName>
    <definedName name="GG" localSheetId="17">'[74]CIRCUITOS CODENSA'!#REF!</definedName>
    <definedName name="GG" localSheetId="18">'[74]CIRCUITOS CODENSA'!#REF!</definedName>
    <definedName name="gg" localSheetId="28">{"TAB1",#N/A,TRUE,"GENERAL";"TAB2",#N/A,TRUE,"GENERAL";"TAB3",#N/A,TRUE,"GENERAL";"TAB4",#N/A,TRUE,"GENERAL";"TAB5",#N/A,TRUE,"GENERAL"}</definedName>
    <definedName name="gg" localSheetId="29">{"TAB1",#N/A,TRUE,"GENERAL";"TAB2",#N/A,TRUE,"GENERAL";"TAB3",#N/A,TRUE,"GENERAL";"TAB4",#N/A,TRUE,"GENERAL";"TAB5",#N/A,TRUE,"GENERAL"}</definedName>
    <definedName name="GG" localSheetId="12">'[74]CIRCUITOS CODENSA'!#REF!</definedName>
    <definedName name="gg">{"TAB1",#N/A,TRUE,"GENERAL";"TAB2",#N/A,TRUE,"GENERAL";"TAB3",#N/A,TRUE,"GENERAL";"TAB4",#N/A,TRUE,"GENERAL";"TAB5",#N/A,TRUE,"GENERAL"}</definedName>
    <definedName name="ggdr" localSheetId="39">{"via1",#N/A,TRUE,"general";"via2",#N/A,TRUE,"general";"via3",#N/A,TRUE,"general"}</definedName>
    <definedName name="ggdr" localSheetId="20">{"via1",#N/A,TRUE,"general";"via2",#N/A,TRUE,"general";"via3",#N/A,TRUE,"general"}</definedName>
    <definedName name="ggdr" localSheetId="21">{"via1",#N/A,TRUE,"general";"via2",#N/A,TRUE,"general";"via3",#N/A,TRUE,"general"}</definedName>
    <definedName name="ggdr" localSheetId="9">{"via1",#N/A,TRUE,"general";"via2",#N/A,TRUE,"general";"via3",#N/A,TRUE,"general"}</definedName>
    <definedName name="ggdr" localSheetId="19">{"via1",#N/A,TRUE,"general";"via2",#N/A,TRUE,"general";"via3",#N/A,TRUE,"general"}</definedName>
    <definedName name="ggdr" localSheetId="28">{"via1",#N/A,TRUE,"general";"via2",#N/A,TRUE,"general";"via3",#N/A,TRUE,"general"}</definedName>
    <definedName name="ggdr" localSheetId="29">{"via1",#N/A,TRUE,"general";"via2",#N/A,TRUE,"general";"via3",#N/A,TRUE,"general"}</definedName>
    <definedName name="ggdr">{"via1",#N/A,TRUE,"general";"via2",#N/A,TRUE,"general";"via3",#N/A,TRUE,"general"}</definedName>
    <definedName name="ggerg" localSheetId="39">{"TAB1",#N/A,TRUE,"GENERAL";"TAB2",#N/A,TRUE,"GENERAL";"TAB3",#N/A,TRUE,"GENERAL";"TAB4",#N/A,TRUE,"GENERAL";"TAB5",#N/A,TRUE,"GENERAL"}</definedName>
    <definedName name="ggerg" localSheetId="20">{"TAB1",#N/A,TRUE,"GENERAL";"TAB2",#N/A,TRUE,"GENERAL";"TAB3",#N/A,TRUE,"GENERAL";"TAB4",#N/A,TRUE,"GENERAL";"TAB5",#N/A,TRUE,"GENERAL"}</definedName>
    <definedName name="ggerg" localSheetId="21">{"TAB1",#N/A,TRUE,"GENERAL";"TAB2",#N/A,TRUE,"GENERAL";"TAB3",#N/A,TRUE,"GENERAL";"TAB4",#N/A,TRUE,"GENERAL";"TAB5",#N/A,TRUE,"GENERAL"}</definedName>
    <definedName name="ggerg" localSheetId="9">{"TAB1",#N/A,TRUE,"GENERAL";"TAB2",#N/A,TRUE,"GENERAL";"TAB3",#N/A,TRUE,"GENERAL";"TAB4",#N/A,TRUE,"GENERAL";"TAB5",#N/A,TRUE,"GENERAL"}</definedName>
    <definedName name="ggerg" localSheetId="19">{"TAB1",#N/A,TRUE,"GENERAL";"TAB2",#N/A,TRUE,"GENERAL";"TAB3",#N/A,TRUE,"GENERAL";"TAB4",#N/A,TRUE,"GENERAL";"TAB5",#N/A,TRUE,"GENERAL"}</definedName>
    <definedName name="ggerg" localSheetId="28">{"TAB1",#N/A,TRUE,"GENERAL";"TAB2",#N/A,TRUE,"GENERAL";"TAB3",#N/A,TRUE,"GENERAL";"TAB4",#N/A,TRUE,"GENERAL";"TAB5",#N/A,TRUE,"GENERAL"}</definedName>
    <definedName name="ggerg" localSheetId="29">{"TAB1",#N/A,TRUE,"GENERAL";"TAB2",#N/A,TRUE,"GENERAL";"TAB3",#N/A,TRUE,"GENERAL";"TAB4",#N/A,TRUE,"GENERAL";"TAB5",#N/A,TRUE,"GENERAL"}</definedName>
    <definedName name="ggerg">{"TAB1",#N/A,TRUE,"GENERAL";"TAB2",#N/A,TRUE,"GENERAL";"TAB3",#N/A,TRUE,"GENERAL";"TAB4",#N/A,TRUE,"GENERAL";"TAB5",#N/A,TRUE,"GENERAL"}</definedName>
    <definedName name="gggb" localSheetId="39">{"TAB1",#N/A,TRUE,"GENERAL";"TAB2",#N/A,TRUE,"GENERAL";"TAB3",#N/A,TRUE,"GENERAL";"TAB4",#N/A,TRUE,"GENERAL";"TAB5",#N/A,TRUE,"GENERAL"}</definedName>
    <definedName name="gggb" localSheetId="20">{"TAB1",#N/A,TRUE,"GENERAL";"TAB2",#N/A,TRUE,"GENERAL";"TAB3",#N/A,TRUE,"GENERAL";"TAB4",#N/A,TRUE,"GENERAL";"TAB5",#N/A,TRUE,"GENERAL"}</definedName>
    <definedName name="gggb" localSheetId="21">{"TAB1",#N/A,TRUE,"GENERAL";"TAB2",#N/A,TRUE,"GENERAL";"TAB3",#N/A,TRUE,"GENERAL";"TAB4",#N/A,TRUE,"GENERAL";"TAB5",#N/A,TRUE,"GENERAL"}</definedName>
    <definedName name="gggb" localSheetId="9">{"TAB1",#N/A,TRUE,"GENERAL";"TAB2",#N/A,TRUE,"GENERAL";"TAB3",#N/A,TRUE,"GENERAL";"TAB4",#N/A,TRUE,"GENERAL";"TAB5",#N/A,TRUE,"GENERAL"}</definedName>
    <definedName name="gggb" localSheetId="19">{"TAB1",#N/A,TRUE,"GENERAL";"TAB2",#N/A,TRUE,"GENERAL";"TAB3",#N/A,TRUE,"GENERAL";"TAB4",#N/A,TRUE,"GENERAL";"TAB5",#N/A,TRUE,"GENERAL"}</definedName>
    <definedName name="gggb" localSheetId="28">{"TAB1",#N/A,TRUE,"GENERAL";"TAB2",#N/A,TRUE,"GENERAL";"TAB3",#N/A,TRUE,"GENERAL";"TAB4",#N/A,TRUE,"GENERAL";"TAB5",#N/A,TRUE,"GENERAL"}</definedName>
    <definedName name="gggb" localSheetId="29">{"TAB1",#N/A,TRUE,"GENERAL";"TAB2",#N/A,TRUE,"GENERAL";"TAB3",#N/A,TRUE,"GENERAL";"TAB4",#N/A,TRUE,"GENERAL";"TAB5",#N/A,TRUE,"GENERAL"}</definedName>
    <definedName name="gggb">{"TAB1",#N/A,TRUE,"GENERAL";"TAB2",#N/A,TRUE,"GENERAL";"TAB3",#N/A,TRUE,"GENERAL";"TAB4",#N/A,TRUE,"GENERAL";"TAB5",#N/A,TRUE,"GENERAL"}</definedName>
    <definedName name="gggg" localSheetId="39">{"via1",#N/A,TRUE,"general";"via2",#N/A,TRUE,"general";"via3",#N/A,TRUE,"general"}</definedName>
    <definedName name="gggg" localSheetId="20">{"via1",#N/A,TRUE,"general";"via2",#N/A,TRUE,"general";"via3",#N/A,TRUE,"general"}</definedName>
    <definedName name="gggg" localSheetId="21">{"via1",#N/A,TRUE,"general";"via2",#N/A,TRUE,"general";"via3",#N/A,TRUE,"general"}</definedName>
    <definedName name="gggg" localSheetId="9">{"via1",#N/A,TRUE,"general";"via2",#N/A,TRUE,"general";"via3",#N/A,TRUE,"general"}</definedName>
    <definedName name="gggg" localSheetId="19">{"via1",#N/A,TRUE,"general";"via2",#N/A,TRUE,"general";"via3",#N/A,TRUE,"general"}</definedName>
    <definedName name="gggg" localSheetId="28">{"via1",#N/A,TRUE,"general";"via2",#N/A,TRUE,"general";"via3",#N/A,TRUE,"general"}</definedName>
    <definedName name="gggg" localSheetId="29">{"via1",#N/A,TRUE,"general";"via2",#N/A,TRUE,"general";"via3",#N/A,TRUE,"general"}</definedName>
    <definedName name="gggg">{"via1",#N/A,TRUE,"general";"via2",#N/A,TRUE,"general";"via3",#N/A,TRUE,"general"}</definedName>
    <definedName name="ggggd" localSheetId="39">{"TAB1",#N/A,TRUE,"GENERAL";"TAB2",#N/A,TRUE,"GENERAL";"TAB3",#N/A,TRUE,"GENERAL";"TAB4",#N/A,TRUE,"GENERAL";"TAB5",#N/A,TRUE,"GENERAL"}</definedName>
    <definedName name="ggggd" localSheetId="20">{"TAB1",#N/A,TRUE,"GENERAL";"TAB2",#N/A,TRUE,"GENERAL";"TAB3",#N/A,TRUE,"GENERAL";"TAB4",#N/A,TRUE,"GENERAL";"TAB5",#N/A,TRUE,"GENERAL"}</definedName>
    <definedName name="ggggd" localSheetId="21">{"TAB1",#N/A,TRUE,"GENERAL";"TAB2",#N/A,TRUE,"GENERAL";"TAB3",#N/A,TRUE,"GENERAL";"TAB4",#N/A,TRUE,"GENERAL";"TAB5",#N/A,TRUE,"GENERAL"}</definedName>
    <definedName name="ggggd" localSheetId="9">{"TAB1",#N/A,TRUE,"GENERAL";"TAB2",#N/A,TRUE,"GENERAL";"TAB3",#N/A,TRUE,"GENERAL";"TAB4",#N/A,TRUE,"GENERAL";"TAB5",#N/A,TRUE,"GENERAL"}</definedName>
    <definedName name="ggggd" localSheetId="19">{"TAB1",#N/A,TRUE,"GENERAL";"TAB2",#N/A,TRUE,"GENERAL";"TAB3",#N/A,TRUE,"GENERAL";"TAB4",#N/A,TRUE,"GENERAL";"TAB5",#N/A,TRUE,"GENERAL"}</definedName>
    <definedName name="ggggd" localSheetId="28">{"TAB1",#N/A,TRUE,"GENERAL";"TAB2",#N/A,TRUE,"GENERAL";"TAB3",#N/A,TRUE,"GENERAL";"TAB4",#N/A,TRUE,"GENERAL";"TAB5",#N/A,TRUE,"GENERAL"}</definedName>
    <definedName name="ggggd" localSheetId="29">{"TAB1",#N/A,TRUE,"GENERAL";"TAB2",#N/A,TRUE,"GENERAL";"TAB3",#N/A,TRUE,"GENERAL";"TAB4",#N/A,TRUE,"GENERAL";"TAB5",#N/A,TRUE,"GENERAL"}</definedName>
    <definedName name="ggggd">{"TAB1",#N/A,TRUE,"GENERAL";"TAB2",#N/A,TRUE,"GENERAL";"TAB3",#N/A,TRUE,"GENERAL";"TAB4",#N/A,TRUE,"GENERAL";"TAB5",#N/A,TRUE,"GENERAL"}</definedName>
    <definedName name="gggggg">#REF!</definedName>
    <definedName name="ggggggg">#REF!</definedName>
    <definedName name="gggggggg">#REF!</definedName>
    <definedName name="gggggt" localSheetId="39">{"via1",#N/A,TRUE,"general";"via2",#N/A,TRUE,"general";"via3",#N/A,TRUE,"general"}</definedName>
    <definedName name="gggggt" localSheetId="20">{"via1",#N/A,TRUE,"general";"via2",#N/A,TRUE,"general";"via3",#N/A,TRUE,"general"}</definedName>
    <definedName name="gggggt" localSheetId="21">{"via1",#N/A,TRUE,"general";"via2",#N/A,TRUE,"general";"via3",#N/A,TRUE,"general"}</definedName>
    <definedName name="gggggt" localSheetId="9">{"via1",#N/A,TRUE,"general";"via2",#N/A,TRUE,"general";"via3",#N/A,TRUE,"general"}</definedName>
    <definedName name="gggggt" localSheetId="19">{"via1",#N/A,TRUE,"general";"via2",#N/A,TRUE,"general";"via3",#N/A,TRUE,"general"}</definedName>
    <definedName name="gggggt" localSheetId="28">{"via1",#N/A,TRUE,"general";"via2",#N/A,TRUE,"general";"via3",#N/A,TRUE,"general"}</definedName>
    <definedName name="gggggt" localSheetId="29">{"via1",#N/A,TRUE,"general";"via2",#N/A,TRUE,"general";"via3",#N/A,TRUE,"general"}</definedName>
    <definedName name="gggggt">{"via1",#N/A,TRUE,"general";"via2",#N/A,TRUE,"general";"via3",#N/A,TRUE,"general"}</definedName>
    <definedName name="gggghn" localSheetId="39">{"TAB1",#N/A,TRUE,"GENERAL";"TAB2",#N/A,TRUE,"GENERAL";"TAB3",#N/A,TRUE,"GENERAL";"TAB4",#N/A,TRUE,"GENERAL";"TAB5",#N/A,TRUE,"GENERAL"}</definedName>
    <definedName name="gggghn" localSheetId="20">{"TAB1",#N/A,TRUE,"GENERAL";"TAB2",#N/A,TRUE,"GENERAL";"TAB3",#N/A,TRUE,"GENERAL";"TAB4",#N/A,TRUE,"GENERAL";"TAB5",#N/A,TRUE,"GENERAL"}</definedName>
    <definedName name="gggghn" localSheetId="21">{"TAB1",#N/A,TRUE,"GENERAL";"TAB2",#N/A,TRUE,"GENERAL";"TAB3",#N/A,TRUE,"GENERAL";"TAB4",#N/A,TRUE,"GENERAL";"TAB5",#N/A,TRUE,"GENERAL"}</definedName>
    <definedName name="gggghn" localSheetId="9">{"TAB1",#N/A,TRUE,"GENERAL";"TAB2",#N/A,TRUE,"GENERAL";"TAB3",#N/A,TRUE,"GENERAL";"TAB4",#N/A,TRUE,"GENERAL";"TAB5",#N/A,TRUE,"GENERAL"}</definedName>
    <definedName name="gggghn" localSheetId="19">{"TAB1",#N/A,TRUE,"GENERAL";"TAB2",#N/A,TRUE,"GENERAL";"TAB3",#N/A,TRUE,"GENERAL";"TAB4",#N/A,TRUE,"GENERAL";"TAB5",#N/A,TRUE,"GENERAL"}</definedName>
    <definedName name="gggghn" localSheetId="28">{"TAB1",#N/A,TRUE,"GENERAL";"TAB2",#N/A,TRUE,"GENERAL";"TAB3",#N/A,TRUE,"GENERAL";"TAB4",#N/A,TRUE,"GENERAL";"TAB5",#N/A,TRUE,"GENERAL"}</definedName>
    <definedName name="gggghn" localSheetId="29">{"TAB1",#N/A,TRUE,"GENERAL";"TAB2",#N/A,TRUE,"GENERAL";"TAB3",#N/A,TRUE,"GENERAL";"TAB4",#N/A,TRUE,"GENERAL";"TAB5",#N/A,TRUE,"GENERAL"}</definedName>
    <definedName name="gggghn">{"TAB1",#N/A,TRUE,"GENERAL";"TAB2",#N/A,TRUE,"GENERAL";"TAB3",#N/A,TRUE,"GENERAL";"TAB4",#N/A,TRUE,"GENERAL";"TAB5",#N/A,TRUE,"GENERAL"}</definedName>
    <definedName name="ggggt" localSheetId="39">{"TAB1",#N/A,TRUE,"GENERAL";"TAB2",#N/A,TRUE,"GENERAL";"TAB3",#N/A,TRUE,"GENERAL";"TAB4",#N/A,TRUE,"GENERAL";"TAB5",#N/A,TRUE,"GENERAL"}</definedName>
    <definedName name="ggggt" localSheetId="20">{"TAB1",#N/A,TRUE,"GENERAL";"TAB2",#N/A,TRUE,"GENERAL";"TAB3",#N/A,TRUE,"GENERAL";"TAB4",#N/A,TRUE,"GENERAL";"TAB5",#N/A,TRUE,"GENERAL"}</definedName>
    <definedName name="ggggt" localSheetId="21">{"TAB1",#N/A,TRUE,"GENERAL";"TAB2",#N/A,TRUE,"GENERAL";"TAB3",#N/A,TRUE,"GENERAL";"TAB4",#N/A,TRUE,"GENERAL";"TAB5",#N/A,TRUE,"GENERAL"}</definedName>
    <definedName name="ggggt" localSheetId="9">{"TAB1",#N/A,TRUE,"GENERAL";"TAB2",#N/A,TRUE,"GENERAL";"TAB3",#N/A,TRUE,"GENERAL";"TAB4",#N/A,TRUE,"GENERAL";"TAB5",#N/A,TRUE,"GENERAL"}</definedName>
    <definedName name="ggggt" localSheetId="19">{"TAB1",#N/A,TRUE,"GENERAL";"TAB2",#N/A,TRUE,"GENERAL";"TAB3",#N/A,TRUE,"GENERAL";"TAB4",#N/A,TRUE,"GENERAL";"TAB5",#N/A,TRUE,"GENERAL"}</definedName>
    <definedName name="ggggt" localSheetId="28">{"TAB1",#N/A,TRUE,"GENERAL";"TAB2",#N/A,TRUE,"GENERAL";"TAB3",#N/A,TRUE,"GENERAL";"TAB4",#N/A,TRUE,"GENERAL";"TAB5",#N/A,TRUE,"GENERAL"}</definedName>
    <definedName name="ggggt" localSheetId="29">{"TAB1",#N/A,TRUE,"GENERAL";"TAB2",#N/A,TRUE,"GENERAL";"TAB3",#N/A,TRUE,"GENERAL";"TAB4",#N/A,TRUE,"GENERAL";"TAB5",#N/A,TRUE,"GENERAL"}</definedName>
    <definedName name="ggggt">{"TAB1",#N/A,TRUE,"GENERAL";"TAB2",#N/A,TRUE,"GENERAL";"TAB3",#N/A,TRUE,"GENERAL";"TAB4",#N/A,TRUE,"GENERAL";"TAB5",#N/A,TRUE,"GENERAL"}</definedName>
    <definedName name="ggggy" localSheetId="39">{"TAB1",#N/A,TRUE,"GENERAL";"TAB2",#N/A,TRUE,"GENERAL";"TAB3",#N/A,TRUE,"GENERAL";"TAB4",#N/A,TRUE,"GENERAL";"TAB5",#N/A,TRUE,"GENERAL"}</definedName>
    <definedName name="ggggy" localSheetId="20">{"TAB1",#N/A,TRUE,"GENERAL";"TAB2",#N/A,TRUE,"GENERAL";"TAB3",#N/A,TRUE,"GENERAL";"TAB4",#N/A,TRUE,"GENERAL";"TAB5",#N/A,TRUE,"GENERAL"}</definedName>
    <definedName name="ggggy" localSheetId="21">{"TAB1",#N/A,TRUE,"GENERAL";"TAB2",#N/A,TRUE,"GENERAL";"TAB3",#N/A,TRUE,"GENERAL";"TAB4",#N/A,TRUE,"GENERAL";"TAB5",#N/A,TRUE,"GENERAL"}</definedName>
    <definedName name="ggggy" localSheetId="9">{"TAB1",#N/A,TRUE,"GENERAL";"TAB2",#N/A,TRUE,"GENERAL";"TAB3",#N/A,TRUE,"GENERAL";"TAB4",#N/A,TRUE,"GENERAL";"TAB5",#N/A,TRUE,"GENERAL"}</definedName>
    <definedName name="ggggy" localSheetId="19">{"TAB1",#N/A,TRUE,"GENERAL";"TAB2",#N/A,TRUE,"GENERAL";"TAB3",#N/A,TRUE,"GENERAL";"TAB4",#N/A,TRUE,"GENERAL";"TAB5",#N/A,TRUE,"GENERAL"}</definedName>
    <definedName name="ggggy" localSheetId="28">{"TAB1",#N/A,TRUE,"GENERAL";"TAB2",#N/A,TRUE,"GENERAL";"TAB3",#N/A,TRUE,"GENERAL";"TAB4",#N/A,TRUE,"GENERAL";"TAB5",#N/A,TRUE,"GENERAL"}</definedName>
    <definedName name="ggggy" localSheetId="29">{"TAB1",#N/A,TRUE,"GENERAL";"TAB2",#N/A,TRUE,"GENERAL";"TAB3",#N/A,TRUE,"GENERAL";"TAB4",#N/A,TRUE,"GENERAL";"TAB5",#N/A,TRUE,"GENERAL"}</definedName>
    <definedName name="ggggy">{"TAB1",#N/A,TRUE,"GENERAL";"TAB2",#N/A,TRUE,"GENERAL";"TAB3",#N/A,TRUE,"GENERAL";"TAB4",#N/A,TRUE,"GENERAL";"TAB5",#N/A,TRUE,"GENERAL"}</definedName>
    <definedName name="gggtgd" localSheetId="39">{"via1",#N/A,TRUE,"general";"via2",#N/A,TRUE,"general";"via3",#N/A,TRUE,"general"}</definedName>
    <definedName name="gggtgd" localSheetId="20">{"via1",#N/A,TRUE,"general";"via2",#N/A,TRUE,"general";"via3",#N/A,TRUE,"general"}</definedName>
    <definedName name="gggtgd" localSheetId="21">{"via1",#N/A,TRUE,"general";"via2",#N/A,TRUE,"general";"via3",#N/A,TRUE,"general"}</definedName>
    <definedName name="gggtgd" localSheetId="9">{"via1",#N/A,TRUE,"general";"via2",#N/A,TRUE,"general";"via3",#N/A,TRUE,"general"}</definedName>
    <definedName name="gggtgd" localSheetId="19">{"via1",#N/A,TRUE,"general";"via2",#N/A,TRUE,"general";"via3",#N/A,TRUE,"general"}</definedName>
    <definedName name="gggtgd" localSheetId="28">{"via1",#N/A,TRUE,"general";"via2",#N/A,TRUE,"general";"via3",#N/A,TRUE,"general"}</definedName>
    <definedName name="gggtgd" localSheetId="29">{"via1",#N/A,TRUE,"general";"via2",#N/A,TRUE,"general";"via3",#N/A,TRUE,"general"}</definedName>
    <definedName name="gggtgd">{"via1",#N/A,TRUE,"general";"via2",#N/A,TRUE,"general";"via3",#N/A,TRUE,"general"}</definedName>
    <definedName name="ggtgt" localSheetId="39">{"via1",#N/A,TRUE,"general";"via2",#N/A,TRUE,"general";"via3",#N/A,TRUE,"general"}</definedName>
    <definedName name="ggtgt" localSheetId="20">{"via1",#N/A,TRUE,"general";"via2",#N/A,TRUE,"general";"via3",#N/A,TRUE,"general"}</definedName>
    <definedName name="ggtgt" localSheetId="21">{"via1",#N/A,TRUE,"general";"via2",#N/A,TRUE,"general";"via3",#N/A,TRUE,"general"}</definedName>
    <definedName name="ggtgt" localSheetId="9">{"via1",#N/A,TRUE,"general";"via2",#N/A,TRUE,"general";"via3",#N/A,TRUE,"general"}</definedName>
    <definedName name="ggtgt" localSheetId="19">{"via1",#N/A,TRUE,"general";"via2",#N/A,TRUE,"general";"via3",#N/A,TRUE,"general"}</definedName>
    <definedName name="ggtgt" localSheetId="28">{"via1",#N/A,TRUE,"general";"via2",#N/A,TRUE,"general";"via3",#N/A,TRUE,"general"}</definedName>
    <definedName name="ggtgt" localSheetId="29">{"via1",#N/A,TRUE,"general";"via2",#N/A,TRUE,"general";"via3",#N/A,TRUE,"general"}</definedName>
    <definedName name="ggtgt">{"via1",#N/A,TRUE,"general";"via2",#N/A,TRUE,"general";"via3",#N/A,TRUE,"general"}</definedName>
    <definedName name="gh">#REF!</definedName>
    <definedName name="ghdghuy" localSheetId="39">{"via1",#N/A,TRUE,"general";"via2",#N/A,TRUE,"general";"via3",#N/A,TRUE,"general"}</definedName>
    <definedName name="ghdghuy" localSheetId="20">{"via1",#N/A,TRUE,"general";"via2",#N/A,TRUE,"general";"via3",#N/A,TRUE,"general"}</definedName>
    <definedName name="ghdghuy" localSheetId="21">{"via1",#N/A,TRUE,"general";"via2",#N/A,TRUE,"general";"via3",#N/A,TRUE,"general"}</definedName>
    <definedName name="ghdghuy" localSheetId="9">{"via1",#N/A,TRUE,"general";"via2",#N/A,TRUE,"general";"via3",#N/A,TRUE,"general"}</definedName>
    <definedName name="ghdghuy" localSheetId="19">{"via1",#N/A,TRUE,"general";"via2",#N/A,TRUE,"general";"via3",#N/A,TRUE,"general"}</definedName>
    <definedName name="ghdghuy" localSheetId="28">{"via1",#N/A,TRUE,"general";"via2",#N/A,TRUE,"general";"via3",#N/A,TRUE,"general"}</definedName>
    <definedName name="ghdghuy" localSheetId="29">{"via1",#N/A,TRUE,"general";"via2",#N/A,TRUE,"general";"via3",#N/A,TRUE,"general"}</definedName>
    <definedName name="ghdghuy">{"via1",#N/A,TRUE,"general";"via2",#N/A,TRUE,"general";"via3",#N/A,TRUE,"general"}</definedName>
    <definedName name="GHDP" localSheetId="39">{"via1",#N/A,TRUE,"general";"via2",#N/A,TRUE,"general";"via3",#N/A,TRUE,"general"}</definedName>
    <definedName name="GHDP" localSheetId="20">{"via1",#N/A,TRUE,"general";"via2",#N/A,TRUE,"general";"via3",#N/A,TRUE,"general"}</definedName>
    <definedName name="GHDP" localSheetId="21">{"via1",#N/A,TRUE,"general";"via2",#N/A,TRUE,"general";"via3",#N/A,TRUE,"general"}</definedName>
    <definedName name="GHDP" localSheetId="9">{"via1",#N/A,TRUE,"general";"via2",#N/A,TRUE,"general";"via3",#N/A,TRUE,"general"}</definedName>
    <definedName name="GHDP" localSheetId="19">{"via1",#N/A,TRUE,"general";"via2",#N/A,TRUE,"general";"via3",#N/A,TRUE,"general"}</definedName>
    <definedName name="GHDP" localSheetId="28">{"via1",#N/A,TRUE,"general";"via2",#N/A,TRUE,"general";"via3",#N/A,TRUE,"general"}</definedName>
    <definedName name="GHDP" localSheetId="29">{"via1",#N/A,TRUE,"general";"via2",#N/A,TRUE,"general";"via3",#N/A,TRUE,"general"}</definedName>
    <definedName name="GHDP">{"via1",#N/A,TRUE,"general";"via2",#N/A,TRUE,"general";"via3",#N/A,TRUE,"general"}</definedName>
    <definedName name="GHF" localSheetId="28">[84]Estruc.ICEL!#REF!</definedName>
    <definedName name="GHF" localSheetId="29">[84]Estruc.ICEL!#REF!</definedName>
    <definedName name="GHF">[82]Estruc.ICEL!#REF!</definedName>
    <definedName name="ghfg" localSheetId="39">{"via1",#N/A,TRUE,"general";"via2",#N/A,TRUE,"general";"via3",#N/A,TRUE,"general"}</definedName>
    <definedName name="ghfg" localSheetId="20">{"via1",#N/A,TRUE,"general";"via2",#N/A,TRUE,"general";"via3",#N/A,TRUE,"general"}</definedName>
    <definedName name="ghfg" localSheetId="21">{"via1",#N/A,TRUE,"general";"via2",#N/A,TRUE,"general";"via3",#N/A,TRUE,"general"}</definedName>
    <definedName name="ghfg" localSheetId="9">{"via1",#N/A,TRUE,"general";"via2",#N/A,TRUE,"general";"via3",#N/A,TRUE,"general"}</definedName>
    <definedName name="ghfg" localSheetId="19">{"via1",#N/A,TRUE,"general";"via2",#N/A,TRUE,"general";"via3",#N/A,TRUE,"general"}</definedName>
    <definedName name="ghfg" localSheetId="28">{"via1",#N/A,TRUE,"general";"via2",#N/A,TRUE,"general";"via3",#N/A,TRUE,"general"}</definedName>
    <definedName name="ghfg" localSheetId="29">{"via1",#N/A,TRUE,"general";"via2",#N/A,TRUE,"general";"via3",#N/A,TRUE,"general"}</definedName>
    <definedName name="ghfg">{"via1",#N/A,TRUE,"general";"via2",#N/A,TRUE,"general";"via3",#N/A,TRUE,"general"}</definedName>
    <definedName name="GHG">'[186]GENERALIDADES '!$E$9</definedName>
    <definedName name="GHJGH" localSheetId="9">#REF!</definedName>
    <definedName name="GHJGH">#REF!</definedName>
    <definedName name="GHJGHJ" localSheetId="9">#REF!</definedName>
    <definedName name="GHJGHJ">#REF!</definedName>
    <definedName name="GHKJHK" localSheetId="39">{"TAB1",#N/A,TRUE,"GENERAL";"TAB2",#N/A,TRUE,"GENERAL";"TAB3",#N/A,TRUE,"GENERAL";"TAB4",#N/A,TRUE,"GENERAL";"TAB5",#N/A,TRUE,"GENERAL"}</definedName>
    <definedName name="GHKJHK" localSheetId="20">{"TAB1",#N/A,TRUE,"GENERAL";"TAB2",#N/A,TRUE,"GENERAL";"TAB3",#N/A,TRUE,"GENERAL";"TAB4",#N/A,TRUE,"GENERAL";"TAB5",#N/A,TRUE,"GENERAL"}</definedName>
    <definedName name="GHKJHK" localSheetId="21">{"TAB1",#N/A,TRUE,"GENERAL";"TAB2",#N/A,TRUE,"GENERAL";"TAB3",#N/A,TRUE,"GENERAL";"TAB4",#N/A,TRUE,"GENERAL";"TAB5",#N/A,TRUE,"GENERAL"}</definedName>
    <definedName name="GHKJHK" localSheetId="9">{"TAB1",#N/A,TRUE,"GENERAL";"TAB2",#N/A,TRUE,"GENERAL";"TAB3",#N/A,TRUE,"GENERAL";"TAB4",#N/A,TRUE,"GENERAL";"TAB5",#N/A,TRUE,"GENERAL"}</definedName>
    <definedName name="GHKJHK" localSheetId="19">{"TAB1",#N/A,TRUE,"GENERAL";"TAB2",#N/A,TRUE,"GENERAL";"TAB3",#N/A,TRUE,"GENERAL";"TAB4",#N/A,TRUE,"GENERAL";"TAB5",#N/A,TRUE,"GENERAL"}</definedName>
    <definedName name="GHKJHK" localSheetId="28">{"TAB1",#N/A,TRUE,"GENERAL";"TAB2",#N/A,TRUE,"GENERAL";"TAB3",#N/A,TRUE,"GENERAL";"TAB4",#N/A,TRUE,"GENERAL";"TAB5",#N/A,TRUE,"GENERAL"}</definedName>
    <definedName name="GHKJHK" localSheetId="29">{"TAB1",#N/A,TRUE,"GENERAL";"TAB2",#N/A,TRUE,"GENERAL";"TAB3",#N/A,TRUE,"GENERAL";"TAB4",#N/A,TRUE,"GENERAL";"TAB5",#N/A,TRUE,"GENERAL"}</definedName>
    <definedName name="GHKJHK">{"TAB1",#N/A,TRUE,"GENERAL";"TAB2",#N/A,TRUE,"GENERAL";"TAB3",#N/A,TRUE,"GENERAL";"TAB4",#N/A,TRUE,"GENERAL";"TAB5",#N/A,TRUE,"GENERAL"}</definedName>
    <definedName name="ghu">#REF!</definedName>
    <definedName name="Gi">#REF!</definedName>
    <definedName name="gj">#REF!</definedName>
    <definedName name="GJHVCB" localSheetId="39">{"TAB1",#N/A,TRUE,"GENERAL";"TAB2",#N/A,TRUE,"GENERAL";"TAB3",#N/A,TRUE,"GENERAL";"TAB4",#N/A,TRUE,"GENERAL";"TAB5",#N/A,TRUE,"GENERAL"}</definedName>
    <definedName name="GJHVCB" localSheetId="20">{"TAB1",#N/A,TRUE,"GENERAL";"TAB2",#N/A,TRUE,"GENERAL";"TAB3",#N/A,TRUE,"GENERAL";"TAB4",#N/A,TRUE,"GENERAL";"TAB5",#N/A,TRUE,"GENERAL"}</definedName>
    <definedName name="GJHVCB" localSheetId="21">{"TAB1",#N/A,TRUE,"GENERAL";"TAB2",#N/A,TRUE,"GENERAL";"TAB3",#N/A,TRUE,"GENERAL";"TAB4",#N/A,TRUE,"GENERAL";"TAB5",#N/A,TRUE,"GENERAL"}</definedName>
    <definedName name="GJHVCB" localSheetId="9">{"TAB1",#N/A,TRUE,"GENERAL";"TAB2",#N/A,TRUE,"GENERAL";"TAB3",#N/A,TRUE,"GENERAL";"TAB4",#N/A,TRUE,"GENERAL";"TAB5",#N/A,TRUE,"GENERAL"}</definedName>
    <definedName name="GJHVCB" localSheetId="19">{"TAB1",#N/A,TRUE,"GENERAL";"TAB2",#N/A,TRUE,"GENERAL";"TAB3",#N/A,TRUE,"GENERAL";"TAB4",#N/A,TRUE,"GENERAL";"TAB5",#N/A,TRUE,"GENERAL"}</definedName>
    <definedName name="GJHVCB" localSheetId="28">{"TAB1",#N/A,TRUE,"GENERAL";"TAB2",#N/A,TRUE,"GENERAL";"TAB3",#N/A,TRUE,"GENERAL";"TAB4",#N/A,TRUE,"GENERAL";"TAB5",#N/A,TRUE,"GENERAL"}</definedName>
    <definedName name="GJHVCB" localSheetId="29">{"TAB1",#N/A,TRUE,"GENERAL";"TAB2",#N/A,TRUE,"GENERAL";"TAB3",#N/A,TRUE,"GENERAL";"TAB4",#N/A,TRUE,"GENERAL";"TAB5",#N/A,TRUE,"GENERAL"}</definedName>
    <definedName name="GJHVCB">{"TAB1",#N/A,TRUE,"GENERAL";"TAB2",#N/A,TRUE,"GENERAL";"TAB3",#N/A,TRUE,"GENERAL";"TAB4",#N/A,TRUE,"GENERAL";"TAB5",#N/A,TRUE,"GENERAL"}</definedName>
    <definedName name="gk" localSheetId="39">{"via1",#N/A,TRUE,"general";"via2",#N/A,TRUE,"general";"via3",#N/A,TRUE,"general"}</definedName>
    <definedName name="gk" localSheetId="20">{"via1",#N/A,TRUE,"general";"via2",#N/A,TRUE,"general";"via3",#N/A,TRUE,"general"}</definedName>
    <definedName name="gk" localSheetId="21">{"via1",#N/A,TRUE,"general";"via2",#N/A,TRUE,"general";"via3",#N/A,TRUE,"general"}</definedName>
    <definedName name="gk" localSheetId="9">{"via1",#N/A,TRUE,"general";"via2",#N/A,TRUE,"general";"via3",#N/A,TRUE,"general"}</definedName>
    <definedName name="gk" localSheetId="19">{"via1",#N/A,TRUE,"general";"via2",#N/A,TRUE,"general";"via3",#N/A,TRUE,"general"}</definedName>
    <definedName name="Gk" localSheetId="17">#REF!</definedName>
    <definedName name="Gk" localSheetId="18">#REF!</definedName>
    <definedName name="gk" localSheetId="28">{"via1",#N/A,TRUE,"general";"via2",#N/A,TRUE,"general";"via3",#N/A,TRUE,"general"}</definedName>
    <definedName name="gk" localSheetId="29">{"via1",#N/A,TRUE,"general";"via2",#N/A,TRUE,"general";"via3",#N/A,TRUE,"general"}</definedName>
    <definedName name="Gk" localSheetId="12">#REF!</definedName>
    <definedName name="gk">{"via1",#N/A,TRUE,"general";"via2",#N/A,TRUE,"general";"via3",#N/A,TRUE,"general"}</definedName>
    <definedName name="GKJDGDIJZ">"Imagen 3"</definedName>
    <definedName name="gl">#REF!</definedName>
    <definedName name="gmt">#REF!</definedName>
    <definedName name="gmvsa" localSheetId="9">'[26]Gabinetes ctrol, prot. y med. '!#REF!</definedName>
    <definedName name="gmvsa">'[26]Gabinetes ctrol, prot. y med. '!#REF!</definedName>
    <definedName name="gn">#REF!</definedName>
    <definedName name="gnm">#REF!</definedName>
    <definedName name="gñ">#REF!</definedName>
    <definedName name="GOpmasInversionAc" localSheetId="10">#REF!</definedName>
    <definedName name="GOpmasInversionAc" localSheetId="20">#REF!</definedName>
    <definedName name="GOpmasInversionAc" localSheetId="21">#REF!</definedName>
    <definedName name="GOpmasInversionAc">#REF!</definedName>
    <definedName name="GOpmasInversionAl" localSheetId="10">#REF!</definedName>
    <definedName name="GOpmasInversionAl" localSheetId="20">#REF!</definedName>
    <definedName name="GOpmasInversionAl" localSheetId="21">#REF!</definedName>
    <definedName name="GOpmasInversionAl">#REF!</definedName>
    <definedName name="gp">#REF!</definedName>
    <definedName name="GPS" localSheetId="39">#REF!</definedName>
    <definedName name="GPS" localSheetId="20">#REF!</definedName>
    <definedName name="GPS" localSheetId="21">#REF!</definedName>
    <definedName name="GPS">#REF!</definedName>
    <definedName name="GPSCostos">#REF!</definedName>
    <definedName name="_xlnm.Recorder">#REF!</definedName>
    <definedName name="Grados">#REF!</definedName>
    <definedName name="GRAF1ANO" localSheetId="39">{"via1",#N/A,TRUE,"general";"via2",#N/A,TRUE,"general";"via3",#N/A,TRUE,"general"}</definedName>
    <definedName name="GRAF1ANO" localSheetId="20">{"via1",#N/A,TRUE,"general";"via2",#N/A,TRUE,"general";"via3",#N/A,TRUE,"general"}</definedName>
    <definedName name="GRAF1ANO" localSheetId="21">{"via1",#N/A,TRUE,"general";"via2",#N/A,TRUE,"general";"via3",#N/A,TRUE,"general"}</definedName>
    <definedName name="GRAF1ANO" localSheetId="9">{"via1",#N/A,TRUE,"general";"via2",#N/A,TRUE,"general";"via3",#N/A,TRUE,"general"}</definedName>
    <definedName name="GRAF1ANO" localSheetId="19">{"via1",#N/A,TRUE,"general";"via2",#N/A,TRUE,"general";"via3",#N/A,TRUE,"general"}</definedName>
    <definedName name="GRAF1ANO" localSheetId="28">{"via1",#N/A,TRUE,"general";"via2",#N/A,TRUE,"general";"via3",#N/A,TRUE,"general"}</definedName>
    <definedName name="GRAF1ANO" localSheetId="29">{"via1",#N/A,TRUE,"general";"via2",#N/A,TRUE,"general";"via3",#N/A,TRUE,"general"}</definedName>
    <definedName name="GRAF1ANO">{"via1",#N/A,TRUE,"general";"via2",#N/A,TRUE,"general";"via3",#N/A,TRUE,"general"}</definedName>
    <definedName name="GRAF1AÑO" localSheetId="39">{"TAB1",#N/A,TRUE,"GENERAL";"TAB2",#N/A,TRUE,"GENERAL";"TAB3",#N/A,TRUE,"GENERAL";"TAB4",#N/A,TRUE,"GENERAL";"TAB5",#N/A,TRUE,"GENERAL"}</definedName>
    <definedName name="GRAF1AÑO" localSheetId="20">{"TAB1",#N/A,TRUE,"GENERAL";"TAB2",#N/A,TRUE,"GENERAL";"TAB3",#N/A,TRUE,"GENERAL";"TAB4",#N/A,TRUE,"GENERAL";"TAB5",#N/A,TRUE,"GENERAL"}</definedName>
    <definedName name="GRAF1AÑO" localSheetId="21">{"TAB1",#N/A,TRUE,"GENERAL";"TAB2",#N/A,TRUE,"GENERAL";"TAB3",#N/A,TRUE,"GENERAL";"TAB4",#N/A,TRUE,"GENERAL";"TAB5",#N/A,TRUE,"GENERAL"}</definedName>
    <definedName name="GRAF1AÑO" localSheetId="9">{"TAB1",#N/A,TRUE,"GENERAL";"TAB2",#N/A,TRUE,"GENERAL";"TAB3",#N/A,TRUE,"GENERAL";"TAB4",#N/A,TRUE,"GENERAL";"TAB5",#N/A,TRUE,"GENERAL"}</definedName>
    <definedName name="GRAF1AÑO" localSheetId="19">{"TAB1",#N/A,TRUE,"GENERAL";"TAB2",#N/A,TRUE,"GENERAL";"TAB3",#N/A,TRUE,"GENERAL";"TAB4",#N/A,TRUE,"GENERAL";"TAB5",#N/A,TRUE,"GENERAL"}</definedName>
    <definedName name="GRAF1AÑO" localSheetId="28">{"TAB1",#N/A,TRUE,"GENERAL";"TAB2",#N/A,TRUE,"GENERAL";"TAB3",#N/A,TRUE,"GENERAL";"TAB4",#N/A,TRUE,"GENERAL";"TAB5",#N/A,TRUE,"GENERAL"}</definedName>
    <definedName name="GRAF1AÑO" localSheetId="29">{"TAB1",#N/A,TRUE,"GENERAL";"TAB2",#N/A,TRUE,"GENERAL";"TAB3",#N/A,TRUE,"GENERAL";"TAB4",#N/A,TRUE,"GENERAL";"TAB5",#N/A,TRUE,"GENERAL"}</definedName>
    <definedName name="GRAF1AÑO">{"TAB1",#N/A,TRUE,"GENERAL";"TAB2",#N/A,TRUE,"GENERAL";"TAB3",#N/A,TRUE,"GENERAL";"TAB4",#N/A,TRUE,"GENERAL";"TAB5",#N/A,TRUE,"GENERAL"}</definedName>
    <definedName name="GRAF2">#REF!</definedName>
    <definedName name="GRAF3">#REF!</definedName>
    <definedName name="GRANITO">#REF!</definedName>
    <definedName name="GRANO">#REF!</definedName>
    <definedName name="gregds" localSheetId="39">{"TAB1",#N/A,TRUE,"GENERAL";"TAB2",#N/A,TRUE,"GENERAL";"TAB3",#N/A,TRUE,"GENERAL";"TAB4",#N/A,TRUE,"GENERAL";"TAB5",#N/A,TRUE,"GENERAL"}</definedName>
    <definedName name="gregds" localSheetId="20">{"TAB1",#N/A,TRUE,"GENERAL";"TAB2",#N/A,TRUE,"GENERAL";"TAB3",#N/A,TRUE,"GENERAL";"TAB4",#N/A,TRUE,"GENERAL";"TAB5",#N/A,TRUE,"GENERAL"}</definedName>
    <definedName name="gregds" localSheetId="21">{"TAB1",#N/A,TRUE,"GENERAL";"TAB2",#N/A,TRUE,"GENERAL";"TAB3",#N/A,TRUE,"GENERAL";"TAB4",#N/A,TRUE,"GENERAL";"TAB5",#N/A,TRUE,"GENERAL"}</definedName>
    <definedName name="gregds" localSheetId="9">{"TAB1",#N/A,TRUE,"GENERAL";"TAB2",#N/A,TRUE,"GENERAL";"TAB3",#N/A,TRUE,"GENERAL";"TAB4",#N/A,TRUE,"GENERAL";"TAB5",#N/A,TRUE,"GENERAL"}</definedName>
    <definedName name="gregds" localSheetId="19">{"TAB1",#N/A,TRUE,"GENERAL";"TAB2",#N/A,TRUE,"GENERAL";"TAB3",#N/A,TRUE,"GENERAL";"TAB4",#N/A,TRUE,"GENERAL";"TAB5",#N/A,TRUE,"GENERAL"}</definedName>
    <definedName name="gregds" localSheetId="28">{"TAB1",#N/A,TRUE,"GENERAL";"TAB2",#N/A,TRUE,"GENERAL";"TAB3",#N/A,TRUE,"GENERAL";"TAB4",#N/A,TRUE,"GENERAL";"TAB5",#N/A,TRUE,"GENERAL"}</definedName>
    <definedName name="gregds" localSheetId="29">{"TAB1",#N/A,TRUE,"GENERAL";"TAB2",#N/A,TRUE,"GENERAL";"TAB3",#N/A,TRUE,"GENERAL";"TAB4",#N/A,TRUE,"GENERAL";"TAB5",#N/A,TRUE,"GENERAL"}</definedName>
    <definedName name="gregds">{"TAB1",#N/A,TRUE,"GENERAL";"TAB2",#N/A,TRUE,"GENERAL";"TAB3",#N/A,TRUE,"GENERAL";"TAB4",#N/A,TRUE,"GENERAL";"TAB5",#N/A,TRUE,"GENERAL"}</definedName>
    <definedName name="grehrtyh" localSheetId="39">{"TAB1",#N/A,TRUE,"GENERAL";"TAB2",#N/A,TRUE,"GENERAL";"TAB3",#N/A,TRUE,"GENERAL";"TAB4",#N/A,TRUE,"GENERAL";"TAB5",#N/A,TRUE,"GENERAL"}</definedName>
    <definedName name="grehrtyh" localSheetId="20">{"TAB1",#N/A,TRUE,"GENERAL";"TAB2",#N/A,TRUE,"GENERAL";"TAB3",#N/A,TRUE,"GENERAL";"TAB4",#N/A,TRUE,"GENERAL";"TAB5",#N/A,TRUE,"GENERAL"}</definedName>
    <definedName name="grehrtyh" localSheetId="21">{"TAB1",#N/A,TRUE,"GENERAL";"TAB2",#N/A,TRUE,"GENERAL";"TAB3",#N/A,TRUE,"GENERAL";"TAB4",#N/A,TRUE,"GENERAL";"TAB5",#N/A,TRUE,"GENERAL"}</definedName>
    <definedName name="grehrtyh" localSheetId="9">{"TAB1",#N/A,TRUE,"GENERAL";"TAB2",#N/A,TRUE,"GENERAL";"TAB3",#N/A,TRUE,"GENERAL";"TAB4",#N/A,TRUE,"GENERAL";"TAB5",#N/A,TRUE,"GENERAL"}</definedName>
    <definedName name="grehrtyh" localSheetId="19">{"TAB1",#N/A,TRUE,"GENERAL";"TAB2",#N/A,TRUE,"GENERAL";"TAB3",#N/A,TRUE,"GENERAL";"TAB4",#N/A,TRUE,"GENERAL";"TAB5",#N/A,TRUE,"GENERAL"}</definedName>
    <definedName name="grehrtyh" localSheetId="28">{"TAB1",#N/A,TRUE,"GENERAL";"TAB2",#N/A,TRUE,"GENERAL";"TAB3",#N/A,TRUE,"GENERAL";"TAB4",#N/A,TRUE,"GENERAL";"TAB5",#N/A,TRUE,"GENERAL"}</definedName>
    <definedName name="grehrtyh" localSheetId="29">{"TAB1",#N/A,TRUE,"GENERAL";"TAB2",#N/A,TRUE,"GENERAL";"TAB3",#N/A,TRUE,"GENERAL";"TAB4",#N/A,TRUE,"GENERAL";"TAB5",#N/A,TRUE,"GENERAL"}</definedName>
    <definedName name="grehrtyh">{"TAB1",#N/A,TRUE,"GENERAL";"TAB2",#N/A,TRUE,"GENERAL";"TAB3",#N/A,TRUE,"GENERAL";"TAB4",#N/A,TRUE,"GENERAL";"TAB5",#N/A,TRUE,"GENERAL"}</definedName>
    <definedName name="grggwero" localSheetId="39">{"via1",#N/A,TRUE,"general";"via2",#N/A,TRUE,"general";"via3",#N/A,TRUE,"general"}</definedName>
    <definedName name="grggwero" localSheetId="20">{"via1",#N/A,TRUE,"general";"via2",#N/A,TRUE,"general";"via3",#N/A,TRUE,"general"}</definedName>
    <definedName name="grggwero" localSheetId="21">{"via1",#N/A,TRUE,"general";"via2",#N/A,TRUE,"general";"via3",#N/A,TRUE,"general"}</definedName>
    <definedName name="grggwero" localSheetId="9">{"via1",#N/A,TRUE,"general";"via2",#N/A,TRUE,"general";"via3",#N/A,TRUE,"general"}</definedName>
    <definedName name="grggwero" localSheetId="19">{"via1",#N/A,TRUE,"general";"via2",#N/A,TRUE,"general";"via3",#N/A,TRUE,"general"}</definedName>
    <definedName name="grggwero" localSheetId="28">{"via1",#N/A,TRUE,"general";"via2",#N/A,TRUE,"general";"via3",#N/A,TRUE,"general"}</definedName>
    <definedName name="grggwero" localSheetId="29">{"via1",#N/A,TRUE,"general";"via2",#N/A,TRUE,"general";"via3",#N/A,TRUE,"general"}</definedName>
    <definedName name="grggwero">{"via1",#N/A,TRUE,"general";"via2",#N/A,TRUE,"general";"via3",#N/A,TRUE,"general"}</definedName>
    <definedName name="GRGRG">#REF!</definedName>
    <definedName name="grl">#REF!</definedName>
    <definedName name="grtyerh" localSheetId="39">{"TAB1",#N/A,TRUE,"GENERAL";"TAB2",#N/A,TRUE,"GENERAL";"TAB3",#N/A,TRUE,"GENERAL";"TAB4",#N/A,TRUE,"GENERAL";"TAB5",#N/A,TRUE,"GENERAL"}</definedName>
    <definedName name="grtyerh" localSheetId="20">{"TAB1",#N/A,TRUE,"GENERAL";"TAB2",#N/A,TRUE,"GENERAL";"TAB3",#N/A,TRUE,"GENERAL";"TAB4",#N/A,TRUE,"GENERAL";"TAB5",#N/A,TRUE,"GENERAL"}</definedName>
    <definedName name="grtyerh" localSheetId="21">{"TAB1",#N/A,TRUE,"GENERAL";"TAB2",#N/A,TRUE,"GENERAL";"TAB3",#N/A,TRUE,"GENERAL";"TAB4",#N/A,TRUE,"GENERAL";"TAB5",#N/A,TRUE,"GENERAL"}</definedName>
    <definedName name="grtyerh" localSheetId="9">{"TAB1",#N/A,TRUE,"GENERAL";"TAB2",#N/A,TRUE,"GENERAL";"TAB3",#N/A,TRUE,"GENERAL";"TAB4",#N/A,TRUE,"GENERAL";"TAB5",#N/A,TRUE,"GENERAL"}</definedName>
    <definedName name="grtyerh" localSheetId="19">{"TAB1",#N/A,TRUE,"GENERAL";"TAB2",#N/A,TRUE,"GENERAL";"TAB3",#N/A,TRUE,"GENERAL";"TAB4",#N/A,TRUE,"GENERAL";"TAB5",#N/A,TRUE,"GENERAL"}</definedName>
    <definedName name="grtyerh" localSheetId="28">{"TAB1",#N/A,TRUE,"GENERAL";"TAB2",#N/A,TRUE,"GENERAL";"TAB3",#N/A,TRUE,"GENERAL";"TAB4",#N/A,TRUE,"GENERAL";"TAB5",#N/A,TRUE,"GENERAL"}</definedName>
    <definedName name="grtyerh" localSheetId="29">{"TAB1",#N/A,TRUE,"GENERAL";"TAB2",#N/A,TRUE,"GENERAL";"TAB3",#N/A,TRUE,"GENERAL";"TAB4",#N/A,TRUE,"GENERAL";"TAB5",#N/A,TRUE,"GENERAL"}</definedName>
    <definedName name="grtyerh">{"TAB1",#N/A,TRUE,"GENERAL";"TAB2",#N/A,TRUE,"GENERAL";"TAB3",#N/A,TRUE,"GENERAL";"TAB4",#N/A,TRUE,"GENERAL";"TAB5",#N/A,TRUE,"GENERAL"}</definedName>
    <definedName name="GRUPO">#REF!</definedName>
    <definedName name="GRUPO1">#REF!</definedName>
    <definedName name="GRUPO2">#REF!</definedName>
    <definedName name="GSDG" localSheetId="39">{"TAB1",#N/A,TRUE,"GENERAL";"TAB2",#N/A,TRUE,"GENERAL";"TAB3",#N/A,TRUE,"GENERAL";"TAB4",#N/A,TRUE,"GENERAL";"TAB5",#N/A,TRUE,"GENERAL"}</definedName>
    <definedName name="GSDG" localSheetId="20">{"TAB1",#N/A,TRUE,"GENERAL";"TAB2",#N/A,TRUE,"GENERAL";"TAB3",#N/A,TRUE,"GENERAL";"TAB4",#N/A,TRUE,"GENERAL";"TAB5",#N/A,TRUE,"GENERAL"}</definedName>
    <definedName name="GSDG" localSheetId="21">{"TAB1",#N/A,TRUE,"GENERAL";"TAB2",#N/A,TRUE,"GENERAL";"TAB3",#N/A,TRUE,"GENERAL";"TAB4",#N/A,TRUE,"GENERAL";"TAB5",#N/A,TRUE,"GENERAL"}</definedName>
    <definedName name="GSDG" localSheetId="9">{"TAB1",#N/A,TRUE,"GENERAL";"TAB2",#N/A,TRUE,"GENERAL";"TAB3",#N/A,TRUE,"GENERAL";"TAB4",#N/A,TRUE,"GENERAL";"TAB5",#N/A,TRUE,"GENERAL"}</definedName>
    <definedName name="GSDG" localSheetId="19">{"TAB1",#N/A,TRUE,"GENERAL";"TAB2",#N/A,TRUE,"GENERAL";"TAB3",#N/A,TRUE,"GENERAL";"TAB4",#N/A,TRUE,"GENERAL";"TAB5",#N/A,TRUE,"GENERAL"}</definedName>
    <definedName name="GSDG" localSheetId="28">{"TAB1",#N/A,TRUE,"GENERAL";"TAB2",#N/A,TRUE,"GENERAL";"TAB3",#N/A,TRUE,"GENERAL";"TAB4",#N/A,TRUE,"GENERAL";"TAB5",#N/A,TRUE,"GENERAL"}</definedName>
    <definedName name="GSDG" localSheetId="29">{"TAB1",#N/A,TRUE,"GENERAL";"TAB2",#N/A,TRUE,"GENERAL";"TAB3",#N/A,TRUE,"GENERAL";"TAB4",#N/A,TRUE,"GENERAL";"TAB5",#N/A,TRUE,"GENERAL"}</definedName>
    <definedName name="GSDG">{"TAB1",#N/A,TRUE,"GENERAL";"TAB2",#N/A,TRUE,"GENERAL";"TAB3",#N/A,TRUE,"GENERAL";"TAB4",#N/A,TRUE,"GENERAL";"TAB5",#N/A,TRUE,"GENERAL"}</definedName>
    <definedName name="gsfsf" localSheetId="39">{"via1",#N/A,TRUE,"general";"via2",#N/A,TRUE,"general";"via3",#N/A,TRUE,"general"}</definedName>
    <definedName name="gsfsf" localSheetId="20">{"via1",#N/A,TRUE,"general";"via2",#N/A,TRUE,"general";"via3",#N/A,TRUE,"general"}</definedName>
    <definedName name="gsfsf" localSheetId="21">{"via1",#N/A,TRUE,"general";"via2",#N/A,TRUE,"general";"via3",#N/A,TRUE,"general"}</definedName>
    <definedName name="gsfsf" localSheetId="9">{"via1",#N/A,TRUE,"general";"via2",#N/A,TRUE,"general";"via3",#N/A,TRUE,"general"}</definedName>
    <definedName name="gsfsf" localSheetId="19">{"via1",#N/A,TRUE,"general";"via2",#N/A,TRUE,"general";"via3",#N/A,TRUE,"general"}</definedName>
    <definedName name="gsfsf" localSheetId="28">{"via1",#N/A,TRUE,"general";"via2",#N/A,TRUE,"general";"via3",#N/A,TRUE,"general"}</definedName>
    <definedName name="gsfsf" localSheetId="29">{"via1",#N/A,TRUE,"general";"via2",#N/A,TRUE,"general";"via3",#N/A,TRUE,"general"}</definedName>
    <definedName name="gsfsf">{"via1",#N/A,TRUE,"general";"via2",#N/A,TRUE,"general";"via3",#N/A,TRUE,"general"}</definedName>
    <definedName name="GT" localSheetId="22">IF([0]!LG=9,[0]!FES,"")</definedName>
    <definedName name="GT" localSheetId="21">IF([0]!LG=9,[0]!FES,"")</definedName>
    <definedName name="GT" localSheetId="17">IF([0]!LG=9,[0]!FES,"")</definedName>
    <definedName name="GT" localSheetId="28">IF([0]!LG=9,[0]!FES,"")</definedName>
    <definedName name="GT" localSheetId="29">IF([0]!LG=9,[0]!FES,"")</definedName>
    <definedName name="GT" localSheetId="12">IF([0]!LG=9,[0]!FES,"")</definedName>
    <definedName name="GT">IF([0]!LG=9,[0]!FES,"")</definedName>
    <definedName name="gte">#REF!</definedName>
    <definedName name="gtgt" localSheetId="39">{"via1",#N/A,TRUE,"general";"via2",#N/A,TRUE,"general";"via3",#N/A,TRUE,"general"}</definedName>
    <definedName name="gtgt" localSheetId="20">{"via1",#N/A,TRUE,"general";"via2",#N/A,TRUE,"general";"via3",#N/A,TRUE,"general"}</definedName>
    <definedName name="gtgt" localSheetId="21">{"via1",#N/A,TRUE,"general";"via2",#N/A,TRUE,"general";"via3",#N/A,TRUE,"general"}</definedName>
    <definedName name="gtgt" localSheetId="9">{"via1",#N/A,TRUE,"general";"via2",#N/A,TRUE,"general";"via3",#N/A,TRUE,"general"}</definedName>
    <definedName name="gtgt" localSheetId="19">{"via1",#N/A,TRUE,"general";"via2",#N/A,TRUE,"general";"via3",#N/A,TRUE,"general"}</definedName>
    <definedName name="gtgt" localSheetId="28">{"via1",#N/A,TRUE,"general";"via2",#N/A,TRUE,"general";"via3",#N/A,TRUE,"general"}</definedName>
    <definedName name="gtgt" localSheetId="29">{"via1",#N/A,TRUE,"general";"via2",#N/A,TRUE,"general";"via3",#N/A,TRUE,"general"}</definedName>
    <definedName name="gtgt">{"via1",#N/A,TRUE,"general";"via2",#N/A,TRUE,"general";"via3",#N/A,TRUE,"general"}</definedName>
    <definedName name="gtgtg" localSheetId="39">{"via1",#N/A,TRUE,"general";"via2",#N/A,TRUE,"general";"via3",#N/A,TRUE,"general"}</definedName>
    <definedName name="gtgtg" localSheetId="20">{"via1",#N/A,TRUE,"general";"via2",#N/A,TRUE,"general";"via3",#N/A,TRUE,"general"}</definedName>
    <definedName name="gtgtg" localSheetId="21">{"via1",#N/A,TRUE,"general";"via2",#N/A,TRUE,"general";"via3",#N/A,TRUE,"general"}</definedName>
    <definedName name="gtgtg" localSheetId="9">{"via1",#N/A,TRUE,"general";"via2",#N/A,TRUE,"general";"via3",#N/A,TRUE,"general"}</definedName>
    <definedName name="gtgtg" localSheetId="19">{"via1",#N/A,TRUE,"general";"via2",#N/A,TRUE,"general";"via3",#N/A,TRUE,"general"}</definedName>
    <definedName name="gtgtg" localSheetId="28">{"via1",#N/A,TRUE,"general";"via2",#N/A,TRUE,"general";"via3",#N/A,TRUE,"general"}</definedName>
    <definedName name="gtgtg" localSheetId="29">{"via1",#N/A,TRUE,"general";"via2",#N/A,TRUE,"general";"via3",#N/A,TRUE,"general"}</definedName>
    <definedName name="gtgtg">{"via1",#N/A,TRUE,"general";"via2",#N/A,TRUE,"general";"via3",#N/A,TRUE,"general"}</definedName>
    <definedName name="gtgtgff" localSheetId="39">{"via1",#N/A,TRUE,"general";"via2",#N/A,TRUE,"general";"via3",#N/A,TRUE,"general"}</definedName>
    <definedName name="gtgtgff" localSheetId="20">{"via1",#N/A,TRUE,"general";"via2",#N/A,TRUE,"general";"via3",#N/A,TRUE,"general"}</definedName>
    <definedName name="gtgtgff" localSheetId="21">{"via1",#N/A,TRUE,"general";"via2",#N/A,TRUE,"general";"via3",#N/A,TRUE,"general"}</definedName>
    <definedName name="gtgtgff" localSheetId="9">{"via1",#N/A,TRUE,"general";"via2",#N/A,TRUE,"general";"via3",#N/A,TRUE,"general"}</definedName>
    <definedName name="gtgtgff" localSheetId="19">{"via1",#N/A,TRUE,"general";"via2",#N/A,TRUE,"general";"via3",#N/A,TRUE,"general"}</definedName>
    <definedName name="gtgtgff" localSheetId="28">{"via1",#N/A,TRUE,"general";"via2",#N/A,TRUE,"general";"via3",#N/A,TRUE,"general"}</definedName>
    <definedName name="gtgtgff" localSheetId="29">{"via1",#N/A,TRUE,"general";"via2",#N/A,TRUE,"general";"via3",#N/A,TRUE,"general"}</definedName>
    <definedName name="gtgtgff">{"via1",#N/A,TRUE,"general";"via2",#N/A,TRUE,"general";"via3",#N/A,TRUE,"general"}</definedName>
    <definedName name="gtgtgyh" localSheetId="39">{"TAB1",#N/A,TRUE,"GENERAL";"TAB2",#N/A,TRUE,"GENERAL";"TAB3",#N/A,TRUE,"GENERAL";"TAB4",#N/A,TRUE,"GENERAL";"TAB5",#N/A,TRUE,"GENERAL"}</definedName>
    <definedName name="gtgtgyh" localSheetId="20">{"TAB1",#N/A,TRUE,"GENERAL";"TAB2",#N/A,TRUE,"GENERAL";"TAB3",#N/A,TRUE,"GENERAL";"TAB4",#N/A,TRUE,"GENERAL";"TAB5",#N/A,TRUE,"GENERAL"}</definedName>
    <definedName name="gtgtgyh" localSheetId="21">{"TAB1",#N/A,TRUE,"GENERAL";"TAB2",#N/A,TRUE,"GENERAL";"TAB3",#N/A,TRUE,"GENERAL";"TAB4",#N/A,TRUE,"GENERAL";"TAB5",#N/A,TRUE,"GENERAL"}</definedName>
    <definedName name="gtgtgyh" localSheetId="9">{"TAB1",#N/A,TRUE,"GENERAL";"TAB2",#N/A,TRUE,"GENERAL";"TAB3",#N/A,TRUE,"GENERAL";"TAB4",#N/A,TRUE,"GENERAL";"TAB5",#N/A,TRUE,"GENERAL"}</definedName>
    <definedName name="gtgtgyh" localSheetId="19">{"TAB1",#N/A,TRUE,"GENERAL";"TAB2",#N/A,TRUE,"GENERAL";"TAB3",#N/A,TRUE,"GENERAL";"TAB4",#N/A,TRUE,"GENERAL";"TAB5",#N/A,TRUE,"GENERAL"}</definedName>
    <definedName name="gtgtgyh" localSheetId="28">{"TAB1",#N/A,TRUE,"GENERAL";"TAB2",#N/A,TRUE,"GENERAL";"TAB3",#N/A,TRUE,"GENERAL";"TAB4",#N/A,TRUE,"GENERAL";"TAB5",#N/A,TRUE,"GENERAL"}</definedName>
    <definedName name="gtgtgyh" localSheetId="29">{"TAB1",#N/A,TRUE,"GENERAL";"TAB2",#N/A,TRUE,"GENERAL";"TAB3",#N/A,TRUE,"GENERAL";"TAB4",#N/A,TRUE,"GENERAL";"TAB5",#N/A,TRUE,"GENERAL"}</definedName>
    <definedName name="gtgtgyh">{"TAB1",#N/A,TRUE,"GENERAL";"TAB2",#N/A,TRUE,"GENERAL";"TAB3",#N/A,TRUE,"GENERAL";"TAB4",#N/A,TRUE,"GENERAL";"TAB5",#N/A,TRUE,"GENERAL"}</definedName>
    <definedName name="gtgth" localSheetId="39">{"TAB1",#N/A,TRUE,"GENERAL";"TAB2",#N/A,TRUE,"GENERAL";"TAB3",#N/A,TRUE,"GENERAL";"TAB4",#N/A,TRUE,"GENERAL";"TAB5",#N/A,TRUE,"GENERAL"}</definedName>
    <definedName name="gtgth" localSheetId="20">{"TAB1",#N/A,TRUE,"GENERAL";"TAB2",#N/A,TRUE,"GENERAL";"TAB3",#N/A,TRUE,"GENERAL";"TAB4",#N/A,TRUE,"GENERAL";"TAB5",#N/A,TRUE,"GENERAL"}</definedName>
    <definedName name="gtgth" localSheetId="21">{"TAB1",#N/A,TRUE,"GENERAL";"TAB2",#N/A,TRUE,"GENERAL";"TAB3",#N/A,TRUE,"GENERAL";"TAB4",#N/A,TRUE,"GENERAL";"TAB5",#N/A,TRUE,"GENERAL"}</definedName>
    <definedName name="gtgth" localSheetId="9">{"TAB1",#N/A,TRUE,"GENERAL";"TAB2",#N/A,TRUE,"GENERAL";"TAB3",#N/A,TRUE,"GENERAL";"TAB4",#N/A,TRUE,"GENERAL";"TAB5",#N/A,TRUE,"GENERAL"}</definedName>
    <definedName name="gtgth" localSheetId="19">{"TAB1",#N/A,TRUE,"GENERAL";"TAB2",#N/A,TRUE,"GENERAL";"TAB3",#N/A,TRUE,"GENERAL";"TAB4",#N/A,TRUE,"GENERAL";"TAB5",#N/A,TRUE,"GENERAL"}</definedName>
    <definedName name="gtgth" localSheetId="28">{"TAB1",#N/A,TRUE,"GENERAL";"TAB2",#N/A,TRUE,"GENERAL";"TAB3",#N/A,TRUE,"GENERAL";"TAB4",#N/A,TRUE,"GENERAL";"TAB5",#N/A,TRUE,"GENERAL"}</definedName>
    <definedName name="gtgth" localSheetId="29">{"TAB1",#N/A,TRUE,"GENERAL";"TAB2",#N/A,TRUE,"GENERAL";"TAB3",#N/A,TRUE,"GENERAL";"TAB4",#N/A,TRUE,"GENERAL";"TAB5",#N/A,TRUE,"GENERAL"}</definedName>
    <definedName name="gtgth">{"TAB1",#N/A,TRUE,"GENERAL";"TAB2",#N/A,TRUE,"GENERAL";"TAB3",#N/A,TRUE,"GENERAL";"TAB4",#N/A,TRUE,"GENERAL";"TAB5",#N/A,TRUE,"GENERAL"}</definedName>
    <definedName name="GTI">#REF!</definedName>
    <definedName name="GUAINÍA" localSheetId="20">'CRONOGRAMA Y FLUJO (OXI)'!#REF!</definedName>
    <definedName name="GUAINÍA" localSheetId="21">'CRONOGRAMA Y FLUJO .'!#REF!</definedName>
    <definedName name="GUAINÍA" localSheetId="17">[69]PRESUPUESTO!#REF!</definedName>
    <definedName name="GUAINÍA" localSheetId="18">[69]PRESUPUESTO!#REF!</definedName>
    <definedName name="GUAINÍA" localSheetId="28">[70]PRESUPUESTO!#REF!</definedName>
    <definedName name="GUAINÍA" localSheetId="29">[70]PRESUPUESTO!#REF!</definedName>
    <definedName name="GUAINÍA" localSheetId="12">[69]PRESUPUESTO!#REF!</definedName>
    <definedName name="GUAINÍA">[68]PRESUPUESTO!#REF!</definedName>
    <definedName name="guardaescoba">[55]lisprecios!#REF!</definedName>
    <definedName name="GUAVIARE" localSheetId="20">'CRONOGRAMA Y FLUJO (OXI)'!#REF!</definedName>
    <definedName name="GUAVIARE" localSheetId="21">'CRONOGRAMA Y FLUJO .'!#REF!</definedName>
    <definedName name="GUAVIARE" localSheetId="17">[69]PRESUPUESTO!#REF!</definedName>
    <definedName name="GUAVIARE" localSheetId="18">[69]PRESUPUESTO!#REF!</definedName>
    <definedName name="GUAVIARE" localSheetId="28">[70]PRESUPUESTO!#REF!</definedName>
    <definedName name="GUAVIARE" localSheetId="29">[70]PRESUPUESTO!#REF!</definedName>
    <definedName name="GUAVIARE" localSheetId="12">[69]PRESUPUESTO!#REF!</definedName>
    <definedName name="GUAVIARE">[68]PRESUPUESTO!#REF!</definedName>
    <definedName name="guias">[162]Guias_Sectoriales!$A$1:$A$12</definedName>
    <definedName name="Gv">#REF!</definedName>
    <definedName name="GVFDSVDSFGFFD" localSheetId="39">#REF!</definedName>
    <definedName name="GVFDSVDSFGFFD" localSheetId="20">#REF!</definedName>
    <definedName name="GVFDSVDSFGFFD" localSheetId="21">#REF!</definedName>
    <definedName name="GVFDSVDSFGFFD" localSheetId="9">#REF!</definedName>
    <definedName name="GVFDSVDSFGFFD" localSheetId="19">#REF!</definedName>
    <definedName name="GVFDSVDSFGFFD">#REF!</definedName>
    <definedName name="Gw">#REF!</definedName>
    <definedName name="gy">#REF!</definedName>
    <definedName name="h">#REF!</definedName>
    <definedName name="H.L._INGENIEROS___API_LTDA">[20]UNIT081!#REF!</definedName>
    <definedName name="h_PISOS_Y_PAVIMENTO">#REF!</definedName>
    <definedName name="h9h" localSheetId="39">{"via1",#N/A,TRUE,"general";"via2",#N/A,TRUE,"general";"via3",#N/A,TRUE,"general"}</definedName>
    <definedName name="h9h" localSheetId="20">{"via1",#N/A,TRUE,"general";"via2",#N/A,TRUE,"general";"via3",#N/A,TRUE,"general"}</definedName>
    <definedName name="h9h" localSheetId="21">{"via1",#N/A,TRUE,"general";"via2",#N/A,TRUE,"general";"via3",#N/A,TRUE,"general"}</definedName>
    <definedName name="h9h" localSheetId="9">{"via1",#N/A,TRUE,"general";"via2",#N/A,TRUE,"general";"via3",#N/A,TRUE,"general"}</definedName>
    <definedName name="h9h" localSheetId="19">{"via1",#N/A,TRUE,"general";"via2",#N/A,TRUE,"general";"via3",#N/A,TRUE,"general"}</definedName>
    <definedName name="h9h" localSheetId="28">{"via1",#N/A,TRUE,"general";"via2",#N/A,TRUE,"general";"via3",#N/A,TRUE,"general"}</definedName>
    <definedName name="h9h" localSheetId="29">{"via1",#N/A,TRUE,"general";"via2",#N/A,TRUE,"general";"via3",#N/A,TRUE,"general"}</definedName>
    <definedName name="h9h">{"via1",#N/A,TRUE,"general";"via2",#N/A,TRUE,"general";"via3",#N/A,TRUE,"general"}</definedName>
    <definedName name="Ha">#REF!</definedName>
    <definedName name="hab___viv">#REF!</definedName>
    <definedName name="hayud">#REF!</definedName>
    <definedName name="Hb">#REF!</definedName>
    <definedName name="hbfdhrw" localSheetId="39">{"TAB1",#N/A,TRUE,"GENERAL";"TAB2",#N/A,TRUE,"GENERAL";"TAB3",#N/A,TRUE,"GENERAL";"TAB4",#N/A,TRUE,"GENERAL";"TAB5",#N/A,TRUE,"GENERAL"}</definedName>
    <definedName name="hbfdhrw" localSheetId="20">{"TAB1",#N/A,TRUE,"GENERAL";"TAB2",#N/A,TRUE,"GENERAL";"TAB3",#N/A,TRUE,"GENERAL";"TAB4",#N/A,TRUE,"GENERAL";"TAB5",#N/A,TRUE,"GENERAL"}</definedName>
    <definedName name="hbfdhrw" localSheetId="21">{"TAB1",#N/A,TRUE,"GENERAL";"TAB2",#N/A,TRUE,"GENERAL";"TAB3",#N/A,TRUE,"GENERAL";"TAB4",#N/A,TRUE,"GENERAL";"TAB5",#N/A,TRUE,"GENERAL"}</definedName>
    <definedName name="hbfdhrw" localSheetId="9">{"TAB1",#N/A,TRUE,"GENERAL";"TAB2",#N/A,TRUE,"GENERAL";"TAB3",#N/A,TRUE,"GENERAL";"TAB4",#N/A,TRUE,"GENERAL";"TAB5",#N/A,TRUE,"GENERAL"}</definedName>
    <definedName name="hbfdhrw" localSheetId="19">{"TAB1",#N/A,TRUE,"GENERAL";"TAB2",#N/A,TRUE,"GENERAL";"TAB3",#N/A,TRUE,"GENERAL";"TAB4",#N/A,TRUE,"GENERAL";"TAB5",#N/A,TRUE,"GENERAL"}</definedName>
    <definedName name="hbfdhrw" localSheetId="28">{"TAB1",#N/A,TRUE,"GENERAL";"TAB2",#N/A,TRUE,"GENERAL";"TAB3",#N/A,TRUE,"GENERAL";"TAB4",#N/A,TRUE,"GENERAL";"TAB5",#N/A,TRUE,"GENERAL"}</definedName>
    <definedName name="hbfdhrw" localSheetId="29">{"TAB1",#N/A,TRUE,"GENERAL";"TAB2",#N/A,TRUE,"GENERAL";"TAB3",#N/A,TRUE,"GENERAL";"TAB4",#N/A,TRUE,"GENERAL";"TAB5",#N/A,TRUE,"GENERAL"}</definedName>
    <definedName name="hbfdhrw">{"TAB1",#N/A,TRUE,"GENERAL";"TAB2",#N/A,TRUE,"GENERAL";"TAB3",#N/A,TRUE,"GENERAL";"TAB4",#N/A,TRUE,"GENERAL";"TAB5",#N/A,TRUE,"GENERAL"}</definedName>
    <definedName name="HC_Accesorios">#REF!</definedName>
    <definedName name="HC_CANON_ESP">#REF!</definedName>
    <definedName name="HC_CanonInterpolado">#REF!</definedName>
    <definedName name="HC_Capital">#REF!</definedName>
    <definedName name="HC_Capital_Congelado">#REF!</definedName>
    <definedName name="HC_CapitalInicio">#REF!</definedName>
    <definedName name="HCAccesoriosPrecPub">#REF!</definedName>
    <definedName name="hcamion">#REF!</definedName>
    <definedName name="hdfh" localSheetId="39">{"via1",#N/A,TRUE,"general";"via2",#N/A,TRUE,"general";"via3",#N/A,TRUE,"general"}</definedName>
    <definedName name="hdfh" localSheetId="20">{"via1",#N/A,TRUE,"general";"via2",#N/A,TRUE,"general";"via3",#N/A,TRUE,"general"}</definedName>
    <definedName name="hdfh" localSheetId="21">{"via1",#N/A,TRUE,"general";"via2",#N/A,TRUE,"general";"via3",#N/A,TRUE,"general"}</definedName>
    <definedName name="hdfh" localSheetId="9">{"via1",#N/A,TRUE,"general";"via2",#N/A,TRUE,"general";"via3",#N/A,TRUE,"general"}</definedName>
    <definedName name="hdfh" localSheetId="19">{"via1",#N/A,TRUE,"general";"via2",#N/A,TRUE,"general";"via3",#N/A,TRUE,"general"}</definedName>
    <definedName name="hdfh" localSheetId="28">{"via1",#N/A,TRUE,"general";"via2",#N/A,TRUE,"general";"via3",#N/A,TRUE,"general"}</definedName>
    <definedName name="hdfh" localSheetId="29">{"via1",#N/A,TRUE,"general";"via2",#N/A,TRUE,"general";"via3",#N/A,TRUE,"general"}</definedName>
    <definedName name="hdfh">{"via1",#N/A,TRUE,"general";"via2",#N/A,TRUE,"general";"via3",#N/A,TRUE,"general"}</definedName>
    <definedName name="hdfh4" localSheetId="39">{"TAB1",#N/A,TRUE,"GENERAL";"TAB2",#N/A,TRUE,"GENERAL";"TAB3",#N/A,TRUE,"GENERAL";"TAB4",#N/A,TRUE,"GENERAL";"TAB5",#N/A,TRUE,"GENERAL"}</definedName>
    <definedName name="hdfh4" localSheetId="20">{"TAB1",#N/A,TRUE,"GENERAL";"TAB2",#N/A,TRUE,"GENERAL";"TAB3",#N/A,TRUE,"GENERAL";"TAB4",#N/A,TRUE,"GENERAL";"TAB5",#N/A,TRUE,"GENERAL"}</definedName>
    <definedName name="hdfh4" localSheetId="21">{"TAB1",#N/A,TRUE,"GENERAL";"TAB2",#N/A,TRUE,"GENERAL";"TAB3",#N/A,TRUE,"GENERAL";"TAB4",#N/A,TRUE,"GENERAL";"TAB5",#N/A,TRUE,"GENERAL"}</definedName>
    <definedName name="hdfh4" localSheetId="9">{"TAB1",#N/A,TRUE,"GENERAL";"TAB2",#N/A,TRUE,"GENERAL";"TAB3",#N/A,TRUE,"GENERAL";"TAB4",#N/A,TRUE,"GENERAL";"TAB5",#N/A,TRUE,"GENERAL"}</definedName>
    <definedName name="hdfh4" localSheetId="19">{"TAB1",#N/A,TRUE,"GENERAL";"TAB2",#N/A,TRUE,"GENERAL";"TAB3",#N/A,TRUE,"GENERAL";"TAB4",#N/A,TRUE,"GENERAL";"TAB5",#N/A,TRUE,"GENERAL"}</definedName>
    <definedName name="hdfh4" localSheetId="28">{"TAB1",#N/A,TRUE,"GENERAL";"TAB2",#N/A,TRUE,"GENERAL";"TAB3",#N/A,TRUE,"GENERAL";"TAB4",#N/A,TRUE,"GENERAL";"TAB5",#N/A,TRUE,"GENERAL"}</definedName>
    <definedName name="hdfh4" localSheetId="29">{"TAB1",#N/A,TRUE,"GENERAL";"TAB2",#N/A,TRUE,"GENERAL";"TAB3",#N/A,TRUE,"GENERAL";"TAB4",#N/A,TRUE,"GENERAL";"TAB5",#N/A,TRUE,"GENERAL"}</definedName>
    <definedName name="hdfh4">{"TAB1",#N/A,TRUE,"GENERAL";"TAB2",#N/A,TRUE,"GENERAL";"TAB3",#N/A,TRUE,"GENERAL";"TAB4",#N/A,TRUE,"GENERAL";"TAB5",#N/A,TRUE,"GENERAL"}</definedName>
    <definedName name="hdfhwq" localSheetId="39">{"TAB1",#N/A,TRUE,"GENERAL";"TAB2",#N/A,TRUE,"GENERAL";"TAB3",#N/A,TRUE,"GENERAL";"TAB4",#N/A,TRUE,"GENERAL";"TAB5",#N/A,TRUE,"GENERAL"}</definedName>
    <definedName name="hdfhwq" localSheetId="20">{"TAB1",#N/A,TRUE,"GENERAL";"TAB2",#N/A,TRUE,"GENERAL";"TAB3",#N/A,TRUE,"GENERAL";"TAB4",#N/A,TRUE,"GENERAL";"TAB5",#N/A,TRUE,"GENERAL"}</definedName>
    <definedName name="hdfhwq" localSheetId="21">{"TAB1",#N/A,TRUE,"GENERAL";"TAB2",#N/A,TRUE,"GENERAL";"TAB3",#N/A,TRUE,"GENERAL";"TAB4",#N/A,TRUE,"GENERAL";"TAB5",#N/A,TRUE,"GENERAL"}</definedName>
    <definedName name="hdfhwq" localSheetId="9">{"TAB1",#N/A,TRUE,"GENERAL";"TAB2",#N/A,TRUE,"GENERAL";"TAB3",#N/A,TRUE,"GENERAL";"TAB4",#N/A,TRUE,"GENERAL";"TAB5",#N/A,TRUE,"GENERAL"}</definedName>
    <definedName name="hdfhwq" localSheetId="19">{"TAB1",#N/A,TRUE,"GENERAL";"TAB2",#N/A,TRUE,"GENERAL";"TAB3",#N/A,TRUE,"GENERAL";"TAB4",#N/A,TRUE,"GENERAL";"TAB5",#N/A,TRUE,"GENERAL"}</definedName>
    <definedName name="hdfhwq" localSheetId="28">{"TAB1",#N/A,TRUE,"GENERAL";"TAB2",#N/A,TRUE,"GENERAL";"TAB3",#N/A,TRUE,"GENERAL";"TAB4",#N/A,TRUE,"GENERAL";"TAB5",#N/A,TRUE,"GENERAL"}</definedName>
    <definedName name="hdfhwq" localSheetId="29">{"TAB1",#N/A,TRUE,"GENERAL";"TAB2",#N/A,TRUE,"GENERAL";"TAB3",#N/A,TRUE,"GENERAL";"TAB4",#N/A,TRUE,"GENERAL";"TAB5",#N/A,TRUE,"GENERAL"}</definedName>
    <definedName name="hdfhwq">{"TAB1",#N/A,TRUE,"GENERAL";"TAB2",#N/A,TRUE,"GENERAL";"TAB3",#N/A,TRUE,"GENERAL";"TAB4",#N/A,TRUE,"GENERAL";"TAB5",#N/A,TRUE,"GENERAL"}</definedName>
    <definedName name="hdgh" localSheetId="39">{"via1",#N/A,TRUE,"general";"via2",#N/A,TRUE,"general";"via3",#N/A,TRUE,"general"}</definedName>
    <definedName name="hdgh" localSheetId="20">{"via1",#N/A,TRUE,"general";"via2",#N/A,TRUE,"general";"via3",#N/A,TRUE,"general"}</definedName>
    <definedName name="hdgh" localSheetId="21">{"via1",#N/A,TRUE,"general";"via2",#N/A,TRUE,"general";"via3",#N/A,TRUE,"general"}</definedName>
    <definedName name="hdgh" localSheetId="9">{"via1",#N/A,TRUE,"general";"via2",#N/A,TRUE,"general";"via3",#N/A,TRUE,"general"}</definedName>
    <definedName name="hdgh" localSheetId="19">{"via1",#N/A,TRUE,"general";"via2",#N/A,TRUE,"general";"via3",#N/A,TRUE,"general"}</definedName>
    <definedName name="hdgh" localSheetId="28">{"via1",#N/A,TRUE,"general";"via2",#N/A,TRUE,"general";"via3",#N/A,TRUE,"general"}</definedName>
    <definedName name="hdgh" localSheetId="29">{"via1",#N/A,TRUE,"general";"via2",#N/A,TRUE,"general";"via3",#N/A,TRUE,"general"}</definedName>
    <definedName name="hdgh">{"via1",#N/A,TRUE,"general";"via2",#N/A,TRUE,"general";"via3",#N/A,TRUE,"general"}</definedName>
    <definedName name="hdhf" localSheetId="39">{"TAB1",#N/A,TRUE,"GENERAL";"TAB2",#N/A,TRUE,"GENERAL";"TAB3",#N/A,TRUE,"GENERAL";"TAB4",#N/A,TRUE,"GENERAL";"TAB5",#N/A,TRUE,"GENERAL"}</definedName>
    <definedName name="hdhf" localSheetId="20">{"TAB1",#N/A,TRUE,"GENERAL";"TAB2",#N/A,TRUE,"GENERAL";"TAB3",#N/A,TRUE,"GENERAL";"TAB4",#N/A,TRUE,"GENERAL";"TAB5",#N/A,TRUE,"GENERAL"}</definedName>
    <definedName name="hdhf" localSheetId="21">{"TAB1",#N/A,TRUE,"GENERAL";"TAB2",#N/A,TRUE,"GENERAL";"TAB3",#N/A,TRUE,"GENERAL";"TAB4",#N/A,TRUE,"GENERAL";"TAB5",#N/A,TRUE,"GENERAL"}</definedName>
    <definedName name="hdhf" localSheetId="9">{"TAB1",#N/A,TRUE,"GENERAL";"TAB2",#N/A,TRUE,"GENERAL";"TAB3",#N/A,TRUE,"GENERAL";"TAB4",#N/A,TRUE,"GENERAL";"TAB5",#N/A,TRUE,"GENERAL"}</definedName>
    <definedName name="hdhf" localSheetId="19">{"TAB1",#N/A,TRUE,"GENERAL";"TAB2",#N/A,TRUE,"GENERAL";"TAB3",#N/A,TRUE,"GENERAL";"TAB4",#N/A,TRUE,"GENERAL";"TAB5",#N/A,TRUE,"GENERAL"}</definedName>
    <definedName name="hdhf" localSheetId="28">{"TAB1",#N/A,TRUE,"GENERAL";"TAB2",#N/A,TRUE,"GENERAL";"TAB3",#N/A,TRUE,"GENERAL";"TAB4",#N/A,TRUE,"GENERAL";"TAB5",#N/A,TRUE,"GENERAL"}</definedName>
    <definedName name="hdhf" localSheetId="29">{"TAB1",#N/A,TRUE,"GENERAL";"TAB2",#N/A,TRUE,"GENERAL";"TAB3",#N/A,TRUE,"GENERAL";"TAB4",#N/A,TRUE,"GENERAL";"TAB5",#N/A,TRUE,"GENERAL"}</definedName>
    <definedName name="hdhf">{"TAB1",#N/A,TRUE,"GENERAL";"TAB2",#N/A,TRUE,"GENERAL";"TAB3",#N/A,TRUE,"GENERAL";"TAB4",#N/A,TRUE,"GENERAL";"TAB5",#N/A,TRUE,"GENERAL"}</definedName>
    <definedName name="Header_Row">ROW(#REF!)</definedName>
    <definedName name="herr">#REF!</definedName>
    <definedName name="HERRAMIENTA">#REF!</definedName>
    <definedName name="hfgh" localSheetId="39">{"via1",#N/A,TRUE,"general";"via2",#N/A,TRUE,"general";"via3",#N/A,TRUE,"general"}</definedName>
    <definedName name="hfgh" localSheetId="20">{"via1",#N/A,TRUE,"general";"via2",#N/A,TRUE,"general";"via3",#N/A,TRUE,"general"}</definedName>
    <definedName name="hfgh" localSheetId="21">{"via1",#N/A,TRUE,"general";"via2",#N/A,TRUE,"general";"via3",#N/A,TRUE,"general"}</definedName>
    <definedName name="hfgh" localSheetId="9">{"via1",#N/A,TRUE,"general";"via2",#N/A,TRUE,"general";"via3",#N/A,TRUE,"general"}</definedName>
    <definedName name="hfgh" localSheetId="19">{"via1",#N/A,TRUE,"general";"via2",#N/A,TRUE,"general";"via3",#N/A,TRUE,"general"}</definedName>
    <definedName name="hfgh" localSheetId="28">{"via1",#N/A,TRUE,"general";"via2",#N/A,TRUE,"general";"via3",#N/A,TRUE,"general"}</definedName>
    <definedName name="hfgh" localSheetId="29">{"via1",#N/A,TRUE,"general";"via2",#N/A,TRUE,"general";"via3",#N/A,TRUE,"general"}</definedName>
    <definedName name="hfgh">{"via1",#N/A,TRUE,"general";"via2",#N/A,TRUE,"general";"via3",#N/A,TRUE,"general"}</definedName>
    <definedName name="hfh" localSheetId="39">{"TAB1",#N/A,TRUE,"GENERAL";"TAB2",#N/A,TRUE,"GENERAL";"TAB3",#N/A,TRUE,"GENERAL";"TAB4",#N/A,TRUE,"GENERAL";"TAB5",#N/A,TRUE,"GENERAL"}</definedName>
    <definedName name="hfh" localSheetId="20">{"TAB1",#N/A,TRUE,"GENERAL";"TAB2",#N/A,TRUE,"GENERAL";"TAB3",#N/A,TRUE,"GENERAL";"TAB4",#N/A,TRUE,"GENERAL";"TAB5",#N/A,TRUE,"GENERAL"}</definedName>
    <definedName name="hfh" localSheetId="21">{"TAB1",#N/A,TRUE,"GENERAL";"TAB2",#N/A,TRUE,"GENERAL";"TAB3",#N/A,TRUE,"GENERAL";"TAB4",#N/A,TRUE,"GENERAL";"TAB5",#N/A,TRUE,"GENERAL"}</definedName>
    <definedName name="hfh" localSheetId="9">{"TAB1",#N/A,TRUE,"GENERAL";"TAB2",#N/A,TRUE,"GENERAL";"TAB3",#N/A,TRUE,"GENERAL";"TAB4",#N/A,TRUE,"GENERAL";"TAB5",#N/A,TRUE,"GENERAL"}</definedName>
    <definedName name="hfh" localSheetId="19">{"TAB1",#N/A,TRUE,"GENERAL";"TAB2",#N/A,TRUE,"GENERAL";"TAB3",#N/A,TRUE,"GENERAL";"TAB4",#N/A,TRUE,"GENERAL";"TAB5",#N/A,TRUE,"GENERAL"}</definedName>
    <definedName name="hfh" localSheetId="28">{"TAB1",#N/A,TRUE,"GENERAL";"TAB2",#N/A,TRUE,"GENERAL";"TAB3",#N/A,TRUE,"GENERAL";"TAB4",#N/A,TRUE,"GENERAL";"TAB5",#N/A,TRUE,"GENERAL"}</definedName>
    <definedName name="hfh" localSheetId="29">{"TAB1",#N/A,TRUE,"GENERAL";"TAB2",#N/A,TRUE,"GENERAL";"TAB3",#N/A,TRUE,"GENERAL";"TAB4",#N/A,TRUE,"GENERAL";"TAB5",#N/A,TRUE,"GENERAL"}</definedName>
    <definedName name="hfh">{"TAB1",#N/A,TRUE,"GENERAL";"TAB2",#N/A,TRUE,"GENERAL";"TAB3",#N/A,TRUE,"GENERAL";"TAB4",#N/A,TRUE,"GENERAL";"TAB5",#N/A,TRUE,"GENERAL"}</definedName>
    <definedName name="hfhg" localSheetId="39">{"TAB1",#N/A,TRUE,"GENERAL";"TAB2",#N/A,TRUE,"GENERAL";"TAB3",#N/A,TRUE,"GENERAL";"TAB4",#N/A,TRUE,"GENERAL";"TAB5",#N/A,TRUE,"GENERAL"}</definedName>
    <definedName name="hfhg" localSheetId="20">{"TAB1",#N/A,TRUE,"GENERAL";"TAB2",#N/A,TRUE,"GENERAL";"TAB3",#N/A,TRUE,"GENERAL";"TAB4",#N/A,TRUE,"GENERAL";"TAB5",#N/A,TRUE,"GENERAL"}</definedName>
    <definedName name="hfhg" localSheetId="21">{"TAB1",#N/A,TRUE,"GENERAL";"TAB2",#N/A,TRUE,"GENERAL";"TAB3",#N/A,TRUE,"GENERAL";"TAB4",#N/A,TRUE,"GENERAL";"TAB5",#N/A,TRUE,"GENERAL"}</definedName>
    <definedName name="hfhg" localSheetId="9">{"TAB1",#N/A,TRUE,"GENERAL";"TAB2",#N/A,TRUE,"GENERAL";"TAB3",#N/A,TRUE,"GENERAL";"TAB4",#N/A,TRUE,"GENERAL";"TAB5",#N/A,TRUE,"GENERAL"}</definedName>
    <definedName name="hfhg" localSheetId="19">{"TAB1",#N/A,TRUE,"GENERAL";"TAB2",#N/A,TRUE,"GENERAL";"TAB3",#N/A,TRUE,"GENERAL";"TAB4",#N/A,TRUE,"GENERAL";"TAB5",#N/A,TRUE,"GENERAL"}</definedName>
    <definedName name="hfhg" localSheetId="28">{"TAB1",#N/A,TRUE,"GENERAL";"TAB2",#N/A,TRUE,"GENERAL";"TAB3",#N/A,TRUE,"GENERAL";"TAB4",#N/A,TRUE,"GENERAL";"TAB5",#N/A,TRUE,"GENERAL"}</definedName>
    <definedName name="hfhg" localSheetId="29">{"TAB1",#N/A,TRUE,"GENERAL";"TAB2",#N/A,TRUE,"GENERAL";"TAB3",#N/A,TRUE,"GENERAL";"TAB4",#N/A,TRUE,"GENERAL";"TAB5",#N/A,TRUE,"GENERAL"}</definedName>
    <definedName name="hfhg">{"TAB1",#N/A,TRUE,"GENERAL";"TAB2",#N/A,TRUE,"GENERAL";"TAB3",#N/A,TRUE,"GENERAL";"TAB4",#N/A,TRUE,"GENERAL";"TAB5",#N/A,TRUE,"GENERAL"}</definedName>
    <definedName name="hfthr" localSheetId="39">{"via1",#N/A,TRUE,"general";"via2",#N/A,TRUE,"general";"via3",#N/A,TRUE,"general"}</definedName>
    <definedName name="hfthr" localSheetId="20">{"via1",#N/A,TRUE,"general";"via2",#N/A,TRUE,"general";"via3",#N/A,TRUE,"general"}</definedName>
    <definedName name="hfthr" localSheetId="21">{"via1",#N/A,TRUE,"general";"via2",#N/A,TRUE,"general";"via3",#N/A,TRUE,"general"}</definedName>
    <definedName name="hfthr" localSheetId="9">{"via1",#N/A,TRUE,"general";"via2",#N/A,TRUE,"general";"via3",#N/A,TRUE,"general"}</definedName>
    <definedName name="hfthr" localSheetId="19">{"via1",#N/A,TRUE,"general";"via2",#N/A,TRUE,"general";"via3",#N/A,TRUE,"general"}</definedName>
    <definedName name="hfthr" localSheetId="28">{"via1",#N/A,TRUE,"general";"via2",#N/A,TRUE,"general";"via3",#N/A,TRUE,"general"}</definedName>
    <definedName name="hfthr" localSheetId="29">{"via1",#N/A,TRUE,"general";"via2",#N/A,TRUE,"general";"via3",#N/A,TRUE,"general"}</definedName>
    <definedName name="hfthr">{"via1",#N/A,TRUE,"general";"via2",#N/A,TRUE,"general";"via3",#N/A,TRUE,"general"}</definedName>
    <definedName name="hg" localSheetId="39">{"via1",#N/A,TRUE,"general";"via2",#N/A,TRUE,"general";"via3",#N/A,TRUE,"general"}</definedName>
    <definedName name="hg" localSheetId="20">{"via1",#N/A,TRUE,"general";"via2",#N/A,TRUE,"general";"via3",#N/A,TRUE,"general"}</definedName>
    <definedName name="hg" localSheetId="21">{"via1",#N/A,TRUE,"general";"via2",#N/A,TRUE,"general";"via3",#N/A,TRUE,"general"}</definedName>
    <definedName name="hg" localSheetId="9">{"via1",#N/A,TRUE,"general";"via2",#N/A,TRUE,"general";"via3",#N/A,TRUE,"general"}</definedName>
    <definedName name="hg" localSheetId="19">{"via1",#N/A,TRUE,"general";"via2",#N/A,TRUE,"general";"via3",#N/A,TRUE,"general"}</definedName>
    <definedName name="hg" localSheetId="17">#REF!</definedName>
    <definedName name="hg" localSheetId="18">#REF!</definedName>
    <definedName name="hg" localSheetId="28">{"via1",#N/A,TRUE,"general";"via2",#N/A,TRUE,"general";"via3",#N/A,TRUE,"general"}</definedName>
    <definedName name="hg" localSheetId="29">{"via1",#N/A,TRUE,"general";"via2",#N/A,TRUE,"general";"via3",#N/A,TRUE,"general"}</definedName>
    <definedName name="hg" localSheetId="12">#REF!</definedName>
    <definedName name="hg">{"via1",#N/A,TRUE,"general";"via2",#N/A,TRUE,"general";"via3",#N/A,TRUE,"general"}</definedName>
    <definedName name="HGFH" localSheetId="39">{"via1",#N/A,TRUE,"general";"via2",#N/A,TRUE,"general";"via3",#N/A,TRUE,"general"}</definedName>
    <definedName name="HGFH" localSheetId="20">{"via1",#N/A,TRUE,"general";"via2",#N/A,TRUE,"general";"via3",#N/A,TRUE,"general"}</definedName>
    <definedName name="HGFH" localSheetId="21">{"via1",#N/A,TRUE,"general";"via2",#N/A,TRUE,"general";"via3",#N/A,TRUE,"general"}</definedName>
    <definedName name="HGFH" localSheetId="9">{"via1",#N/A,TRUE,"general";"via2",#N/A,TRUE,"general";"via3",#N/A,TRUE,"general"}</definedName>
    <definedName name="HGFH" localSheetId="19">{"via1",#N/A,TRUE,"general";"via2",#N/A,TRUE,"general";"via3",#N/A,TRUE,"general"}</definedName>
    <definedName name="HGFH" localSheetId="28">{"via1",#N/A,TRUE,"general";"via2",#N/A,TRUE,"general";"via3",#N/A,TRUE,"general"}</definedName>
    <definedName name="HGFH" localSheetId="29">{"via1",#N/A,TRUE,"general";"via2",#N/A,TRUE,"general";"via3",#N/A,TRUE,"general"}</definedName>
    <definedName name="HGFH">{"via1",#N/A,TRUE,"general";"via2",#N/A,TRUE,"general";"via3",#N/A,TRUE,"general"}</definedName>
    <definedName name="hgfhty" localSheetId="39">{"via1",#N/A,TRUE,"general";"via2",#N/A,TRUE,"general";"via3",#N/A,TRUE,"general"}</definedName>
    <definedName name="hgfhty" localSheetId="20">{"via1",#N/A,TRUE,"general";"via2",#N/A,TRUE,"general";"via3",#N/A,TRUE,"general"}</definedName>
    <definedName name="hgfhty" localSheetId="21">{"via1",#N/A,TRUE,"general";"via2",#N/A,TRUE,"general";"via3",#N/A,TRUE,"general"}</definedName>
    <definedName name="hgfhty" localSheetId="9">{"via1",#N/A,TRUE,"general";"via2",#N/A,TRUE,"general";"via3",#N/A,TRUE,"general"}</definedName>
    <definedName name="hgfhty" localSheetId="19">{"via1",#N/A,TRUE,"general";"via2",#N/A,TRUE,"general";"via3",#N/A,TRUE,"general"}</definedName>
    <definedName name="hgfhty" localSheetId="28">{"via1",#N/A,TRUE,"general";"via2",#N/A,TRUE,"general";"via3",#N/A,TRUE,"general"}</definedName>
    <definedName name="hgfhty" localSheetId="29">{"via1",#N/A,TRUE,"general";"via2",#N/A,TRUE,"general";"via3",#N/A,TRUE,"general"}</definedName>
    <definedName name="hgfhty">{"via1",#N/A,TRUE,"general";"via2",#N/A,TRUE,"general";"via3",#N/A,TRUE,"general"}</definedName>
    <definedName name="HGHFH7" localSheetId="39">{"TAB1",#N/A,TRUE,"GENERAL";"TAB2",#N/A,TRUE,"GENERAL";"TAB3",#N/A,TRUE,"GENERAL";"TAB4",#N/A,TRUE,"GENERAL";"TAB5",#N/A,TRUE,"GENERAL"}</definedName>
    <definedName name="HGHFH7" localSheetId="20">{"TAB1",#N/A,TRUE,"GENERAL";"TAB2",#N/A,TRUE,"GENERAL";"TAB3",#N/A,TRUE,"GENERAL";"TAB4",#N/A,TRUE,"GENERAL";"TAB5",#N/A,TRUE,"GENERAL"}</definedName>
    <definedName name="HGHFH7" localSheetId="21">{"TAB1",#N/A,TRUE,"GENERAL";"TAB2",#N/A,TRUE,"GENERAL";"TAB3",#N/A,TRUE,"GENERAL";"TAB4",#N/A,TRUE,"GENERAL";"TAB5",#N/A,TRUE,"GENERAL"}</definedName>
    <definedName name="HGHFH7" localSheetId="9">{"TAB1",#N/A,TRUE,"GENERAL";"TAB2",#N/A,TRUE,"GENERAL";"TAB3",#N/A,TRUE,"GENERAL";"TAB4",#N/A,TRUE,"GENERAL";"TAB5",#N/A,TRUE,"GENERAL"}</definedName>
    <definedName name="HGHFH7" localSheetId="19">{"TAB1",#N/A,TRUE,"GENERAL";"TAB2",#N/A,TRUE,"GENERAL";"TAB3",#N/A,TRUE,"GENERAL";"TAB4",#N/A,TRUE,"GENERAL";"TAB5",#N/A,TRUE,"GENERAL"}</definedName>
    <definedName name="HGHFH7" localSheetId="28">{"TAB1",#N/A,TRUE,"GENERAL";"TAB2",#N/A,TRUE,"GENERAL";"TAB3",#N/A,TRUE,"GENERAL";"TAB4",#N/A,TRUE,"GENERAL";"TAB5",#N/A,TRUE,"GENERAL"}</definedName>
    <definedName name="HGHFH7" localSheetId="29">{"TAB1",#N/A,TRUE,"GENERAL";"TAB2",#N/A,TRUE,"GENERAL";"TAB3",#N/A,TRUE,"GENERAL";"TAB4",#N/A,TRUE,"GENERAL";"TAB5",#N/A,TRUE,"GENERAL"}</definedName>
    <definedName name="HGHFH7">{"TAB1",#N/A,TRUE,"GENERAL";"TAB2",#N/A,TRUE,"GENERAL";"TAB3",#N/A,TRUE,"GENERAL";"TAB4",#N/A,TRUE,"GENERAL";"TAB5",#N/A,TRUE,"GENERAL"}</definedName>
    <definedName name="hghhj" localSheetId="39">{"TAB1",#N/A,TRUE,"GENERAL";"TAB2",#N/A,TRUE,"GENERAL";"TAB3",#N/A,TRUE,"GENERAL";"TAB4",#N/A,TRUE,"GENERAL";"TAB5",#N/A,TRUE,"GENERAL"}</definedName>
    <definedName name="hghhj" localSheetId="20">{"TAB1",#N/A,TRUE,"GENERAL";"TAB2",#N/A,TRUE,"GENERAL";"TAB3",#N/A,TRUE,"GENERAL";"TAB4",#N/A,TRUE,"GENERAL";"TAB5",#N/A,TRUE,"GENERAL"}</definedName>
    <definedName name="hghhj" localSheetId="21">{"TAB1",#N/A,TRUE,"GENERAL";"TAB2",#N/A,TRUE,"GENERAL";"TAB3",#N/A,TRUE,"GENERAL";"TAB4",#N/A,TRUE,"GENERAL";"TAB5",#N/A,TRUE,"GENERAL"}</definedName>
    <definedName name="hghhj" localSheetId="9">{"TAB1",#N/A,TRUE,"GENERAL";"TAB2",#N/A,TRUE,"GENERAL";"TAB3",#N/A,TRUE,"GENERAL";"TAB4",#N/A,TRUE,"GENERAL";"TAB5",#N/A,TRUE,"GENERAL"}</definedName>
    <definedName name="hghhj" localSheetId="19">{"TAB1",#N/A,TRUE,"GENERAL";"TAB2",#N/A,TRUE,"GENERAL";"TAB3",#N/A,TRUE,"GENERAL";"TAB4",#N/A,TRUE,"GENERAL";"TAB5",#N/A,TRUE,"GENERAL"}</definedName>
    <definedName name="hghhj" localSheetId="28">{"TAB1",#N/A,TRUE,"GENERAL";"TAB2",#N/A,TRUE,"GENERAL";"TAB3",#N/A,TRUE,"GENERAL";"TAB4",#N/A,TRUE,"GENERAL";"TAB5",#N/A,TRUE,"GENERAL"}</definedName>
    <definedName name="hghhj" localSheetId="29">{"TAB1",#N/A,TRUE,"GENERAL";"TAB2",#N/A,TRUE,"GENERAL";"TAB3",#N/A,TRUE,"GENERAL";"TAB4",#N/A,TRUE,"GENERAL";"TAB5",#N/A,TRUE,"GENERAL"}</definedName>
    <definedName name="hghhj">{"TAB1",#N/A,TRUE,"GENERAL";"TAB2",#N/A,TRUE,"GENERAL";"TAB3",#N/A,TRUE,"GENERAL";"TAB4",#N/A,TRUE,"GENERAL";"TAB5",#N/A,TRUE,"GENERAL"}</definedName>
    <definedName name="hghydj" localSheetId="39">{"via1",#N/A,TRUE,"general";"via2",#N/A,TRUE,"general";"via3",#N/A,TRUE,"general"}</definedName>
    <definedName name="hghydj" localSheetId="20">{"via1",#N/A,TRUE,"general";"via2",#N/A,TRUE,"general";"via3",#N/A,TRUE,"general"}</definedName>
    <definedName name="hghydj" localSheetId="21">{"via1",#N/A,TRUE,"general";"via2",#N/A,TRUE,"general";"via3",#N/A,TRUE,"general"}</definedName>
    <definedName name="hghydj" localSheetId="9">{"via1",#N/A,TRUE,"general";"via2",#N/A,TRUE,"general";"via3",#N/A,TRUE,"general"}</definedName>
    <definedName name="hghydj" localSheetId="19">{"via1",#N/A,TRUE,"general";"via2",#N/A,TRUE,"general";"via3",#N/A,TRUE,"general"}</definedName>
    <definedName name="hghydj" localSheetId="28">{"via1",#N/A,TRUE,"general";"via2",#N/A,TRUE,"general";"via3",#N/A,TRUE,"general"}</definedName>
    <definedName name="hghydj" localSheetId="29">{"via1",#N/A,TRUE,"general";"via2",#N/A,TRUE,"general";"via3",#N/A,TRUE,"general"}</definedName>
    <definedName name="hghydj">{"via1",#N/A,TRUE,"general";"via2",#N/A,TRUE,"general";"via3",#N/A,TRUE,"general"}</definedName>
    <definedName name="hgjfjw" localSheetId="39">{"via1",#N/A,TRUE,"general";"via2",#N/A,TRUE,"general";"via3",#N/A,TRUE,"general"}</definedName>
    <definedName name="hgjfjw" localSheetId="20">{"via1",#N/A,TRUE,"general";"via2",#N/A,TRUE,"general";"via3",#N/A,TRUE,"general"}</definedName>
    <definedName name="hgjfjw" localSheetId="21">{"via1",#N/A,TRUE,"general";"via2",#N/A,TRUE,"general";"via3",#N/A,TRUE,"general"}</definedName>
    <definedName name="hgjfjw" localSheetId="9">{"via1",#N/A,TRUE,"general";"via2",#N/A,TRUE,"general";"via3",#N/A,TRUE,"general"}</definedName>
    <definedName name="hgjfjw" localSheetId="19">{"via1",#N/A,TRUE,"general";"via2",#N/A,TRUE,"general";"via3",#N/A,TRUE,"general"}</definedName>
    <definedName name="hgjfjw" localSheetId="28">{"via1",#N/A,TRUE,"general";"via2",#N/A,TRUE,"general";"via3",#N/A,TRUE,"general"}</definedName>
    <definedName name="hgjfjw" localSheetId="29">{"via1",#N/A,TRUE,"general";"via2",#N/A,TRUE,"general";"via3",#N/A,TRUE,"general"}</definedName>
    <definedName name="hgjfjw">{"via1",#N/A,TRUE,"general";"via2",#N/A,TRUE,"general";"via3",#N/A,TRUE,"general"}</definedName>
    <definedName name="HGJG" localSheetId="39">{"TAB1",#N/A,TRUE,"GENERAL";"TAB2",#N/A,TRUE,"GENERAL";"TAB3",#N/A,TRUE,"GENERAL";"TAB4",#N/A,TRUE,"GENERAL";"TAB5",#N/A,TRUE,"GENERAL"}</definedName>
    <definedName name="HGJG" localSheetId="20">{"TAB1",#N/A,TRUE,"GENERAL";"TAB2",#N/A,TRUE,"GENERAL";"TAB3",#N/A,TRUE,"GENERAL";"TAB4",#N/A,TRUE,"GENERAL";"TAB5",#N/A,TRUE,"GENERAL"}</definedName>
    <definedName name="HGJG" localSheetId="21">{"TAB1",#N/A,TRUE,"GENERAL";"TAB2",#N/A,TRUE,"GENERAL";"TAB3",#N/A,TRUE,"GENERAL";"TAB4",#N/A,TRUE,"GENERAL";"TAB5",#N/A,TRUE,"GENERAL"}</definedName>
    <definedName name="HGJG" localSheetId="9">{"TAB1",#N/A,TRUE,"GENERAL";"TAB2",#N/A,TRUE,"GENERAL";"TAB3",#N/A,TRUE,"GENERAL";"TAB4",#N/A,TRUE,"GENERAL";"TAB5",#N/A,TRUE,"GENERAL"}</definedName>
    <definedName name="HGJG" localSheetId="19">{"TAB1",#N/A,TRUE,"GENERAL";"TAB2",#N/A,TRUE,"GENERAL";"TAB3",#N/A,TRUE,"GENERAL";"TAB4",#N/A,TRUE,"GENERAL";"TAB5",#N/A,TRUE,"GENERAL"}</definedName>
    <definedName name="HGJG" localSheetId="28">{"TAB1",#N/A,TRUE,"GENERAL";"TAB2",#N/A,TRUE,"GENERAL";"TAB3",#N/A,TRUE,"GENERAL";"TAB4",#N/A,TRUE,"GENERAL";"TAB5",#N/A,TRUE,"GENERAL"}</definedName>
    <definedName name="HGJG" localSheetId="29">{"TAB1",#N/A,TRUE,"GENERAL";"TAB2",#N/A,TRUE,"GENERAL";"TAB3",#N/A,TRUE,"GENERAL";"TAB4",#N/A,TRUE,"GENERAL";"TAB5",#N/A,TRUE,"GENERAL"}</definedName>
    <definedName name="HGJG">{"TAB1",#N/A,TRUE,"GENERAL";"TAB2",#N/A,TRUE,"GENERAL";"TAB3",#N/A,TRUE,"GENERAL";"TAB4",#N/A,TRUE,"GENERAL";"TAB5",#N/A,TRUE,"GENERAL"}</definedName>
    <definedName name="hgrua">#REF!</definedName>
    <definedName name="hgt">#REF!</definedName>
    <definedName name="hgu">#REF!</definedName>
    <definedName name="HH" localSheetId="17">#REF!</definedName>
    <definedName name="HH" localSheetId="18">#REF!</definedName>
    <definedName name="HH" localSheetId="12">#REF!</definedName>
    <definedName name="hh">'[23]46W9'!#REF!</definedName>
    <definedName name="HHGFHFGHF" localSheetId="39">#REF!</definedName>
    <definedName name="HHGFHFGHF" localSheetId="20">#REF!</definedName>
    <definedName name="HHGFHFGHF" localSheetId="21">#REF!</definedName>
    <definedName name="HHGFHFGHF" localSheetId="9">#REF!</definedName>
    <definedName name="HHGFHFGHF" localSheetId="19">#REF!</definedName>
    <definedName name="HHGFHFGHF">#REF!</definedName>
    <definedName name="HHH" localSheetId="39">#REF!</definedName>
    <definedName name="HHH" localSheetId="20">#REF!</definedName>
    <definedName name="HHH" localSheetId="21">#REF!</definedName>
    <definedName name="HHH">#REF!</definedName>
    <definedName name="hhhh">[12]MAT!#REF!</definedName>
    <definedName name="hhhhhh" localSheetId="39">{"via1",#N/A,TRUE,"general";"via2",#N/A,TRUE,"general";"via3",#N/A,TRUE,"general"}</definedName>
    <definedName name="hhhhhh" localSheetId="20">{"via1",#N/A,TRUE,"general";"via2",#N/A,TRUE,"general";"via3",#N/A,TRUE,"general"}</definedName>
    <definedName name="hhhhhh" localSheetId="21">{"via1",#N/A,TRUE,"general";"via2",#N/A,TRUE,"general";"via3",#N/A,TRUE,"general"}</definedName>
    <definedName name="hhhhhh" localSheetId="9">{"via1",#N/A,TRUE,"general";"via2",#N/A,TRUE,"general";"via3",#N/A,TRUE,"general"}</definedName>
    <definedName name="hhhhhh" localSheetId="19">{"via1",#N/A,TRUE,"general";"via2",#N/A,TRUE,"general";"via3",#N/A,TRUE,"general"}</definedName>
    <definedName name="hhhhhh" localSheetId="28">{"via1",#N/A,TRUE,"general";"via2",#N/A,TRUE,"general";"via3",#N/A,TRUE,"general"}</definedName>
    <definedName name="hhhhhh" localSheetId="29">{"via1",#N/A,TRUE,"general";"via2",#N/A,TRUE,"general";"via3",#N/A,TRUE,"general"}</definedName>
    <definedName name="hhhhhh">{"via1",#N/A,TRUE,"general";"via2",#N/A,TRUE,"general";"via3",#N/A,TRUE,"general"}</definedName>
    <definedName name="hhhhhhh">#REF!</definedName>
    <definedName name="hhhhhho" localSheetId="39">{"TAB1",#N/A,TRUE,"GENERAL";"TAB2",#N/A,TRUE,"GENERAL";"TAB3",#N/A,TRUE,"GENERAL";"TAB4",#N/A,TRUE,"GENERAL";"TAB5",#N/A,TRUE,"GENERAL"}</definedName>
    <definedName name="hhhhhho" localSheetId="20">{"TAB1",#N/A,TRUE,"GENERAL";"TAB2",#N/A,TRUE,"GENERAL";"TAB3",#N/A,TRUE,"GENERAL";"TAB4",#N/A,TRUE,"GENERAL";"TAB5",#N/A,TRUE,"GENERAL"}</definedName>
    <definedName name="hhhhhho" localSheetId="21">{"TAB1",#N/A,TRUE,"GENERAL";"TAB2",#N/A,TRUE,"GENERAL";"TAB3",#N/A,TRUE,"GENERAL";"TAB4",#N/A,TRUE,"GENERAL";"TAB5",#N/A,TRUE,"GENERAL"}</definedName>
    <definedName name="hhhhhho" localSheetId="9">{"TAB1",#N/A,TRUE,"GENERAL";"TAB2",#N/A,TRUE,"GENERAL";"TAB3",#N/A,TRUE,"GENERAL";"TAB4",#N/A,TRUE,"GENERAL";"TAB5",#N/A,TRUE,"GENERAL"}</definedName>
    <definedName name="hhhhhho" localSheetId="19">{"TAB1",#N/A,TRUE,"GENERAL";"TAB2",#N/A,TRUE,"GENERAL";"TAB3",#N/A,TRUE,"GENERAL";"TAB4",#N/A,TRUE,"GENERAL";"TAB5",#N/A,TRUE,"GENERAL"}</definedName>
    <definedName name="hhhhhho" localSheetId="28">{"TAB1",#N/A,TRUE,"GENERAL";"TAB2",#N/A,TRUE,"GENERAL";"TAB3",#N/A,TRUE,"GENERAL";"TAB4",#N/A,TRUE,"GENERAL";"TAB5",#N/A,TRUE,"GENERAL"}</definedName>
    <definedName name="hhhhhho" localSheetId="29">{"TAB1",#N/A,TRUE,"GENERAL";"TAB2",#N/A,TRUE,"GENERAL";"TAB3",#N/A,TRUE,"GENERAL";"TAB4",#N/A,TRUE,"GENERAL";"TAB5",#N/A,TRUE,"GENERAL"}</definedName>
    <definedName name="hhhhhho">{"TAB1",#N/A,TRUE,"GENERAL";"TAB2",#N/A,TRUE,"GENERAL";"TAB3",#N/A,TRUE,"GENERAL";"TAB4",#N/A,TRUE,"GENERAL";"TAB5",#N/A,TRUE,"GENERAL"}</definedName>
    <definedName name="hhhhhpy" localSheetId="39">{"TAB1",#N/A,TRUE,"GENERAL";"TAB2",#N/A,TRUE,"GENERAL";"TAB3",#N/A,TRUE,"GENERAL";"TAB4",#N/A,TRUE,"GENERAL";"TAB5",#N/A,TRUE,"GENERAL"}</definedName>
    <definedName name="hhhhhpy" localSheetId="20">{"TAB1",#N/A,TRUE,"GENERAL";"TAB2",#N/A,TRUE,"GENERAL";"TAB3",#N/A,TRUE,"GENERAL";"TAB4",#N/A,TRUE,"GENERAL";"TAB5",#N/A,TRUE,"GENERAL"}</definedName>
    <definedName name="hhhhhpy" localSheetId="21">{"TAB1",#N/A,TRUE,"GENERAL";"TAB2",#N/A,TRUE,"GENERAL";"TAB3",#N/A,TRUE,"GENERAL";"TAB4",#N/A,TRUE,"GENERAL";"TAB5",#N/A,TRUE,"GENERAL"}</definedName>
    <definedName name="hhhhhpy" localSheetId="9">{"TAB1",#N/A,TRUE,"GENERAL";"TAB2",#N/A,TRUE,"GENERAL";"TAB3",#N/A,TRUE,"GENERAL";"TAB4",#N/A,TRUE,"GENERAL";"TAB5",#N/A,TRUE,"GENERAL"}</definedName>
    <definedName name="hhhhhpy" localSheetId="19">{"TAB1",#N/A,TRUE,"GENERAL";"TAB2",#N/A,TRUE,"GENERAL";"TAB3",#N/A,TRUE,"GENERAL";"TAB4",#N/A,TRUE,"GENERAL";"TAB5",#N/A,TRUE,"GENERAL"}</definedName>
    <definedName name="hhhhhpy" localSheetId="28">{"TAB1",#N/A,TRUE,"GENERAL";"TAB2",#N/A,TRUE,"GENERAL";"TAB3",#N/A,TRUE,"GENERAL";"TAB4",#N/A,TRUE,"GENERAL";"TAB5",#N/A,TRUE,"GENERAL"}</definedName>
    <definedName name="hhhhhpy" localSheetId="29">{"TAB1",#N/A,TRUE,"GENERAL";"TAB2",#N/A,TRUE,"GENERAL";"TAB3",#N/A,TRUE,"GENERAL";"TAB4",#N/A,TRUE,"GENERAL";"TAB5",#N/A,TRUE,"GENERAL"}</definedName>
    <definedName name="hhhhhpy">{"TAB1",#N/A,TRUE,"GENERAL";"TAB2",#N/A,TRUE,"GENERAL";"TAB3",#N/A,TRUE,"GENERAL";"TAB4",#N/A,TRUE,"GENERAL";"TAB5",#N/A,TRUE,"GENERAL"}</definedName>
    <definedName name="hhhhth" localSheetId="39">{"via1",#N/A,TRUE,"general";"via2",#N/A,TRUE,"general";"via3",#N/A,TRUE,"general"}</definedName>
    <definedName name="hhhhth" localSheetId="20">{"via1",#N/A,TRUE,"general";"via2",#N/A,TRUE,"general";"via3",#N/A,TRUE,"general"}</definedName>
    <definedName name="hhhhth" localSheetId="21">{"via1",#N/A,TRUE,"general";"via2",#N/A,TRUE,"general";"via3",#N/A,TRUE,"general"}</definedName>
    <definedName name="hhhhth" localSheetId="9">{"via1",#N/A,TRUE,"general";"via2",#N/A,TRUE,"general";"via3",#N/A,TRUE,"general"}</definedName>
    <definedName name="hhhhth" localSheetId="19">{"via1",#N/A,TRUE,"general";"via2",#N/A,TRUE,"general";"via3",#N/A,TRUE,"general"}</definedName>
    <definedName name="hhhhth" localSheetId="28">{"via1",#N/A,TRUE,"general";"via2",#N/A,TRUE,"general";"via3",#N/A,TRUE,"general"}</definedName>
    <definedName name="hhhhth" localSheetId="29">{"via1",#N/A,TRUE,"general";"via2",#N/A,TRUE,"general";"via3",#N/A,TRUE,"general"}</definedName>
    <definedName name="hhhhth">{"via1",#N/A,TRUE,"general";"via2",#N/A,TRUE,"general";"via3",#N/A,TRUE,"general"}</definedName>
    <definedName name="hhhyhyh" localSheetId="39">{"TAB1",#N/A,TRUE,"GENERAL";"TAB2",#N/A,TRUE,"GENERAL";"TAB3",#N/A,TRUE,"GENERAL";"TAB4",#N/A,TRUE,"GENERAL";"TAB5",#N/A,TRUE,"GENERAL"}</definedName>
    <definedName name="hhhyhyh" localSheetId="20">{"TAB1",#N/A,TRUE,"GENERAL";"TAB2",#N/A,TRUE,"GENERAL";"TAB3",#N/A,TRUE,"GENERAL";"TAB4",#N/A,TRUE,"GENERAL";"TAB5",#N/A,TRUE,"GENERAL"}</definedName>
    <definedName name="hhhyhyh" localSheetId="21">{"TAB1",#N/A,TRUE,"GENERAL";"TAB2",#N/A,TRUE,"GENERAL";"TAB3",#N/A,TRUE,"GENERAL";"TAB4",#N/A,TRUE,"GENERAL";"TAB5",#N/A,TRUE,"GENERAL"}</definedName>
    <definedName name="hhhyhyh" localSheetId="9">{"TAB1",#N/A,TRUE,"GENERAL";"TAB2",#N/A,TRUE,"GENERAL";"TAB3",#N/A,TRUE,"GENERAL";"TAB4",#N/A,TRUE,"GENERAL";"TAB5",#N/A,TRUE,"GENERAL"}</definedName>
    <definedName name="hhhyhyh" localSheetId="19">{"TAB1",#N/A,TRUE,"GENERAL";"TAB2",#N/A,TRUE,"GENERAL";"TAB3",#N/A,TRUE,"GENERAL";"TAB4",#N/A,TRUE,"GENERAL";"TAB5",#N/A,TRUE,"GENERAL"}</definedName>
    <definedName name="hhhyhyh" localSheetId="28">{"TAB1",#N/A,TRUE,"GENERAL";"TAB2",#N/A,TRUE,"GENERAL";"TAB3",#N/A,TRUE,"GENERAL";"TAB4",#N/A,TRUE,"GENERAL";"TAB5",#N/A,TRUE,"GENERAL"}</definedName>
    <definedName name="hhhyhyh" localSheetId="29">{"TAB1",#N/A,TRUE,"GENERAL";"TAB2",#N/A,TRUE,"GENERAL";"TAB3",#N/A,TRUE,"GENERAL";"TAB4",#N/A,TRUE,"GENERAL";"TAB5",#N/A,TRUE,"GENERAL"}</definedName>
    <definedName name="hhhyhyh">{"TAB1",#N/A,TRUE,"GENERAL";"TAB2",#N/A,TRUE,"GENERAL";"TAB3",#N/A,TRUE,"GENERAL";"TAB4",#N/A,TRUE,"GENERAL";"TAB5",#N/A,TRUE,"GENERAL"}</definedName>
    <definedName name="hhjh">#REF!</definedName>
    <definedName name="HHRT" localSheetId="9">#REF!</definedName>
    <definedName name="HHRT">#REF!</definedName>
    <definedName name="hhtot">#REF!</definedName>
    <definedName name="hhtrhreh" localSheetId="39">{"via1",#N/A,TRUE,"general";"via2",#N/A,TRUE,"general";"via3",#N/A,TRUE,"general"}</definedName>
    <definedName name="hhtrhreh" localSheetId="20">{"via1",#N/A,TRUE,"general";"via2",#N/A,TRUE,"general";"via3",#N/A,TRUE,"general"}</definedName>
    <definedName name="hhtrhreh" localSheetId="21">{"via1",#N/A,TRUE,"general";"via2",#N/A,TRUE,"general";"via3",#N/A,TRUE,"general"}</definedName>
    <definedName name="hhtrhreh" localSheetId="9">{"via1",#N/A,TRUE,"general";"via2",#N/A,TRUE,"general";"via3",#N/A,TRUE,"general"}</definedName>
    <definedName name="hhtrhreh" localSheetId="19">{"via1",#N/A,TRUE,"general";"via2",#N/A,TRUE,"general";"via3",#N/A,TRUE,"general"}</definedName>
    <definedName name="hhtrhreh" localSheetId="28">{"via1",#N/A,TRUE,"general";"via2",#N/A,TRUE,"general";"via3",#N/A,TRUE,"general"}</definedName>
    <definedName name="hhtrhreh" localSheetId="29">{"via1",#N/A,TRUE,"general";"via2",#N/A,TRUE,"general";"via3",#N/A,TRUE,"general"}</definedName>
    <definedName name="hhtrhreh">{"via1",#N/A,TRUE,"general";"via2",#N/A,TRUE,"general";"via3",#N/A,TRUE,"general"}</definedName>
    <definedName name="HIDR160PE_S1">#REF!</definedName>
    <definedName name="HIDR160PE_S2">#REF!</definedName>
    <definedName name="HIDR160PE_S3">#REF!</definedName>
    <definedName name="HIDR160PE_S4">#REF!</definedName>
    <definedName name="HIDR160PE_S5">#REF!</definedName>
    <definedName name="HIDR160PE_S6">#REF!</definedName>
    <definedName name="HIDR200PE_S1">#REF!</definedName>
    <definedName name="HIDR200PE_S2">#REF!</definedName>
    <definedName name="HIDR200PE_S3">#REF!</definedName>
    <definedName name="HIDR200PE_S4">#REF!</definedName>
    <definedName name="HIDR200PE_S5">#REF!</definedName>
    <definedName name="HIDR200PE_S6">#REF!</definedName>
    <definedName name="HIDROSELLO_DE_CAUCHO_10_S8">[31]Materiales!#REF!</definedName>
    <definedName name="HIDROSELLO_DE_CAUCHO_12_S8">[31]Materiales!#REF!</definedName>
    <definedName name="HIDROSELLO_DE_CAUCHO_14_S8">[31]Materiales!#REF!</definedName>
    <definedName name="HIDROSELLO_DE_CAUCHO_16_S8">[31]Materiales!#REF!</definedName>
    <definedName name="HIDROSELLO_DE_CAUCHO_18_S8">[31]Materiales!#REF!</definedName>
    <definedName name="HIDROSELLO_DE_CAUCHO_20_S8">[31]Materiales!#REF!</definedName>
    <definedName name="HIDROSELLO_DE_CAUCHO_24_S4">[31]Materiales!#REF!</definedName>
    <definedName name="HIDROSELLO_DE_CAUCHO_27_S4">[31]Materiales!#REF!</definedName>
    <definedName name="HIDROSELLO_DE_CAUCHO_30_S4">[31]Materiales!#REF!</definedName>
    <definedName name="HIDROSELLO_DE_CAUCHO_6_S8">[31]Materiales!#REF!</definedName>
    <definedName name="HIDROSELLO_DE_CAUCHO_8_S8">[31]Materiales!#REF!</definedName>
    <definedName name="HIDROSELLO_S8">[31]Materiales!#REF!</definedName>
    <definedName name="hierro">#REF!</definedName>
    <definedName name="hierro1">#REF!</definedName>
    <definedName name="hierro2">'[113]APU''s'!#REF!</definedName>
    <definedName name="hierro4">'[113]APU''s'!#REF!</definedName>
    <definedName name="hing">#REF!</definedName>
    <definedName name="HisYear_0" localSheetId="20" hidden="1">#REF!</definedName>
    <definedName name="HisYear_0" localSheetId="21" hidden="1">#REF!</definedName>
    <definedName name="HisYear_0" localSheetId="13" hidden="1">#REF!</definedName>
    <definedName name="HisYear_0" hidden="1">#REF!</definedName>
    <definedName name="HisYear_1" localSheetId="20" hidden="1">#REF!</definedName>
    <definedName name="HisYear_1" localSheetId="21" hidden="1">#REF!</definedName>
    <definedName name="HisYear_1" localSheetId="13" hidden="1">#REF!</definedName>
    <definedName name="HisYear_1" hidden="1">#REF!</definedName>
    <definedName name="HisYear_2" localSheetId="20" hidden="1">#REF!</definedName>
    <definedName name="HisYear_2" localSheetId="21" hidden="1">#REF!</definedName>
    <definedName name="HisYear_2" localSheetId="13" hidden="1">#REF!</definedName>
    <definedName name="HisYear_2" hidden="1">#REF!</definedName>
    <definedName name="HisYear_3" localSheetId="13" hidden="1">#REF!</definedName>
    <definedName name="HisYear_3" hidden="1">#REF!</definedName>
    <definedName name="HJ">#REF!</definedName>
    <definedName name="hjfg" localSheetId="39">{"via1",#N/A,TRUE,"general";"via2",#N/A,TRUE,"general";"via3",#N/A,TRUE,"general"}</definedName>
    <definedName name="hjfg" localSheetId="20">{"via1",#N/A,TRUE,"general";"via2",#N/A,TRUE,"general";"via3",#N/A,TRUE,"general"}</definedName>
    <definedName name="hjfg" localSheetId="21">{"via1",#N/A,TRUE,"general";"via2",#N/A,TRUE,"general";"via3",#N/A,TRUE,"general"}</definedName>
    <definedName name="hjfg" localSheetId="9">{"via1",#N/A,TRUE,"general";"via2",#N/A,TRUE,"general";"via3",#N/A,TRUE,"general"}</definedName>
    <definedName name="hjfg" localSheetId="19">{"via1",#N/A,TRUE,"general";"via2",#N/A,TRUE,"general";"via3",#N/A,TRUE,"general"}</definedName>
    <definedName name="hjfg" localSheetId="28">{"via1",#N/A,TRUE,"general";"via2",#N/A,TRUE,"general";"via3",#N/A,TRUE,"general"}</definedName>
    <definedName name="hjfg" localSheetId="29">{"via1",#N/A,TRUE,"general";"via2",#N/A,TRUE,"general";"via3",#N/A,TRUE,"general"}</definedName>
    <definedName name="hjfg">{"via1",#N/A,TRUE,"general";"via2",#N/A,TRUE,"general";"via3",#N/A,TRUE,"general"}</definedName>
    <definedName name="hjgh" localSheetId="39">{"TAB1",#N/A,TRUE,"GENERAL";"TAB2",#N/A,TRUE,"GENERAL";"TAB3",#N/A,TRUE,"GENERAL";"TAB4",#N/A,TRUE,"GENERAL";"TAB5",#N/A,TRUE,"GENERAL"}</definedName>
    <definedName name="hjgh" localSheetId="20">{"TAB1",#N/A,TRUE,"GENERAL";"TAB2",#N/A,TRUE,"GENERAL";"TAB3",#N/A,TRUE,"GENERAL";"TAB4",#N/A,TRUE,"GENERAL";"TAB5",#N/A,TRUE,"GENERAL"}</definedName>
    <definedName name="hjgh" localSheetId="21">{"TAB1",#N/A,TRUE,"GENERAL";"TAB2",#N/A,TRUE,"GENERAL";"TAB3",#N/A,TRUE,"GENERAL";"TAB4",#N/A,TRUE,"GENERAL";"TAB5",#N/A,TRUE,"GENERAL"}</definedName>
    <definedName name="hjgh" localSheetId="9">{"TAB1",#N/A,TRUE,"GENERAL";"TAB2",#N/A,TRUE,"GENERAL";"TAB3",#N/A,TRUE,"GENERAL";"TAB4",#N/A,TRUE,"GENERAL";"TAB5",#N/A,TRUE,"GENERAL"}</definedName>
    <definedName name="hjgh" localSheetId="19">{"TAB1",#N/A,TRUE,"GENERAL";"TAB2",#N/A,TRUE,"GENERAL";"TAB3",#N/A,TRUE,"GENERAL";"TAB4",#N/A,TRUE,"GENERAL";"TAB5",#N/A,TRUE,"GENERAL"}</definedName>
    <definedName name="hjgh" localSheetId="28">{"TAB1",#N/A,TRUE,"GENERAL";"TAB2",#N/A,TRUE,"GENERAL";"TAB3",#N/A,TRUE,"GENERAL";"TAB4",#N/A,TRUE,"GENERAL";"TAB5",#N/A,TRUE,"GENERAL"}</definedName>
    <definedName name="hjgh" localSheetId="29">{"TAB1",#N/A,TRUE,"GENERAL";"TAB2",#N/A,TRUE,"GENERAL";"TAB3",#N/A,TRUE,"GENERAL";"TAB4",#N/A,TRUE,"GENERAL";"TAB5",#N/A,TRUE,"GENERAL"}</definedName>
    <definedName name="hjgh">{"TAB1",#N/A,TRUE,"GENERAL";"TAB2",#N/A,TRUE,"GENERAL";"TAB3",#N/A,TRUE,"GENERAL";"TAB4",#N/A,TRUE,"GENERAL";"TAB5",#N/A,TRUE,"GENERAL"}</definedName>
    <definedName name="hjghj" localSheetId="39">{"TAB1",#N/A,TRUE,"GENERAL";"TAB2",#N/A,TRUE,"GENERAL";"TAB3",#N/A,TRUE,"GENERAL";"TAB4",#N/A,TRUE,"GENERAL";"TAB5",#N/A,TRUE,"GENERAL"}</definedName>
    <definedName name="hjghj" localSheetId="20">{"TAB1",#N/A,TRUE,"GENERAL";"TAB2",#N/A,TRUE,"GENERAL";"TAB3",#N/A,TRUE,"GENERAL";"TAB4",#N/A,TRUE,"GENERAL";"TAB5",#N/A,TRUE,"GENERAL"}</definedName>
    <definedName name="hjghj" localSheetId="21">{"TAB1",#N/A,TRUE,"GENERAL";"TAB2",#N/A,TRUE,"GENERAL";"TAB3",#N/A,TRUE,"GENERAL";"TAB4",#N/A,TRUE,"GENERAL";"TAB5",#N/A,TRUE,"GENERAL"}</definedName>
    <definedName name="hjghj" localSheetId="9">{"TAB1",#N/A,TRUE,"GENERAL";"TAB2",#N/A,TRUE,"GENERAL";"TAB3",#N/A,TRUE,"GENERAL";"TAB4",#N/A,TRUE,"GENERAL";"TAB5",#N/A,TRUE,"GENERAL"}</definedName>
    <definedName name="hjghj" localSheetId="19">{"TAB1",#N/A,TRUE,"GENERAL";"TAB2",#N/A,TRUE,"GENERAL";"TAB3",#N/A,TRUE,"GENERAL";"TAB4",#N/A,TRUE,"GENERAL";"TAB5",#N/A,TRUE,"GENERAL"}</definedName>
    <definedName name="hjghj" localSheetId="28">{"TAB1",#N/A,TRUE,"GENERAL";"TAB2",#N/A,TRUE,"GENERAL";"TAB3",#N/A,TRUE,"GENERAL";"TAB4",#N/A,TRUE,"GENERAL";"TAB5",#N/A,TRUE,"GENERAL"}</definedName>
    <definedName name="hjghj" localSheetId="29">{"TAB1",#N/A,TRUE,"GENERAL";"TAB2",#N/A,TRUE,"GENERAL";"TAB3",#N/A,TRUE,"GENERAL";"TAB4",#N/A,TRUE,"GENERAL";"TAB5",#N/A,TRUE,"GENERAL"}</definedName>
    <definedName name="hjghj">{"TAB1",#N/A,TRUE,"GENERAL";"TAB2",#N/A,TRUE,"GENERAL";"TAB3",#N/A,TRUE,"GENERAL";"TAB4",#N/A,TRUE,"GENERAL";"TAB5",#N/A,TRUE,"GENERAL"}</definedName>
    <definedName name="hjhjhg" localSheetId="39">{"TAB1",#N/A,TRUE,"GENERAL";"TAB2",#N/A,TRUE,"GENERAL";"TAB3",#N/A,TRUE,"GENERAL";"TAB4",#N/A,TRUE,"GENERAL";"TAB5",#N/A,TRUE,"GENERAL"}</definedName>
    <definedName name="hjhjhg" localSheetId="20">{"TAB1",#N/A,TRUE,"GENERAL";"TAB2",#N/A,TRUE,"GENERAL";"TAB3",#N/A,TRUE,"GENERAL";"TAB4",#N/A,TRUE,"GENERAL";"TAB5",#N/A,TRUE,"GENERAL"}</definedName>
    <definedName name="hjhjhg" localSheetId="21">{"TAB1",#N/A,TRUE,"GENERAL";"TAB2",#N/A,TRUE,"GENERAL";"TAB3",#N/A,TRUE,"GENERAL";"TAB4",#N/A,TRUE,"GENERAL";"TAB5",#N/A,TRUE,"GENERAL"}</definedName>
    <definedName name="hjhjhg" localSheetId="9">{"TAB1",#N/A,TRUE,"GENERAL";"TAB2",#N/A,TRUE,"GENERAL";"TAB3",#N/A,TRUE,"GENERAL";"TAB4",#N/A,TRUE,"GENERAL";"TAB5",#N/A,TRUE,"GENERAL"}</definedName>
    <definedName name="hjhjhg" localSheetId="19">{"TAB1",#N/A,TRUE,"GENERAL";"TAB2",#N/A,TRUE,"GENERAL";"TAB3",#N/A,TRUE,"GENERAL";"TAB4",#N/A,TRUE,"GENERAL";"TAB5",#N/A,TRUE,"GENERAL"}</definedName>
    <definedName name="hjhjhg" localSheetId="28">{"TAB1",#N/A,TRUE,"GENERAL";"TAB2",#N/A,TRUE,"GENERAL";"TAB3",#N/A,TRUE,"GENERAL";"TAB4",#N/A,TRUE,"GENERAL";"TAB5",#N/A,TRUE,"GENERAL"}</definedName>
    <definedName name="hjhjhg" localSheetId="29">{"TAB1",#N/A,TRUE,"GENERAL";"TAB2",#N/A,TRUE,"GENERAL";"TAB3",#N/A,TRUE,"GENERAL";"TAB4",#N/A,TRUE,"GENERAL";"TAB5",#N/A,TRUE,"GENERAL"}</definedName>
    <definedName name="hjhjhg">{"TAB1",#N/A,TRUE,"GENERAL";"TAB2",#N/A,TRUE,"GENERAL";"TAB3",#N/A,TRUE,"GENERAL";"TAB4",#N/A,TRUE,"GENERAL";"TAB5",#N/A,TRUE,"GENERAL"}</definedName>
    <definedName name="hjhjhhhhhhhhhhhhh">#REF!</definedName>
    <definedName name="hjhjhj">#REF!</definedName>
    <definedName name="hjhjhjhj">#REF!</definedName>
    <definedName name="hjk">#REF!</definedName>
    <definedName name="HJKH" localSheetId="39">{"via1",#N/A,TRUE,"general";"via2",#N/A,TRUE,"general";"via3",#N/A,TRUE,"general"}</definedName>
    <definedName name="HJKH" localSheetId="20">{"via1",#N/A,TRUE,"general";"via2",#N/A,TRUE,"general";"via3",#N/A,TRUE,"general"}</definedName>
    <definedName name="HJKH" localSheetId="21">{"via1",#N/A,TRUE,"general";"via2",#N/A,TRUE,"general";"via3",#N/A,TRUE,"general"}</definedName>
    <definedName name="HJKH" localSheetId="9">{"via1",#N/A,TRUE,"general";"via2",#N/A,TRUE,"general";"via3",#N/A,TRUE,"general"}</definedName>
    <definedName name="HJKH" localSheetId="19">{"via1",#N/A,TRUE,"general";"via2",#N/A,TRUE,"general";"via3",#N/A,TRUE,"general"}</definedName>
    <definedName name="HJKH" localSheetId="28">{"via1",#N/A,TRUE,"general";"via2",#N/A,TRUE,"general";"via3",#N/A,TRUE,"general"}</definedName>
    <definedName name="HJKH" localSheetId="29">{"via1",#N/A,TRUE,"general";"via2",#N/A,TRUE,"general";"via3",#N/A,TRUE,"general"}</definedName>
    <definedName name="HJKH">{"via1",#N/A,TRUE,"general";"via2",#N/A,TRUE,"general";"via3",#N/A,TRUE,"general"}</definedName>
    <definedName name="hjkjk" localSheetId="39">{"via1",#N/A,TRUE,"general";"via2",#N/A,TRUE,"general";"via3",#N/A,TRUE,"general"}</definedName>
    <definedName name="hjkjk" localSheetId="20">{"via1",#N/A,TRUE,"general";"via2",#N/A,TRUE,"general";"via3",#N/A,TRUE,"general"}</definedName>
    <definedName name="hjkjk" localSheetId="21">{"via1",#N/A,TRUE,"general";"via2",#N/A,TRUE,"general";"via3",#N/A,TRUE,"general"}</definedName>
    <definedName name="hjkjk" localSheetId="9">{"via1",#N/A,TRUE,"general";"via2",#N/A,TRUE,"general";"via3",#N/A,TRUE,"general"}</definedName>
    <definedName name="hjkjk" localSheetId="19">{"via1",#N/A,TRUE,"general";"via2",#N/A,TRUE,"general";"via3",#N/A,TRUE,"general"}</definedName>
    <definedName name="hjkjk" localSheetId="28">{"via1",#N/A,TRUE,"general";"via2",#N/A,TRUE,"general";"via3",#N/A,TRUE,"general"}</definedName>
    <definedName name="hjkjk" localSheetId="29">{"via1",#N/A,TRUE,"general";"via2",#N/A,TRUE,"general";"via3",#N/A,TRUE,"general"}</definedName>
    <definedName name="hjkjk">{"via1",#N/A,TRUE,"general";"via2",#N/A,TRUE,"general";"via3",#N/A,TRUE,"general"}</definedName>
    <definedName name="hl">#REF!</definedName>
    <definedName name="hmont">#REF!</definedName>
    <definedName name="hn" localSheetId="39">{"TAB1",#N/A,TRUE,"GENERAL";"TAB2",#N/A,TRUE,"GENERAL";"TAB3",#N/A,TRUE,"GENERAL";"TAB4",#N/A,TRUE,"GENERAL";"TAB5",#N/A,TRUE,"GENERAL"}</definedName>
    <definedName name="hn" localSheetId="20">{"TAB1",#N/A,TRUE,"GENERAL";"TAB2",#N/A,TRUE,"GENERAL";"TAB3",#N/A,TRUE,"GENERAL";"TAB4",#N/A,TRUE,"GENERAL";"TAB5",#N/A,TRUE,"GENERAL"}</definedName>
    <definedName name="hn" localSheetId="21">{"TAB1",#N/A,TRUE,"GENERAL";"TAB2",#N/A,TRUE,"GENERAL";"TAB3",#N/A,TRUE,"GENERAL";"TAB4",#N/A,TRUE,"GENERAL";"TAB5",#N/A,TRUE,"GENERAL"}</definedName>
    <definedName name="hn" localSheetId="9">{"TAB1",#N/A,TRUE,"GENERAL";"TAB2",#N/A,TRUE,"GENERAL";"TAB3",#N/A,TRUE,"GENERAL";"TAB4",#N/A,TRUE,"GENERAL";"TAB5",#N/A,TRUE,"GENERAL"}</definedName>
    <definedName name="hn" localSheetId="19">{"TAB1",#N/A,TRUE,"GENERAL";"TAB2",#N/A,TRUE,"GENERAL";"TAB3",#N/A,TRUE,"GENERAL";"TAB4",#N/A,TRUE,"GENERAL";"TAB5",#N/A,TRUE,"GENERAL"}</definedName>
    <definedName name="hn" localSheetId="28">{"TAB1",#N/A,TRUE,"GENERAL";"TAB2",#N/A,TRUE,"GENERAL";"TAB3",#N/A,TRUE,"GENERAL";"TAB4",#N/A,TRUE,"GENERAL";"TAB5",#N/A,TRUE,"GENERAL"}</definedName>
    <definedName name="hn" localSheetId="29">{"TAB1",#N/A,TRUE,"GENERAL";"TAB2",#N/A,TRUE,"GENERAL";"TAB3",#N/A,TRUE,"GENERAL";"TAB4",#N/A,TRUE,"GENERAL";"TAB5",#N/A,TRUE,"GENERAL"}</definedName>
    <definedName name="hn">{"TAB1",#N/A,TRUE,"GENERAL";"TAB2",#N/A,TRUE,"GENERAL";"TAB3",#N/A,TRUE,"GENERAL";"TAB4",#N/A,TRUE,"GENERAL";"TAB5",#N/A,TRUE,"GENERAL"}</definedName>
    <definedName name="hn.ConvertZero1" localSheetId="20" hidden="1">#REF!,#REF!,#REF!,#REF!,#REF!,#REF!,#REF!,#REF!,#REF!,#REF!</definedName>
    <definedName name="hn.ConvertZero1" localSheetId="21" hidden="1">#REF!,#REF!,#REF!,#REF!,#REF!,#REF!,#REF!,#REF!,#REF!,#REF!</definedName>
    <definedName name="hn.ConvertZero1" localSheetId="9" hidden="1">#REF!,#REF!,#REF!,#REF!,#REF!,#REF!,#REF!,#REF!,#REF!,#REF!</definedName>
    <definedName name="hn.ConvertZero1" localSheetId="19" hidden="1">#REF!,#REF!,#REF!,#REF!,#REF!,#REF!,#REF!,#REF!,#REF!,#REF!</definedName>
    <definedName name="hn.ConvertZero1" localSheetId="13" hidden="1">[187]LTM!$G$461:$J$461,[187]LTM!$G$463:$J$464,[187]LTM!$G$468:$J$469,[187]LTM!$G$473:$J$475,[187]LTM!$G$480:$J$480,[187]LTM!$G$484:$J$485,[187]LTM!$G$490:$J$490,[187]LTM!$G$514:$J$518,[187]LTM!$G$525:$J$526,[187]LTM!$G$532:$J$537</definedName>
    <definedName name="hn.ConvertZero1" localSheetId="17" hidden="1">[187]LTM!$G$461:$J$461,[187]LTM!$G$463:$J$464,[187]LTM!$G$468:$J$469,[187]LTM!$G$473:$J$475,[187]LTM!$G$480:$J$480,[187]LTM!$G$484:$J$485,[187]LTM!$G$490:$J$490,[187]LTM!$G$514:$J$518,[187]LTM!$G$525:$J$526,[187]LTM!$G$532:$J$537</definedName>
    <definedName name="hn.ConvertZero1" localSheetId="18" hidden="1">[187]LTM!$G$461:$J$461,[187]LTM!$G$463:$J$464,[187]LTM!$G$468:$J$469,[187]LTM!$G$473:$J$475,[187]LTM!$G$480:$J$480,[187]LTM!$G$484:$J$485,[187]LTM!$G$490:$J$490,[187]LTM!$G$514:$J$518,[187]LTM!$G$525:$J$526,[187]LTM!$G$532:$J$537</definedName>
    <definedName name="hn.ConvertZero1" localSheetId="12" hidden="1">[187]LTM!$G$461:$J$461,[187]LTM!$G$463:$J$464,[187]LTM!$G$468:$J$469,[187]LTM!$G$473:$J$475,[187]LTM!$G$480:$J$480,[187]LTM!$G$484:$J$485,[187]LTM!$G$490:$J$490,[187]LTM!$G$514:$J$518,[187]LTM!$G$525:$J$526,[187]LTM!$G$532:$J$537</definedName>
    <definedName name="hn.ConvertZero1" hidden="1">#REF!,#REF!,#REF!,#REF!,#REF!,#REF!,#REF!,#REF!,#REF!,#REF!</definedName>
    <definedName name="hn.ConvertZero2" localSheetId="20" hidden="1">#REF!,#REF!,#REF!,#REF!,#REF!,#REF!,#REF!,#REF!</definedName>
    <definedName name="hn.ConvertZero2" localSheetId="21" hidden="1">#REF!,#REF!,#REF!,#REF!,#REF!,#REF!,#REF!,#REF!</definedName>
    <definedName name="hn.ConvertZero2" localSheetId="9" hidden="1">#REF!,#REF!,#REF!,#REF!,#REF!,#REF!,#REF!,#REF!</definedName>
    <definedName name="hn.ConvertZero2" localSheetId="19" hidden="1">#REF!,#REF!,#REF!,#REF!,#REF!,#REF!,#REF!,#REF!</definedName>
    <definedName name="hn.ConvertZero2" localSheetId="13" hidden="1">[187]LTM!$G$560:$J$560,[187]LTM!$H$590:$J$591,[187]LTM!$H$614:$J$614,[187]LTM!$H$635:$J$636,[187]LTM!$G$676:$J$680,[187]LTM!$G$686:$J$686,[187]LTM!$G$688:$J$694,[187]LTM!$G$681:$J$682</definedName>
    <definedName name="hn.ConvertZero2" localSheetId="17" hidden="1">[187]LTM!$G$560:$J$560,[187]LTM!$H$590:$J$591,[187]LTM!$H$614:$J$614,[187]LTM!$H$635:$J$636,[187]LTM!$G$676:$J$680,[187]LTM!$G$686:$J$686,[187]LTM!$G$688:$J$694,[187]LTM!$G$681:$J$682</definedName>
    <definedName name="hn.ConvertZero2" localSheetId="18" hidden="1">[187]LTM!$G$560:$J$560,[187]LTM!$H$590:$J$591,[187]LTM!$H$614:$J$614,[187]LTM!$H$635:$J$636,[187]LTM!$G$676:$J$680,[187]LTM!$G$686:$J$686,[187]LTM!$G$688:$J$694,[187]LTM!$G$681:$J$682</definedName>
    <definedName name="hn.ConvertZero2" localSheetId="12" hidden="1">[187]LTM!$G$560:$J$560,[187]LTM!$H$590:$J$591,[187]LTM!$H$614:$J$614,[187]LTM!$H$635:$J$636,[187]LTM!$G$676:$J$680,[187]LTM!$G$686:$J$686,[187]LTM!$G$688:$J$694,[187]LTM!$G$681:$J$682</definedName>
    <definedName name="hn.ConvertZero2" hidden="1">#REF!,#REF!,#REF!,#REF!,#REF!,#REF!,#REF!,#REF!</definedName>
    <definedName name="hn.ConvertZero3" localSheetId="20" hidden="1">#REF!,#REF!,#REF!,#REF!,#REF!</definedName>
    <definedName name="hn.ConvertZero3" localSheetId="21" hidden="1">#REF!,#REF!,#REF!,#REF!,#REF!</definedName>
    <definedName name="hn.ConvertZero3" localSheetId="9" hidden="1">#REF!,#REF!,#REF!,#REF!,#REF!</definedName>
    <definedName name="hn.ConvertZero3" localSheetId="19" hidden="1">#REF!,#REF!,#REF!,#REF!,#REF!</definedName>
    <definedName name="hn.ConvertZero3" localSheetId="13" hidden="1">[187]LTM!$G$699:$J$706,[187]LTM!$G$710:$J$714,[187]LTM!$G$717:$J$734,[187]LTM!$G$738:$J$738,[187]LTM!$G$745:$J$751</definedName>
    <definedName name="hn.ConvertZero3" localSheetId="17" hidden="1">[187]LTM!$G$699:$J$706,[187]LTM!$G$710:$J$714,[187]LTM!$G$717:$J$734,[187]LTM!$G$738:$J$738,[187]LTM!$G$745:$J$751</definedName>
    <definedName name="hn.ConvertZero3" localSheetId="18" hidden="1">[187]LTM!$G$699:$J$706,[187]LTM!$G$710:$J$714,[187]LTM!$G$717:$J$734,[187]LTM!$G$738:$J$738,[187]LTM!$G$745:$J$751</definedName>
    <definedName name="hn.ConvertZero3" localSheetId="12" hidden="1">[187]LTM!$G$699:$J$706,[187]LTM!$G$710:$J$714,[187]LTM!$G$717:$J$734,[187]LTM!$G$738:$J$738,[187]LTM!$G$745:$J$751</definedName>
    <definedName name="hn.ConvertZero3" hidden="1">#REF!,#REF!,#REF!,#REF!,#REF!</definedName>
    <definedName name="hn.ConvertZero4" localSheetId="20" hidden="1">#REF!,#REF!,#REF!,#REF!,#REF!,#REF!,#REF!,#REF!</definedName>
    <definedName name="hn.ConvertZero4" localSheetId="21" hidden="1">#REF!,#REF!,#REF!,#REF!,#REF!,#REF!,#REF!,#REF!</definedName>
    <definedName name="hn.ConvertZero4" localSheetId="9" hidden="1">#REF!,#REF!,#REF!,#REF!,#REF!,#REF!,#REF!,#REF!</definedName>
    <definedName name="hn.ConvertZero4" localSheetId="19" hidden="1">#REF!,#REF!,#REF!,#REF!,#REF!,#REF!,#REF!,#REF!</definedName>
    <definedName name="hn.ConvertZero4" localSheetId="13" hidden="1">[187]LTM!$G$840:$J$840,[187]LTM!$H$1266:$J$1266,[187]LTM!$G$1267:$J$1267,[187]LTM!$G$1454:$J$1461,[187]LTM!$J$1462,[187]LTM!$J$1463,[187]LTM!$G$1468:$J$1469,[187]LTM!$L$1469:$N$1469</definedName>
    <definedName name="hn.ConvertZero4" localSheetId="17" hidden="1">[187]LTM!$G$840:$J$840,[187]LTM!$H$1266:$J$1266,[187]LTM!$G$1267:$J$1267,[187]LTM!$G$1454:$J$1461,[187]LTM!$J$1462,[187]LTM!$J$1463,[187]LTM!$G$1468:$J$1469,[187]LTM!$L$1469:$N$1469</definedName>
    <definedName name="hn.ConvertZero4" localSheetId="18" hidden="1">[187]LTM!$G$840:$J$840,[187]LTM!$H$1266:$J$1266,[187]LTM!$G$1267:$J$1267,[187]LTM!$G$1454:$J$1461,[187]LTM!$J$1462,[187]LTM!$J$1463,[187]LTM!$G$1468:$J$1469,[187]LTM!$L$1469:$N$1469</definedName>
    <definedName name="hn.ConvertZero4" localSheetId="12" hidden="1">[187]LTM!$G$840:$J$840,[187]LTM!$H$1266:$J$1266,[187]LTM!$G$1267:$J$1267,[187]LTM!$G$1454:$J$1461,[187]LTM!$J$1462,[187]LTM!$J$1463,[187]LTM!$G$1468:$J$1469,[187]LTM!$L$1469:$N$1469</definedName>
    <definedName name="hn.ConvertZero4" hidden="1">#REF!,#REF!,#REF!,#REF!,#REF!,#REF!,#REF!,#REF!</definedName>
    <definedName name="hn.ConvertZeroUnhide1" localSheetId="20" hidden="1">#REF!,#REF!,#REF!</definedName>
    <definedName name="hn.ConvertZeroUnhide1" localSheetId="21" hidden="1">#REF!,#REF!,#REF!</definedName>
    <definedName name="hn.ConvertZeroUnhide1" localSheetId="9" hidden="1">#REF!,#REF!,#REF!</definedName>
    <definedName name="hn.ConvertZeroUnhide1" localSheetId="19" hidden="1">#REF!,#REF!,#REF!</definedName>
    <definedName name="hn.ConvertZeroUnhide1" localSheetId="13" hidden="1">[187]LTM!$G$1469:$J$1469,[187]LTM!$L$1469:$N$1469,[187]LTM!$H$1266:$J$1266</definedName>
    <definedName name="hn.ConvertZeroUnhide1" localSheetId="17" hidden="1">[187]LTM!$G$1469:$J$1469,[187]LTM!$L$1469:$N$1469,[187]LTM!$H$1266:$J$1266</definedName>
    <definedName name="hn.ConvertZeroUnhide1" localSheetId="18" hidden="1">[187]LTM!$G$1469:$J$1469,[187]LTM!$L$1469:$N$1469,[187]LTM!$H$1266:$J$1266</definedName>
    <definedName name="hn.ConvertZeroUnhide1" localSheetId="12" hidden="1">[187]LTM!$G$1469:$J$1469,[187]LTM!$L$1469:$N$1469,[187]LTM!$H$1266:$J$1266</definedName>
    <definedName name="hn.ConvertZeroUnhide1" hidden="1">#REF!,#REF!,#REF!</definedName>
    <definedName name="hn.Delete015" localSheetId="20" hidden="1">#REF!,#REF!,#REF!,#REF!</definedName>
    <definedName name="hn.Delete015" localSheetId="21" hidden="1">#REF!,#REF!,#REF!,#REF!</definedName>
    <definedName name="hn.Delete015" localSheetId="9" hidden="1">#REF!,#REF!,#REF!,#REF!</definedName>
    <definedName name="hn.Delete015" localSheetId="19" hidden="1">#REF!,#REF!,#REF!,#REF!</definedName>
    <definedName name="hn.Delete015" localSheetId="13" hidden="1">'[187]CREDIT STATS'!$B$9:$K$11,'[187]CREDIT STATS'!$O$11:$X$14,'[187]CREDIT STATS'!$B$25:$K$30,'[187]CREDIT STATS'!$O$25:$X$26</definedName>
    <definedName name="hn.Delete015" localSheetId="17" hidden="1">'[187]CREDIT STATS'!$B$9:$K$11,'[187]CREDIT STATS'!$O$11:$X$14,'[187]CREDIT STATS'!$B$25:$K$30,'[187]CREDIT STATS'!$O$25:$X$26</definedName>
    <definedName name="hn.Delete015" localSheetId="18" hidden="1">'[187]CREDIT STATS'!$B$9:$K$11,'[187]CREDIT STATS'!$O$11:$X$14,'[187]CREDIT STATS'!$B$25:$K$30,'[187]CREDIT STATS'!$O$25:$X$26</definedName>
    <definedName name="hn.Delete015" localSheetId="12" hidden="1">'[187]CREDIT STATS'!$B$9:$K$11,'[187]CREDIT STATS'!$O$11:$X$14,'[187]CREDIT STATS'!$B$25:$K$30,'[187]CREDIT STATS'!$O$25:$X$26</definedName>
    <definedName name="hn.Delete015" hidden="1">#REF!,#REF!,#REF!,#REF!</definedName>
    <definedName name="hn.DZ_MultByFXRates" localSheetId="20" hidden="1">#REF!,#REF!,#REF!,#REF!</definedName>
    <definedName name="hn.DZ_MultByFXRates" localSheetId="21" hidden="1">#REF!,#REF!,#REF!,#REF!</definedName>
    <definedName name="hn.DZ_MultByFXRates" localSheetId="9" hidden="1">#REF!,#REF!,#REF!,#REF!</definedName>
    <definedName name="hn.DZ_MultByFXRates" localSheetId="19" hidden="1">#REF!,#REF!,#REF!,#REF!</definedName>
    <definedName name="hn.DZ_MultByFXRates" localSheetId="13" hidden="1">[187]DropZone!$B$2:$I$118,[187]DropZone!$B$120:$I$132,[187]DropZone!$B$134:$I$136,[187]DropZone!$B$138:$I$146</definedName>
    <definedName name="hn.DZ_MultByFXRates" localSheetId="17" hidden="1">[187]DropZone!$B$2:$I$118,[187]DropZone!$B$120:$I$132,[187]DropZone!$B$134:$I$136,[187]DropZone!$B$138:$I$146</definedName>
    <definedName name="hn.DZ_MultByFXRates" localSheetId="18" hidden="1">[187]DropZone!$B$2:$I$118,[187]DropZone!$B$120:$I$132,[187]DropZone!$B$134:$I$136,[187]DropZone!$B$138:$I$146</definedName>
    <definedName name="hn.DZ_MultByFXRates" localSheetId="12" hidden="1">[187]DropZone!$B$2:$I$118,[187]DropZone!$B$120:$I$132,[187]DropZone!$B$134:$I$136,[187]DropZone!$B$138:$I$146</definedName>
    <definedName name="hn.DZ_MultByFXRates" hidden="1">#REF!,#REF!,#REF!,#REF!</definedName>
    <definedName name="hn.ExtDb" hidden="1">FALSE</definedName>
    <definedName name="hn.LTM_MultByFXRates" localSheetId="20" hidden="1">#REF!,#REF!,#REF!,#REF!,#REF!,#REF!,#REF!</definedName>
    <definedName name="hn.LTM_MultByFXRates" localSheetId="21" hidden="1">#REF!,#REF!,#REF!,#REF!,#REF!,#REF!,#REF!</definedName>
    <definedName name="hn.LTM_MultByFXRates" localSheetId="9" hidden="1">#REF!,#REF!,#REF!,#REF!,#REF!,#REF!,#REF!</definedName>
    <definedName name="hn.LTM_MultByFXRates" localSheetId="19" hidden="1">#REF!,#REF!,#REF!,#REF!,#REF!,#REF!,#REF!</definedName>
    <definedName name="hn.LTM_MultByFXRates" localSheetId="13" hidden="1">[187]LTM!$G$461:$N$477,[187]LTM!$G$480:$N$539,[187]LTM!$G$548:$N$667,[187]LTM!$G$676:$N$1266,[187]LTM!$G$1454:$N$1461,[187]LTM!$G$1463:$N$1465,[187]LTM!$G$1468:$N$1469</definedName>
    <definedName name="hn.LTM_MultByFXRates" localSheetId="17" hidden="1">[187]LTM!$G$461:$N$477,[187]LTM!$G$480:$N$539,[187]LTM!$G$548:$N$667,[187]LTM!$G$676:$N$1266,[187]LTM!$G$1454:$N$1461,[187]LTM!$G$1463:$N$1465,[187]LTM!$G$1468:$N$1469</definedName>
    <definedName name="hn.LTM_MultByFXRates" localSheetId="18" hidden="1">[187]LTM!$G$461:$N$477,[187]LTM!$G$480:$N$539,[187]LTM!$G$548:$N$667,[187]LTM!$G$676:$N$1266,[187]LTM!$G$1454:$N$1461,[187]LTM!$G$1463:$N$1465,[187]LTM!$G$1468:$N$1469</definedName>
    <definedName name="hn.LTM_MultByFXRates" localSheetId="12" hidden="1">[187]LTM!$G$461:$N$477,[187]LTM!$G$480:$N$539,[187]LTM!$G$548:$N$667,[187]LTM!$G$676:$N$1266,[187]LTM!$G$1454:$N$1461,[187]LTM!$G$1463:$N$1465,[187]LTM!$G$1468:$N$1469</definedName>
    <definedName name="hn.LTM_MultByFXRates" hidden="1">#REF!,#REF!,#REF!,#REF!,#REF!,#REF!,#REF!</definedName>
    <definedName name="hn.ModelType" hidden="1">"DEAL"</definedName>
    <definedName name="hn.ModelVersion" hidden="1">1</definedName>
    <definedName name="hn.MultbyFXRates" localSheetId="20" hidden="1">#REF!,#REF!,#REF!,#REF!,#REF!,#REF!,#REF!</definedName>
    <definedName name="hn.MultbyFXRates" localSheetId="21" hidden="1">#REF!,#REF!,#REF!,#REF!,#REF!,#REF!,#REF!</definedName>
    <definedName name="hn.MultbyFXRates" localSheetId="9" hidden="1">#REF!,#REF!,#REF!,#REF!,#REF!,#REF!,#REF!</definedName>
    <definedName name="hn.MultbyFXRates" localSheetId="19" hidden="1">#REF!,#REF!,#REF!,#REF!,#REF!,#REF!,#REF!</definedName>
    <definedName name="hn.MultbyFXRates" localSheetId="13" hidden="1">[187]LTM!$G$461:$N$477,[187]LTM!$G$480:$N$539,[187]LTM!$G$548:$N$667,[187]LTM!$G$676:$N$1266,[187]LTM!$G$1454:$N$1461,[187]LTM!$G$1463:$N$1465,[187]LTM!$G$1468:$N$1469</definedName>
    <definedName name="hn.MultbyFXRates" localSheetId="17" hidden="1">[187]LTM!$G$461:$N$477,[187]LTM!$G$480:$N$539,[187]LTM!$G$548:$N$667,[187]LTM!$G$676:$N$1266,[187]LTM!$G$1454:$N$1461,[187]LTM!$G$1463:$N$1465,[187]LTM!$G$1468:$N$1469</definedName>
    <definedName name="hn.MultbyFXRates" localSheetId="18" hidden="1">[187]LTM!$G$461:$N$477,[187]LTM!$G$480:$N$539,[187]LTM!$G$548:$N$667,[187]LTM!$G$676:$N$1266,[187]LTM!$G$1454:$N$1461,[187]LTM!$G$1463:$N$1465,[187]LTM!$G$1468:$N$1469</definedName>
    <definedName name="hn.MultbyFXRates" localSheetId="12" hidden="1">[187]LTM!$G$461:$N$477,[187]LTM!$G$480:$N$539,[187]LTM!$G$548:$N$667,[187]LTM!$G$676:$N$1266,[187]LTM!$G$1454:$N$1461,[187]LTM!$G$1463:$N$1465,[187]LTM!$G$1468:$N$1469</definedName>
    <definedName name="hn.MultbyFXRates" hidden="1">#REF!,#REF!,#REF!,#REF!,#REF!,#REF!,#REF!</definedName>
    <definedName name="hn.MultByFXRates1" localSheetId="20" hidden="1">#REF!,#REF!,#REF!,#REF!,#REF!</definedName>
    <definedName name="hn.MultByFXRates1" localSheetId="21" hidden="1">#REF!,#REF!,#REF!,#REF!,#REF!</definedName>
    <definedName name="hn.MultByFXRates1" localSheetId="9" hidden="1">#REF!,#REF!,#REF!,#REF!,#REF!</definedName>
    <definedName name="hn.MultByFXRates1" localSheetId="19" hidden="1">#REF!,#REF!,#REF!,#REF!,#REF!</definedName>
    <definedName name="hn.MultByFXRates1" localSheetId="13" hidden="1">[187]LTM!$G$461:$G$477,[187]LTM!$G$480:$G$539,[187]LTM!$G$548:$G$562,[187]LTM!$G$676:$G$840,[187]LTM!$G$1454:$G$1469</definedName>
    <definedName name="hn.MultByFXRates1" localSheetId="17" hidden="1">[187]LTM!$G$461:$G$477,[187]LTM!$G$480:$G$539,[187]LTM!$G$548:$G$562,[187]LTM!$G$676:$G$840,[187]LTM!$G$1454:$G$1469</definedName>
    <definedName name="hn.MultByFXRates1" localSheetId="18" hidden="1">[187]LTM!$G$461:$G$477,[187]LTM!$G$480:$G$539,[187]LTM!$G$548:$G$562,[187]LTM!$G$676:$G$840,[187]LTM!$G$1454:$G$1469</definedName>
    <definedName name="hn.MultByFXRates1" localSheetId="12" hidden="1">[187]LTM!$G$461:$G$477,[187]LTM!$G$480:$G$539,[187]LTM!$G$548:$G$562,[187]LTM!$G$676:$G$840,[187]LTM!$G$1454:$G$1469</definedName>
    <definedName name="hn.MultByFXRates1" hidden="1">#REF!,#REF!,#REF!,#REF!,#REF!</definedName>
    <definedName name="hn.MultByFXRates2" localSheetId="20" hidden="1">#REF!,#REF!,#REF!,#REF!,#REF!</definedName>
    <definedName name="hn.MultByFXRates2" localSheetId="21" hidden="1">#REF!,#REF!,#REF!,#REF!,#REF!</definedName>
    <definedName name="hn.MultByFXRates2" localSheetId="9" hidden="1">#REF!,#REF!,#REF!,#REF!,#REF!</definedName>
    <definedName name="hn.MultByFXRates2" localSheetId="19" hidden="1">#REF!,#REF!,#REF!,#REF!,#REF!</definedName>
    <definedName name="hn.MultByFXRates2" localSheetId="13" hidden="1">[187]LTM!$H$461:$H$477,[187]LTM!$H$480:$H$539,[187]LTM!$H$548:$H$667,[187]LTM!$H$676:$H$1266,[187]LTM!$H$1454:$H$1469</definedName>
    <definedName name="hn.MultByFXRates2" localSheetId="17" hidden="1">[187]LTM!$H$461:$H$477,[187]LTM!$H$480:$H$539,[187]LTM!$H$548:$H$667,[187]LTM!$H$676:$H$1266,[187]LTM!$H$1454:$H$1469</definedName>
    <definedName name="hn.MultByFXRates2" localSheetId="18" hidden="1">[187]LTM!$H$461:$H$477,[187]LTM!$H$480:$H$539,[187]LTM!$H$548:$H$667,[187]LTM!$H$676:$H$1266,[187]LTM!$H$1454:$H$1469</definedName>
    <definedName name="hn.MultByFXRates2" localSheetId="12" hidden="1">[187]LTM!$H$461:$H$477,[187]LTM!$H$480:$H$539,[187]LTM!$H$548:$H$667,[187]LTM!$H$676:$H$1266,[187]LTM!$H$1454:$H$1469</definedName>
    <definedName name="hn.MultByFXRates2" hidden="1">#REF!,#REF!,#REF!,#REF!,#REF!</definedName>
    <definedName name="hn.MultByFXRates3" localSheetId="20" hidden="1">#REF!,#REF!,#REF!,#REF!,#REF!</definedName>
    <definedName name="hn.MultByFXRates3" localSheetId="21" hidden="1">#REF!,#REF!,#REF!,#REF!,#REF!</definedName>
    <definedName name="hn.MultByFXRates3" localSheetId="9" hidden="1">#REF!,#REF!,#REF!,#REF!,#REF!</definedName>
    <definedName name="hn.MultByFXRates3" localSheetId="19" hidden="1">#REF!,#REF!,#REF!,#REF!,#REF!</definedName>
    <definedName name="hn.MultByFXRates3" localSheetId="13" hidden="1">[187]LTM!$I$461:$I$477,[187]LTM!$I$480:$I$539,[187]LTM!$I$548:$I$667,[187]LTM!$I$676:$I$1266,[187]LTM!$I$1454:$I$1469</definedName>
    <definedName name="hn.MultByFXRates3" localSheetId="17" hidden="1">[187]LTM!$I$461:$I$477,[187]LTM!$I$480:$I$539,[187]LTM!$I$548:$I$667,[187]LTM!$I$676:$I$1266,[187]LTM!$I$1454:$I$1469</definedName>
    <definedName name="hn.MultByFXRates3" localSheetId="18" hidden="1">[187]LTM!$I$461:$I$477,[187]LTM!$I$480:$I$539,[187]LTM!$I$548:$I$667,[187]LTM!$I$676:$I$1266,[187]LTM!$I$1454:$I$1469</definedName>
    <definedName name="hn.MultByFXRates3" localSheetId="12" hidden="1">[187]LTM!$I$461:$I$477,[187]LTM!$I$480:$I$539,[187]LTM!$I$548:$I$667,[187]LTM!$I$676:$I$1266,[187]LTM!$I$1454:$I$1469</definedName>
    <definedName name="hn.MultByFXRates3" hidden="1">#REF!,#REF!,#REF!,#REF!,#REF!</definedName>
    <definedName name="hn.MultbyFxrates4" localSheetId="20" hidden="1">#REF!,#REF!,#REF!,#REF!,#REF!,#REF!,#REF!</definedName>
    <definedName name="hn.MultbyFxrates4" localSheetId="21" hidden="1">#REF!,#REF!,#REF!,#REF!,#REF!,#REF!,#REF!</definedName>
    <definedName name="hn.MultbyFxrates4" localSheetId="9" hidden="1">#REF!,#REF!,#REF!,#REF!,#REF!,#REF!,#REF!</definedName>
    <definedName name="hn.MultbyFxrates4" localSheetId="19" hidden="1">#REF!,#REF!,#REF!,#REF!,#REF!,#REF!,#REF!</definedName>
    <definedName name="hn.MultbyFxrates4" localSheetId="13" hidden="1">[187]LTM!$J$461:$J$477,[187]LTM!$J$480:$J$539,[187]LTM!$J$548:$J$668,[187]LTM!$J$676:$J$1266,[187]LTM!$J$1454:$J$1461,[187]LTM!$J$1463:$J$1465,[187]LTM!$J$1468</definedName>
    <definedName name="hn.MultbyFxrates4" localSheetId="17" hidden="1">[187]LTM!$J$461:$J$477,[187]LTM!$J$480:$J$539,[187]LTM!$J$548:$J$668,[187]LTM!$J$676:$J$1266,[187]LTM!$J$1454:$J$1461,[187]LTM!$J$1463:$J$1465,[187]LTM!$J$1468</definedName>
    <definedName name="hn.MultbyFxrates4" localSheetId="18" hidden="1">[187]LTM!$J$461:$J$477,[187]LTM!$J$480:$J$539,[187]LTM!$J$548:$J$668,[187]LTM!$J$676:$J$1266,[187]LTM!$J$1454:$J$1461,[187]LTM!$J$1463:$J$1465,[187]LTM!$J$1468</definedName>
    <definedName name="hn.MultbyFxrates4" localSheetId="12" hidden="1">[187]LTM!$J$461:$J$477,[187]LTM!$J$480:$J$539,[187]LTM!$J$548:$J$668,[187]LTM!$J$676:$J$1266,[187]LTM!$J$1454:$J$1461,[187]LTM!$J$1463:$J$1465,[187]LTM!$J$1468</definedName>
    <definedName name="hn.MultbyFxrates4" hidden="1">#REF!,#REF!,#REF!,#REF!,#REF!,#REF!,#REF!</definedName>
    <definedName name="hn.multbyfxrates5" localSheetId="20" hidden="1">#REF!,#REF!,#REF!,#REF!,#REF!</definedName>
    <definedName name="hn.multbyfxrates5" localSheetId="21" hidden="1">#REF!,#REF!,#REF!,#REF!,#REF!</definedName>
    <definedName name="hn.multbyfxrates5" localSheetId="9" hidden="1">#REF!,#REF!,#REF!,#REF!,#REF!</definedName>
    <definedName name="hn.multbyfxrates5" localSheetId="19" hidden="1">#REF!,#REF!,#REF!,#REF!,#REF!</definedName>
    <definedName name="hn.multbyfxrates5" localSheetId="13" hidden="1">[187]LTM!$L$461:$L$477,[187]LTM!$L$480:$L$539,[187]LTM!$L$548:$L$562,[187]LTM!$L$676:$L$840,[187]LTM!$L$1454:$L$1469</definedName>
    <definedName name="hn.multbyfxrates5" localSheetId="17" hidden="1">[187]LTM!$L$461:$L$477,[187]LTM!$L$480:$L$539,[187]LTM!$L$548:$L$562,[187]LTM!$L$676:$L$840,[187]LTM!$L$1454:$L$1469</definedName>
    <definedName name="hn.multbyfxrates5" localSheetId="18" hidden="1">[187]LTM!$L$461:$L$477,[187]LTM!$L$480:$L$539,[187]LTM!$L$548:$L$562,[187]LTM!$L$676:$L$840,[187]LTM!$L$1454:$L$1469</definedName>
    <definedName name="hn.multbyfxrates5" localSheetId="12" hidden="1">[187]LTM!$L$461:$L$477,[187]LTM!$L$480:$L$539,[187]LTM!$L$548:$L$562,[187]LTM!$L$676:$L$840,[187]LTM!$L$1454:$L$1469</definedName>
    <definedName name="hn.multbyfxrates5" hidden="1">#REF!,#REF!,#REF!,#REF!,#REF!</definedName>
    <definedName name="hn.multbyfxrates6" localSheetId="20" hidden="1">#REF!,#REF!,#REF!,#REF!,#REF!</definedName>
    <definedName name="hn.multbyfxrates6" localSheetId="21" hidden="1">#REF!,#REF!,#REF!,#REF!,#REF!</definedName>
    <definedName name="hn.multbyfxrates6" localSheetId="9" hidden="1">#REF!,#REF!,#REF!,#REF!,#REF!</definedName>
    <definedName name="hn.multbyfxrates6" localSheetId="19" hidden="1">#REF!,#REF!,#REF!,#REF!,#REF!</definedName>
    <definedName name="hn.multbyfxrates6" localSheetId="13" hidden="1">[187]LTM!$M$461:$M$477,[187]LTM!$M$480:$M$539,[187]LTM!$M$548:$M$668,[187]LTM!$M$676:$M$1266,[187]LTM!$M$1454:$M$1469</definedName>
    <definedName name="hn.multbyfxrates6" localSheetId="17" hidden="1">[187]LTM!$M$461:$M$477,[187]LTM!$M$480:$M$539,[187]LTM!$M$548:$M$668,[187]LTM!$M$676:$M$1266,[187]LTM!$M$1454:$M$1469</definedName>
    <definedName name="hn.multbyfxrates6" localSheetId="18" hidden="1">[187]LTM!$M$461:$M$477,[187]LTM!$M$480:$M$539,[187]LTM!$M$548:$M$668,[187]LTM!$M$676:$M$1266,[187]LTM!$M$1454:$M$1469</definedName>
    <definedName name="hn.multbyfxrates6" localSheetId="12" hidden="1">[187]LTM!$M$461:$M$477,[187]LTM!$M$480:$M$539,[187]LTM!$M$548:$M$668,[187]LTM!$M$676:$M$1266,[187]LTM!$M$1454:$M$1469</definedName>
    <definedName name="hn.multbyfxrates6" hidden="1">#REF!,#REF!,#REF!,#REF!,#REF!</definedName>
    <definedName name="hn.multbyfxrates7" localSheetId="20" hidden="1">#REF!,#REF!,#REF!,#REF!,#REF!</definedName>
    <definedName name="hn.multbyfxrates7" localSheetId="21" hidden="1">#REF!,#REF!,#REF!,#REF!,#REF!</definedName>
    <definedName name="hn.multbyfxrates7" localSheetId="9" hidden="1">#REF!,#REF!,#REF!,#REF!,#REF!</definedName>
    <definedName name="hn.multbyfxrates7" localSheetId="19" hidden="1">#REF!,#REF!,#REF!,#REF!,#REF!</definedName>
    <definedName name="hn.multbyfxrates7" localSheetId="13" hidden="1">[187]LTM!$N$461:$N$477,[187]LTM!$N$480:$N$539,[187]LTM!$N$548:$N$667,[187]LTM!$N$676:$N$1266,[187]LTM!$N$1454:$N$1469</definedName>
    <definedName name="hn.multbyfxrates7" localSheetId="17" hidden="1">[187]LTM!$N$461:$N$477,[187]LTM!$N$480:$N$539,[187]LTM!$N$548:$N$667,[187]LTM!$N$676:$N$1266,[187]LTM!$N$1454:$N$1469</definedName>
    <definedName name="hn.multbyfxrates7" localSheetId="18" hidden="1">[187]LTM!$N$461:$N$477,[187]LTM!$N$480:$N$539,[187]LTM!$N$548:$N$667,[187]LTM!$N$676:$N$1266,[187]LTM!$N$1454:$N$1469</definedName>
    <definedName name="hn.multbyfxrates7" localSheetId="12" hidden="1">[187]LTM!$N$461:$N$477,[187]LTM!$N$480:$N$539,[187]LTM!$N$548:$N$667,[187]LTM!$N$676:$N$1266,[187]LTM!$N$1454:$N$1469</definedName>
    <definedName name="hn.multbyfxrates7" hidden="1">#REF!,#REF!,#REF!,#REF!,#REF!</definedName>
    <definedName name="hn.MultByFXRatesBot1" localSheetId="20" hidden="1">#REF!,#REF!,#REF!,#REF!,#REF!,#REF!,#REF!,#REF!,#REF!,#REF!,#REF!,#REF!</definedName>
    <definedName name="hn.MultByFXRatesBot1" localSheetId="21" hidden="1">#REF!,#REF!,#REF!,#REF!,#REF!,#REF!,#REF!,#REF!,#REF!,#REF!,#REF!,#REF!</definedName>
    <definedName name="hn.MultByFXRatesBot1" localSheetId="9" hidden="1">#REF!,#REF!,#REF!,#REF!,#REF!,#REF!,#REF!,#REF!,#REF!,#REF!,#REF!,#REF!</definedName>
    <definedName name="hn.MultByFXRatesBot1" localSheetId="19" hidden="1">#REF!,#REF!,#REF!,#REF!,#REF!,#REF!,#REF!,#REF!,#REF!,#REF!,#REF!,#REF!</definedName>
    <definedName name="hn.MultByFXRatesBot1" localSheetId="13" hidden="1">[187]LTM!$G$676:$G$682,[187]LTM!$G$686,[187]LTM!$G$688:$G$694,[187]LTM!$G$699:$G$706,[187]LTM!$G$710:$G$714,[187]LTM!$G$717:$G$734,[187]LTM!$G$738,[187]LTM!$G$738,[187]LTM!$G$745:$G$751,[187]LTM!$G$840,[187]LTM!$G$1454:$G$1461,[187]LTM!$G$1468:$G$1469</definedName>
    <definedName name="hn.MultByFXRatesBot1" localSheetId="17" hidden="1">[187]LTM!$G$676:$G$682,[187]LTM!$G$686,[187]LTM!$G$688:$G$694,[187]LTM!$G$699:$G$706,[187]LTM!$G$710:$G$714,[187]LTM!$G$717:$G$734,[187]LTM!$G$738,[187]LTM!$G$738,[187]LTM!$G$745:$G$751,[187]LTM!$G$840,[187]LTM!$G$1454:$G$1461,[187]LTM!$G$1468:$G$1469</definedName>
    <definedName name="hn.MultByFXRatesBot1" localSheetId="18" hidden="1">[187]LTM!$G$676:$G$682,[187]LTM!$G$686,[187]LTM!$G$688:$G$694,[187]LTM!$G$699:$G$706,[187]LTM!$G$710:$G$714,[187]LTM!$G$717:$G$734,[187]LTM!$G$738,[187]LTM!$G$738,[187]LTM!$G$745:$G$751,[187]LTM!$G$840,[187]LTM!$G$1454:$G$1461,[187]LTM!$G$1468:$G$1469</definedName>
    <definedName name="hn.MultByFXRatesBot1" localSheetId="12" hidden="1">[187]LTM!$G$676:$G$682,[187]LTM!$G$686,[187]LTM!$G$688:$G$694,[187]LTM!$G$699:$G$706,[187]LTM!$G$710:$G$714,[187]LTM!$G$717:$G$734,[187]LTM!$G$738,[187]LTM!$G$738,[187]LTM!$G$745:$G$751,[187]LTM!$G$840,[187]LTM!$G$1454:$G$1461,[187]LTM!$G$1468:$G$1469</definedName>
    <definedName name="hn.MultByFXRatesBot1" hidden="1">#REF!,#REF!,#REF!,#REF!,#REF!,#REF!,#REF!,#REF!,#REF!,#REF!,#REF!,#REF!</definedName>
    <definedName name="hn.MultByFXRatesBot2" localSheetId="20" hidden="1">#REF!,#REF!,#REF!,#REF!,#REF!,#REF!,#REF!,#REF!,#REF!,#REF!,#REF!,#REF!</definedName>
    <definedName name="hn.MultByFXRatesBot2" localSheetId="21" hidden="1">#REF!,#REF!,#REF!,#REF!,#REF!,#REF!,#REF!,#REF!,#REF!,#REF!,#REF!,#REF!</definedName>
    <definedName name="hn.MultByFXRatesBot2" localSheetId="9" hidden="1">#REF!,#REF!,#REF!,#REF!,#REF!,#REF!,#REF!,#REF!,#REF!,#REF!,#REF!,#REF!</definedName>
    <definedName name="hn.MultByFXRatesBot2" localSheetId="19" hidden="1">#REF!,#REF!,#REF!,#REF!,#REF!,#REF!,#REF!,#REF!,#REF!,#REF!,#REF!,#REF!</definedName>
    <definedName name="hn.MultByFXRatesBot2" localSheetId="13" hidden="1">[187]LTM!$H$676:$H$682,[187]LTM!$H$686,[187]LTM!$H$688:$H$694,[187]LTM!$H$699:$H$706,[187]LTM!$H$710:$H$714,[187]LTM!$H$717:$H$734,[187]LTM!$H$738,[187]LTM!$H$745:$H$751,[187]LTM!$H$840,[187]LTM!$H$1266,[187]LTM!$H$1454:$H$1461,[187]LTM!$H$1468:$H$1469</definedName>
    <definedName name="hn.MultByFXRatesBot2" localSheetId="17" hidden="1">[187]LTM!$H$676:$H$682,[187]LTM!$H$686,[187]LTM!$H$688:$H$694,[187]LTM!$H$699:$H$706,[187]LTM!$H$710:$H$714,[187]LTM!$H$717:$H$734,[187]LTM!$H$738,[187]LTM!$H$745:$H$751,[187]LTM!$H$840,[187]LTM!$H$1266,[187]LTM!$H$1454:$H$1461,[187]LTM!$H$1468:$H$1469</definedName>
    <definedName name="hn.MultByFXRatesBot2" localSheetId="18" hidden="1">[187]LTM!$H$676:$H$682,[187]LTM!$H$686,[187]LTM!$H$688:$H$694,[187]LTM!$H$699:$H$706,[187]LTM!$H$710:$H$714,[187]LTM!$H$717:$H$734,[187]LTM!$H$738,[187]LTM!$H$745:$H$751,[187]LTM!$H$840,[187]LTM!$H$1266,[187]LTM!$H$1454:$H$1461,[187]LTM!$H$1468:$H$1469</definedName>
    <definedName name="hn.MultByFXRatesBot2" localSheetId="12" hidden="1">[187]LTM!$H$676:$H$682,[187]LTM!$H$686,[187]LTM!$H$688:$H$694,[187]LTM!$H$699:$H$706,[187]LTM!$H$710:$H$714,[187]LTM!$H$717:$H$734,[187]LTM!$H$738,[187]LTM!$H$745:$H$751,[187]LTM!$H$840,[187]LTM!$H$1266,[187]LTM!$H$1454:$H$1461,[187]LTM!$H$1468:$H$1469</definedName>
    <definedName name="hn.MultByFXRatesBot2" hidden="1">#REF!,#REF!,#REF!,#REF!,#REF!,#REF!,#REF!,#REF!,#REF!,#REF!,#REF!,#REF!</definedName>
    <definedName name="hn.MultByFXRatesBot3" localSheetId="20" hidden="1">#REF!,#REF!,#REF!,#REF!,#REF!,#REF!,#REF!,#REF!,#REF!,#REF!,#REF!,#REF!</definedName>
    <definedName name="hn.MultByFXRatesBot3" localSheetId="21" hidden="1">#REF!,#REF!,#REF!,#REF!,#REF!,#REF!,#REF!,#REF!,#REF!,#REF!,#REF!,#REF!</definedName>
    <definedName name="hn.MultByFXRatesBot3" localSheetId="9" hidden="1">#REF!,#REF!,#REF!,#REF!,#REF!,#REF!,#REF!,#REF!,#REF!,#REF!,#REF!,#REF!</definedName>
    <definedName name="hn.MultByFXRatesBot3" localSheetId="19" hidden="1">#REF!,#REF!,#REF!,#REF!,#REF!,#REF!,#REF!,#REF!,#REF!,#REF!,#REF!,#REF!</definedName>
    <definedName name="hn.MultByFXRatesBot3" localSheetId="13" hidden="1">[187]LTM!$I$676:$I$682,[187]LTM!$I$686,[187]LTM!$I$688:$I$694,[187]LTM!$I$699:$I$706,[187]LTM!$I$710:$I$714,[187]LTM!$I$717:$I$734,[187]LTM!$I$738,[187]LTM!$I$745:$I$751,[187]LTM!$I$840,[187]LTM!$I$1266,[187]LTM!$I$1454:$I$1461,[187]LTM!$I$1468:$I$1469</definedName>
    <definedName name="hn.MultByFXRatesBot3" localSheetId="17" hidden="1">[187]LTM!$I$676:$I$682,[187]LTM!$I$686,[187]LTM!$I$688:$I$694,[187]LTM!$I$699:$I$706,[187]LTM!$I$710:$I$714,[187]LTM!$I$717:$I$734,[187]LTM!$I$738,[187]LTM!$I$745:$I$751,[187]LTM!$I$840,[187]LTM!$I$1266,[187]LTM!$I$1454:$I$1461,[187]LTM!$I$1468:$I$1469</definedName>
    <definedName name="hn.MultByFXRatesBot3" localSheetId="18" hidden="1">[187]LTM!$I$676:$I$682,[187]LTM!$I$686,[187]LTM!$I$688:$I$694,[187]LTM!$I$699:$I$706,[187]LTM!$I$710:$I$714,[187]LTM!$I$717:$I$734,[187]LTM!$I$738,[187]LTM!$I$745:$I$751,[187]LTM!$I$840,[187]LTM!$I$1266,[187]LTM!$I$1454:$I$1461,[187]LTM!$I$1468:$I$1469</definedName>
    <definedName name="hn.MultByFXRatesBot3" localSheetId="12" hidden="1">[187]LTM!$I$676:$I$682,[187]LTM!$I$686,[187]LTM!$I$688:$I$694,[187]LTM!$I$699:$I$706,[187]LTM!$I$710:$I$714,[187]LTM!$I$717:$I$734,[187]LTM!$I$738,[187]LTM!$I$745:$I$751,[187]LTM!$I$840,[187]LTM!$I$1266,[187]LTM!$I$1454:$I$1461,[187]LTM!$I$1468:$I$1469</definedName>
    <definedName name="hn.MultByFXRatesBot3" hidden="1">#REF!,#REF!,#REF!,#REF!,#REF!,#REF!,#REF!,#REF!,#REF!,#REF!,#REF!,#REF!</definedName>
    <definedName name="hn.MultByFXRatesBot4" localSheetId="20" hidden="1">#REF!,#REF!,#REF!,#REF!,#REF!,#REF!,#REF!,#REF!,#REF!,#REF!,#REF!,#REF!,#REF!</definedName>
    <definedName name="hn.MultByFXRatesBot4" localSheetId="21" hidden="1">#REF!,#REF!,#REF!,#REF!,#REF!,#REF!,#REF!,#REF!,#REF!,#REF!,#REF!,#REF!,#REF!</definedName>
    <definedName name="hn.MultByFXRatesBot4" localSheetId="9" hidden="1">#REF!,#REF!,#REF!,#REF!,#REF!,#REF!,#REF!,#REF!,#REF!,#REF!,#REF!,#REF!,#REF!</definedName>
    <definedName name="hn.MultByFXRatesBot4" localSheetId="19" hidden="1">#REF!,#REF!,#REF!,#REF!,#REF!,#REF!,#REF!,#REF!,#REF!,#REF!,#REF!,#REF!,#REF!</definedName>
    <definedName name="hn.MultByFXRatesBot4" localSheetId="13" hidden="1">[187]LTM!$J$676:$J$682,[187]LTM!$J$686,[187]LTM!$J$688:$J$694,[187]LTM!$J$699:$J$706,[187]LTM!$J$710:$J$714,[187]LTM!$J$717:$J$734,[187]LTM!$J$738,[187]LTM!$J$745:$J$751,[187]LTM!$J$840,[187]LTM!$J$1266,[187]LTM!$J$1454:$J$1461,[187]LTM!$J$1463:$J$1465,[187]LTM!$J$1468</definedName>
    <definedName name="hn.MultByFXRatesBot4" localSheetId="17" hidden="1">[187]LTM!$J$676:$J$682,[187]LTM!$J$686,[187]LTM!$J$688:$J$694,[187]LTM!$J$699:$J$706,[187]LTM!$J$710:$J$714,[187]LTM!$J$717:$J$734,[187]LTM!$J$738,[187]LTM!$J$745:$J$751,[187]LTM!$J$840,[187]LTM!$J$1266,[187]LTM!$J$1454:$J$1461,[187]LTM!$J$1463:$J$1465,[187]LTM!$J$1468</definedName>
    <definedName name="hn.MultByFXRatesBot4" localSheetId="18" hidden="1">[187]LTM!$J$676:$J$682,[187]LTM!$J$686,[187]LTM!$J$688:$J$694,[187]LTM!$J$699:$J$706,[187]LTM!$J$710:$J$714,[187]LTM!$J$717:$J$734,[187]LTM!$J$738,[187]LTM!$J$745:$J$751,[187]LTM!$J$840,[187]LTM!$J$1266,[187]LTM!$J$1454:$J$1461,[187]LTM!$J$1463:$J$1465,[187]LTM!$J$1468</definedName>
    <definedName name="hn.MultByFXRatesBot4" localSheetId="12" hidden="1">[187]LTM!$J$676:$J$682,[187]LTM!$J$686,[187]LTM!$J$688:$J$694,[187]LTM!$J$699:$J$706,[187]LTM!$J$710:$J$714,[187]LTM!$J$717:$J$734,[187]LTM!$J$738,[187]LTM!$J$745:$J$751,[187]LTM!$J$840,[187]LTM!$J$1266,[187]LTM!$J$1454:$J$1461,[187]LTM!$J$1463:$J$1465,[187]LTM!$J$1468</definedName>
    <definedName name="hn.MultByFXRatesBot4" hidden="1">#REF!,#REF!,#REF!,#REF!,#REF!,#REF!,#REF!,#REF!,#REF!,#REF!,#REF!,#REF!,#REF!</definedName>
    <definedName name="hn.MultByFXRatesBot5" localSheetId="20" hidden="1">#REF!,#REF!,#REF!,#REF!,#REF!,#REF!,#REF!,#REF!,#REF!,#REF!,#REF!</definedName>
    <definedName name="hn.MultByFXRatesBot5" localSheetId="21" hidden="1">#REF!,#REF!,#REF!,#REF!,#REF!,#REF!,#REF!,#REF!,#REF!,#REF!,#REF!</definedName>
    <definedName name="hn.MultByFXRatesBot5" localSheetId="9" hidden="1">#REF!,#REF!,#REF!,#REF!,#REF!,#REF!,#REF!,#REF!,#REF!,#REF!,#REF!</definedName>
    <definedName name="hn.MultByFXRatesBot5" localSheetId="19" hidden="1">#REF!,#REF!,#REF!,#REF!,#REF!,#REF!,#REF!,#REF!,#REF!,#REF!,#REF!</definedName>
    <definedName name="hn.MultByFXRatesBot5" localSheetId="13" hidden="1">[187]LTM!$L$676:$L$682,[187]LTM!$L$686,[187]LTM!$L$688:$L$694,[187]LTM!$L$699:$L$706,[187]LTM!$L$710:$L$714,[187]LTM!$L$717:$L$734,[187]LTM!$L$738,[187]LTM!$L$745:$L$751,[187]LTM!$L$837:$L$838,[187]LTM!$L$1454:$L$1458,[187]LTM!$L$1468:$L$1469</definedName>
    <definedName name="hn.MultByFXRatesBot5" localSheetId="17" hidden="1">[187]LTM!$L$676:$L$682,[187]LTM!$L$686,[187]LTM!$L$688:$L$694,[187]LTM!$L$699:$L$706,[187]LTM!$L$710:$L$714,[187]LTM!$L$717:$L$734,[187]LTM!$L$738,[187]LTM!$L$745:$L$751,[187]LTM!$L$837:$L$838,[187]LTM!$L$1454:$L$1458,[187]LTM!$L$1468:$L$1469</definedName>
    <definedName name="hn.MultByFXRatesBot5" localSheetId="18" hidden="1">[187]LTM!$L$676:$L$682,[187]LTM!$L$686,[187]LTM!$L$688:$L$694,[187]LTM!$L$699:$L$706,[187]LTM!$L$710:$L$714,[187]LTM!$L$717:$L$734,[187]LTM!$L$738,[187]LTM!$L$745:$L$751,[187]LTM!$L$837:$L$838,[187]LTM!$L$1454:$L$1458,[187]LTM!$L$1468:$L$1469</definedName>
    <definedName name="hn.MultByFXRatesBot5" localSheetId="12" hidden="1">[187]LTM!$L$676:$L$682,[187]LTM!$L$686,[187]LTM!$L$688:$L$694,[187]LTM!$L$699:$L$706,[187]LTM!$L$710:$L$714,[187]LTM!$L$717:$L$734,[187]LTM!$L$738,[187]LTM!$L$745:$L$751,[187]LTM!$L$837:$L$838,[187]LTM!$L$1454:$L$1458,[187]LTM!$L$1468:$L$1469</definedName>
    <definedName name="hn.MultByFXRatesBot5" hidden="1">#REF!,#REF!,#REF!,#REF!,#REF!,#REF!,#REF!,#REF!,#REF!,#REF!,#REF!</definedName>
    <definedName name="hn.MultByFXRatesBot6" localSheetId="20" hidden="1">#REF!,#REF!,#REF!,#REF!,#REF!,#REF!,#REF!,#REF!,#REF!,#REF!,#REF!</definedName>
    <definedName name="hn.MultByFXRatesBot6" localSheetId="21" hidden="1">#REF!,#REF!,#REF!,#REF!,#REF!,#REF!,#REF!,#REF!,#REF!,#REF!,#REF!</definedName>
    <definedName name="hn.MultByFXRatesBot6" localSheetId="9" hidden="1">#REF!,#REF!,#REF!,#REF!,#REF!,#REF!,#REF!,#REF!,#REF!,#REF!,#REF!</definedName>
    <definedName name="hn.MultByFXRatesBot6" localSheetId="19" hidden="1">#REF!,#REF!,#REF!,#REF!,#REF!,#REF!,#REF!,#REF!,#REF!,#REF!,#REF!</definedName>
    <definedName name="hn.MultByFXRatesBot6" localSheetId="13" hidden="1">[187]LTM!$M$676:$M$682,[187]LTM!$M$686,[187]LTM!$M$688:$M$694,[187]LTM!$M$699:$M$706,[187]LTM!$M$710:$M$714,[187]LTM!$M$717:$M$734,[187]LTM!$M$738,[187]LTM!$M$745:$M$751,[187]LTM!$M$837:$M$838,[187]LTM!$M$1454:$M$1458,[187]LTM!$M$1468:$M$1469</definedName>
    <definedName name="hn.MultByFXRatesBot6" localSheetId="17" hidden="1">[187]LTM!$M$676:$M$682,[187]LTM!$M$686,[187]LTM!$M$688:$M$694,[187]LTM!$M$699:$M$706,[187]LTM!$M$710:$M$714,[187]LTM!$M$717:$M$734,[187]LTM!$M$738,[187]LTM!$M$745:$M$751,[187]LTM!$M$837:$M$838,[187]LTM!$M$1454:$M$1458,[187]LTM!$M$1468:$M$1469</definedName>
    <definedName name="hn.MultByFXRatesBot6" localSheetId="18" hidden="1">[187]LTM!$M$676:$M$682,[187]LTM!$M$686,[187]LTM!$M$688:$M$694,[187]LTM!$M$699:$M$706,[187]LTM!$M$710:$M$714,[187]LTM!$M$717:$M$734,[187]LTM!$M$738,[187]LTM!$M$745:$M$751,[187]LTM!$M$837:$M$838,[187]LTM!$M$1454:$M$1458,[187]LTM!$M$1468:$M$1469</definedName>
    <definedName name="hn.MultByFXRatesBot6" localSheetId="12" hidden="1">[187]LTM!$M$676:$M$682,[187]LTM!$M$686,[187]LTM!$M$688:$M$694,[187]LTM!$M$699:$M$706,[187]LTM!$M$710:$M$714,[187]LTM!$M$717:$M$734,[187]LTM!$M$738,[187]LTM!$M$745:$M$751,[187]LTM!$M$837:$M$838,[187]LTM!$M$1454:$M$1458,[187]LTM!$M$1468:$M$1469</definedName>
    <definedName name="hn.MultByFXRatesBot6" hidden="1">#REF!,#REF!,#REF!,#REF!,#REF!,#REF!,#REF!,#REF!,#REF!,#REF!,#REF!</definedName>
    <definedName name="hn.MultByFXRatesBot7" localSheetId="20" hidden="1">#REF!,#REF!,#REF!,#REF!,#REF!,#REF!,#REF!,#REF!,#REF!,#REF!,#REF!</definedName>
    <definedName name="hn.MultByFXRatesBot7" localSheetId="21" hidden="1">#REF!,#REF!,#REF!,#REF!,#REF!,#REF!,#REF!,#REF!,#REF!,#REF!,#REF!</definedName>
    <definedName name="hn.MultByFXRatesBot7" localSheetId="9" hidden="1">#REF!,#REF!,#REF!,#REF!,#REF!,#REF!,#REF!,#REF!,#REF!,#REF!,#REF!</definedName>
    <definedName name="hn.MultByFXRatesBot7" localSheetId="19" hidden="1">#REF!,#REF!,#REF!,#REF!,#REF!,#REF!,#REF!,#REF!,#REF!,#REF!,#REF!</definedName>
    <definedName name="hn.MultByFXRatesBot7" localSheetId="13" hidden="1">[187]LTM!$N$676:$N$682,[187]LTM!$N$686,[187]LTM!$N$688:$N$694,[187]LTM!$N$699:$N$706,[187]LTM!$N$710:$N$714,[187]LTM!$N$717:$N$734,[187]LTM!$N$738,[187]LTM!$N$745:$N$751,[187]LTM!$N$837:$N$838,[187]LTM!$N$1454:$N$1458,[187]LTM!$N$1468:$N$1469</definedName>
    <definedName name="hn.MultByFXRatesBot7" localSheetId="17" hidden="1">[187]LTM!$N$676:$N$682,[187]LTM!$N$686,[187]LTM!$N$688:$N$694,[187]LTM!$N$699:$N$706,[187]LTM!$N$710:$N$714,[187]LTM!$N$717:$N$734,[187]LTM!$N$738,[187]LTM!$N$745:$N$751,[187]LTM!$N$837:$N$838,[187]LTM!$N$1454:$N$1458,[187]LTM!$N$1468:$N$1469</definedName>
    <definedName name="hn.MultByFXRatesBot7" localSheetId="18" hidden="1">[187]LTM!$N$676:$N$682,[187]LTM!$N$686,[187]LTM!$N$688:$N$694,[187]LTM!$N$699:$N$706,[187]LTM!$N$710:$N$714,[187]LTM!$N$717:$N$734,[187]LTM!$N$738,[187]LTM!$N$745:$N$751,[187]LTM!$N$837:$N$838,[187]LTM!$N$1454:$N$1458,[187]LTM!$N$1468:$N$1469</definedName>
    <definedName name="hn.MultByFXRatesBot7" localSheetId="12" hidden="1">[187]LTM!$N$676:$N$682,[187]LTM!$N$686,[187]LTM!$N$688:$N$694,[187]LTM!$N$699:$N$706,[187]LTM!$N$710:$N$714,[187]LTM!$N$717:$N$734,[187]LTM!$N$738,[187]LTM!$N$745:$N$751,[187]LTM!$N$837:$N$838,[187]LTM!$N$1454:$N$1458,[187]LTM!$N$1468:$N$1469</definedName>
    <definedName name="hn.MultByFXRatesBot7" hidden="1">#REF!,#REF!,#REF!,#REF!,#REF!,#REF!,#REF!,#REF!,#REF!,#REF!,#REF!</definedName>
    <definedName name="hn.MultByFXRatesTop1" localSheetId="20" hidden="1">#REF!,#REF!,#REF!,#REF!,#REF!,#REF!,#REF!,#REF!,#REF!,#REF!,#REF!,#REF!</definedName>
    <definedName name="hn.MultByFXRatesTop1" localSheetId="21" hidden="1">#REF!,#REF!,#REF!,#REF!,#REF!,#REF!,#REF!,#REF!,#REF!,#REF!,#REF!,#REF!</definedName>
    <definedName name="hn.MultByFXRatesTop1" localSheetId="9" hidden="1">#REF!,#REF!,#REF!,#REF!,#REF!,#REF!,#REF!,#REF!,#REF!,#REF!,#REF!,#REF!</definedName>
    <definedName name="hn.MultByFXRatesTop1" localSheetId="19" hidden="1">#REF!,#REF!,#REF!,#REF!,#REF!,#REF!,#REF!,#REF!,#REF!,#REF!,#REF!,#REF!</definedName>
    <definedName name="hn.MultByFXRatesTop1" localSheetId="13" hidden="1">[187]LTM!$G$461,[187]LTM!$G$463:$G$464,[187]LTM!$G$468:$G$469,[187]LTM!$G$473:$G$475,[187]LTM!$G$480,[187]LTM!$G$484:$G$485,[187]LTM!$G$490:$G$509,[187]LTM!$G$512,[187]LTM!$G$514:$G$518,[187]LTM!$G$525:$G$526,[187]LTM!$G$532:$G$537,[187]LTM!$G$560</definedName>
    <definedName name="hn.MultByFXRatesTop1" localSheetId="17" hidden="1">[187]LTM!$G$461,[187]LTM!$G$463:$G$464,[187]LTM!$G$468:$G$469,[187]LTM!$G$473:$G$475,[187]LTM!$G$480,[187]LTM!$G$484:$G$485,[187]LTM!$G$490:$G$509,[187]LTM!$G$512,[187]LTM!$G$514:$G$518,[187]LTM!$G$525:$G$526,[187]LTM!$G$532:$G$537,[187]LTM!$G$560</definedName>
    <definedName name="hn.MultByFXRatesTop1" localSheetId="18" hidden="1">[187]LTM!$G$461,[187]LTM!$G$463:$G$464,[187]LTM!$G$468:$G$469,[187]LTM!$G$473:$G$475,[187]LTM!$G$480,[187]LTM!$G$484:$G$485,[187]LTM!$G$490:$G$509,[187]LTM!$G$512,[187]LTM!$G$514:$G$518,[187]LTM!$G$525:$G$526,[187]LTM!$G$532:$G$537,[187]LTM!$G$560</definedName>
    <definedName name="hn.MultByFXRatesTop1" localSheetId="12" hidden="1">[187]LTM!$G$461,[187]LTM!$G$463:$G$464,[187]LTM!$G$468:$G$469,[187]LTM!$G$473:$G$475,[187]LTM!$G$480,[187]LTM!$G$484:$G$485,[187]LTM!$G$490:$G$509,[187]LTM!$G$512,[187]LTM!$G$514:$G$518,[187]LTM!$G$525:$G$526,[187]LTM!$G$532:$G$537,[187]LTM!$G$560</definedName>
    <definedName name="hn.MultByFXRatesTop1" hidden="1">#REF!,#REF!,#REF!,#REF!,#REF!,#REF!,#REF!,#REF!,#REF!,#REF!,#REF!,#REF!</definedName>
    <definedName name="hn.MultByFXRatesTop2" localSheetId="20" hidden="1">#REF!,#REF!,#REF!,#REF!,#REF!,#REF!,#REF!,#REF!,#REF!,#REF!,#REF!,#REF!,#REF!,#REF!,#REF!</definedName>
    <definedName name="hn.MultByFXRatesTop2" localSheetId="21" hidden="1">#REF!,#REF!,#REF!,#REF!,#REF!,#REF!,#REF!,#REF!,#REF!,#REF!,#REF!,#REF!,#REF!,#REF!,#REF!</definedName>
    <definedName name="hn.MultByFXRatesTop2" localSheetId="9" hidden="1">#REF!,#REF!,#REF!,#REF!,#REF!,#REF!,#REF!,#REF!,#REF!,#REF!,#REF!,#REF!,#REF!,#REF!,#REF!</definedName>
    <definedName name="hn.MultByFXRatesTop2" localSheetId="19" hidden="1">#REF!,#REF!,#REF!,#REF!,#REF!,#REF!,#REF!,#REF!,#REF!,#REF!,#REF!,#REF!,#REF!,#REF!,#REF!</definedName>
    <definedName name="hn.MultByFXRatesTop2" localSheetId="13" hidden="1">[187]LTM!$H$461,[187]LTM!$H$463:$H$464,[187]LTM!$H$468:$H$469,[187]LTM!$H$473:$H$475,[187]LTM!$H$480,[187]LTM!$H$484:$H$485,[187]LTM!$H$490:$H$509,[187]LTM!$H$512,[187]LTM!$H$514:$H$518,[187]LTM!$H$525:$H$526,[187]LTM!$H$532:$H$537,[187]LTM!$H$560,[187]LTM!$H$590:$H$591,[187]LTM!$H$614:$H$631,[187]LTM!$H$635:$H$636</definedName>
    <definedName name="hn.MultByFXRatesTop2" localSheetId="17" hidden="1">[187]LTM!$H$461,[187]LTM!$H$463:$H$464,[187]LTM!$H$468:$H$469,[187]LTM!$H$473:$H$475,[187]LTM!$H$480,[187]LTM!$H$484:$H$485,[187]LTM!$H$490:$H$509,[187]LTM!$H$512,[187]LTM!$H$514:$H$518,[187]LTM!$H$525:$H$526,[187]LTM!$H$532:$H$537,[187]LTM!$H$560,[187]LTM!$H$590:$H$591,[187]LTM!$H$614:$H$631,[187]LTM!$H$635:$H$636</definedName>
    <definedName name="hn.MultByFXRatesTop2" localSheetId="18" hidden="1">[187]LTM!$H$461,[187]LTM!$H$463:$H$464,[187]LTM!$H$468:$H$469,[187]LTM!$H$473:$H$475,[187]LTM!$H$480,[187]LTM!$H$484:$H$485,[187]LTM!$H$490:$H$509,[187]LTM!$H$512,[187]LTM!$H$514:$H$518,[187]LTM!$H$525:$H$526,[187]LTM!$H$532:$H$537,[187]LTM!$H$560,[187]LTM!$H$590:$H$591,[187]LTM!$H$614:$H$631,[187]LTM!$H$635:$H$636</definedName>
    <definedName name="hn.MultByFXRatesTop2" localSheetId="12" hidden="1">[187]LTM!$H$461,[187]LTM!$H$463:$H$464,[187]LTM!$H$468:$H$469,[187]LTM!$H$473:$H$475,[187]LTM!$H$480,[187]LTM!$H$484:$H$485,[187]LTM!$H$490:$H$509,[187]LTM!$H$512,[187]LTM!$H$514:$H$518,[187]LTM!$H$525:$H$526,[187]LTM!$H$532:$H$537,[187]LTM!$H$560,[187]LTM!$H$590:$H$591,[187]LTM!$H$614:$H$631,[187]LTM!$H$635:$H$636</definedName>
    <definedName name="hn.MultByFXRatesTop2" hidden="1">#REF!,#REF!,#REF!,#REF!,#REF!,#REF!,#REF!,#REF!,#REF!,#REF!,#REF!,#REF!,#REF!,#REF!,#REF!</definedName>
    <definedName name="hn.MultByFXRatesTop3" localSheetId="20" hidden="1">#REF!,#REF!,#REF!,#REF!,#REF!,#REF!,#REF!,#REF!,#REF!,#REF!,#REF!,#REF!,#REF!,#REF!,#REF!</definedName>
    <definedName name="hn.MultByFXRatesTop3" localSheetId="21" hidden="1">#REF!,#REF!,#REF!,#REF!,#REF!,#REF!,#REF!,#REF!,#REF!,#REF!,#REF!,#REF!,#REF!,#REF!,#REF!</definedName>
    <definedName name="hn.MultByFXRatesTop3" localSheetId="9" hidden="1">#REF!,#REF!,#REF!,#REF!,#REF!,#REF!,#REF!,#REF!,#REF!,#REF!,#REF!,#REF!,#REF!,#REF!,#REF!</definedName>
    <definedName name="hn.MultByFXRatesTop3" localSheetId="19" hidden="1">#REF!,#REF!,#REF!,#REF!,#REF!,#REF!,#REF!,#REF!,#REF!,#REF!,#REF!,#REF!,#REF!,#REF!,#REF!</definedName>
    <definedName name="hn.MultByFXRatesTop3" localSheetId="13" hidden="1">[187]LTM!$I$461,[187]LTM!$I$463:$I$464,[187]LTM!$I$468:$I$469,[187]LTM!$I$473:$I$475,[187]LTM!$I$480,[187]LTM!$I$484:$I$485,[187]LTM!$I$490:$I$509,[187]LTM!$I$512,[187]LTM!$I$514:$I$518,[187]LTM!$I$525:$I$526,[187]LTM!$I$532:$I$537,[187]LTM!$I$560,[187]LTM!$I$590:$I$591,[187]LTM!$I$614:$I$631,[187]LTM!$I$635:$I$636</definedName>
    <definedName name="hn.MultByFXRatesTop3" localSheetId="17" hidden="1">[187]LTM!$I$461,[187]LTM!$I$463:$I$464,[187]LTM!$I$468:$I$469,[187]LTM!$I$473:$I$475,[187]LTM!$I$480,[187]LTM!$I$484:$I$485,[187]LTM!$I$490:$I$509,[187]LTM!$I$512,[187]LTM!$I$514:$I$518,[187]LTM!$I$525:$I$526,[187]LTM!$I$532:$I$537,[187]LTM!$I$560,[187]LTM!$I$590:$I$591,[187]LTM!$I$614:$I$631,[187]LTM!$I$635:$I$636</definedName>
    <definedName name="hn.MultByFXRatesTop3" localSheetId="18" hidden="1">[187]LTM!$I$461,[187]LTM!$I$463:$I$464,[187]LTM!$I$468:$I$469,[187]LTM!$I$473:$I$475,[187]LTM!$I$480,[187]LTM!$I$484:$I$485,[187]LTM!$I$490:$I$509,[187]LTM!$I$512,[187]LTM!$I$514:$I$518,[187]LTM!$I$525:$I$526,[187]LTM!$I$532:$I$537,[187]LTM!$I$560,[187]LTM!$I$590:$I$591,[187]LTM!$I$614:$I$631,[187]LTM!$I$635:$I$636</definedName>
    <definedName name="hn.MultByFXRatesTop3" localSheetId="12" hidden="1">[187]LTM!$I$461,[187]LTM!$I$463:$I$464,[187]LTM!$I$468:$I$469,[187]LTM!$I$473:$I$475,[187]LTM!$I$480,[187]LTM!$I$484:$I$485,[187]LTM!$I$490:$I$509,[187]LTM!$I$512,[187]LTM!$I$514:$I$518,[187]LTM!$I$525:$I$526,[187]LTM!$I$532:$I$537,[187]LTM!$I$560,[187]LTM!$I$590:$I$591,[187]LTM!$I$614:$I$631,[187]LTM!$I$635:$I$636</definedName>
    <definedName name="hn.MultByFXRatesTop3" hidden="1">#REF!,#REF!,#REF!,#REF!,#REF!,#REF!,#REF!,#REF!,#REF!,#REF!,#REF!,#REF!,#REF!,#REF!,#REF!</definedName>
    <definedName name="hn.MultByFXRatesTop4" localSheetId="20" hidden="1">#REF!,#REF!,#REF!,#REF!,#REF!,#REF!,#REF!,#REF!,#REF!,#REF!,#REF!,#REF!,#REF!,#REF!,#REF!</definedName>
    <definedName name="hn.MultByFXRatesTop4" localSheetId="21" hidden="1">#REF!,#REF!,#REF!,#REF!,#REF!,#REF!,#REF!,#REF!,#REF!,#REF!,#REF!,#REF!,#REF!,#REF!,#REF!</definedName>
    <definedName name="hn.MultByFXRatesTop4" localSheetId="9" hidden="1">#REF!,#REF!,#REF!,#REF!,#REF!,#REF!,#REF!,#REF!,#REF!,#REF!,#REF!,#REF!,#REF!,#REF!,#REF!</definedName>
    <definedName name="hn.MultByFXRatesTop4" localSheetId="19" hidden="1">#REF!,#REF!,#REF!,#REF!,#REF!,#REF!,#REF!,#REF!,#REF!,#REF!,#REF!,#REF!,#REF!,#REF!,#REF!</definedName>
    <definedName name="hn.MultByFXRatesTop4" localSheetId="13" hidden="1">[187]LTM!$J$461,[187]LTM!$J$463:$J$464,[187]LTM!$J$468:$J$469,[187]LTM!$J$473:$J$475,[187]LTM!$J$480,[187]LTM!$J$484:$J$485,[187]LTM!$J$490:$J$509,[187]LTM!$J$512,[187]LTM!$J$514:$J$518,[187]LTM!$J$525:$J$526,[187]LTM!$J$532:$J$537,[187]LTM!$J$560,[187]LTM!$J$590:$J$591,[187]LTM!$J$614:$J$631,[187]LTM!$J$635:$J$636</definedName>
    <definedName name="hn.MultByFXRatesTop4" localSheetId="17" hidden="1">[187]LTM!$J$461,[187]LTM!$J$463:$J$464,[187]LTM!$J$468:$J$469,[187]LTM!$J$473:$J$475,[187]LTM!$J$480,[187]LTM!$J$484:$J$485,[187]LTM!$J$490:$J$509,[187]LTM!$J$512,[187]LTM!$J$514:$J$518,[187]LTM!$J$525:$J$526,[187]LTM!$J$532:$J$537,[187]LTM!$J$560,[187]LTM!$J$590:$J$591,[187]LTM!$J$614:$J$631,[187]LTM!$J$635:$J$636</definedName>
    <definedName name="hn.MultByFXRatesTop4" localSheetId="18" hidden="1">[187]LTM!$J$461,[187]LTM!$J$463:$J$464,[187]LTM!$J$468:$J$469,[187]LTM!$J$473:$J$475,[187]LTM!$J$480,[187]LTM!$J$484:$J$485,[187]LTM!$J$490:$J$509,[187]LTM!$J$512,[187]LTM!$J$514:$J$518,[187]LTM!$J$525:$J$526,[187]LTM!$J$532:$J$537,[187]LTM!$J$560,[187]LTM!$J$590:$J$591,[187]LTM!$J$614:$J$631,[187]LTM!$J$635:$J$636</definedName>
    <definedName name="hn.MultByFXRatesTop4" localSheetId="12" hidden="1">[187]LTM!$J$461,[187]LTM!$J$463:$J$464,[187]LTM!$J$468:$J$469,[187]LTM!$J$473:$J$475,[187]LTM!$J$480,[187]LTM!$J$484:$J$485,[187]LTM!$J$490:$J$509,[187]LTM!$J$512,[187]LTM!$J$514:$J$518,[187]LTM!$J$525:$J$526,[187]LTM!$J$532:$J$537,[187]LTM!$J$560,[187]LTM!$J$590:$J$591,[187]LTM!$J$614:$J$631,[187]LTM!$J$635:$J$636</definedName>
    <definedName name="hn.MultByFXRatesTop4" hidden="1">#REF!,#REF!,#REF!,#REF!,#REF!,#REF!,#REF!,#REF!,#REF!,#REF!,#REF!,#REF!,#REF!,#REF!,#REF!</definedName>
    <definedName name="hn.MultByFXRatesTop5" localSheetId="20" hidden="1">#REF!,#REF!,#REF!,#REF!,#REF!,#REF!,#REF!,#REF!,#REF!,#REF!,#REF!,#REF!</definedName>
    <definedName name="hn.MultByFXRatesTop5" localSheetId="21" hidden="1">#REF!,#REF!,#REF!,#REF!,#REF!,#REF!,#REF!,#REF!,#REF!,#REF!,#REF!,#REF!</definedName>
    <definedName name="hn.MultByFXRatesTop5" localSheetId="9" hidden="1">#REF!,#REF!,#REF!,#REF!,#REF!,#REF!,#REF!,#REF!,#REF!,#REF!,#REF!,#REF!</definedName>
    <definedName name="hn.MultByFXRatesTop5" localSheetId="19" hidden="1">#REF!,#REF!,#REF!,#REF!,#REF!,#REF!,#REF!,#REF!,#REF!,#REF!,#REF!,#REF!</definedName>
    <definedName name="hn.MultByFXRatesTop5" localSheetId="13" hidden="1">[187]LTM!$L$461,[187]LTM!$L$463:$L$464,[187]LTM!$L$468:$L$469,[187]LTM!$L$473:$L$475,[187]LTM!$L$480,[187]LTM!$L$484:$L$485,[187]LTM!$L$490:$L$509,[187]LTM!$L$512,[187]LTM!$L$514:$L$518,[187]LTM!$L$525:$L$526,[187]LTM!$L$532:$L$537,[187]LTM!$L$560</definedName>
    <definedName name="hn.MultByFXRatesTop5" localSheetId="17" hidden="1">[187]LTM!$L$461,[187]LTM!$L$463:$L$464,[187]LTM!$L$468:$L$469,[187]LTM!$L$473:$L$475,[187]LTM!$L$480,[187]LTM!$L$484:$L$485,[187]LTM!$L$490:$L$509,[187]LTM!$L$512,[187]LTM!$L$514:$L$518,[187]LTM!$L$525:$L$526,[187]LTM!$L$532:$L$537,[187]LTM!$L$560</definedName>
    <definedName name="hn.MultByFXRatesTop5" localSheetId="18" hidden="1">[187]LTM!$L$461,[187]LTM!$L$463:$L$464,[187]LTM!$L$468:$L$469,[187]LTM!$L$473:$L$475,[187]LTM!$L$480,[187]LTM!$L$484:$L$485,[187]LTM!$L$490:$L$509,[187]LTM!$L$512,[187]LTM!$L$514:$L$518,[187]LTM!$L$525:$L$526,[187]LTM!$L$532:$L$537,[187]LTM!$L$560</definedName>
    <definedName name="hn.MultByFXRatesTop5" localSheetId="12" hidden="1">[187]LTM!$L$461,[187]LTM!$L$463:$L$464,[187]LTM!$L$468:$L$469,[187]LTM!$L$473:$L$475,[187]LTM!$L$480,[187]LTM!$L$484:$L$485,[187]LTM!$L$490:$L$509,[187]LTM!$L$512,[187]LTM!$L$514:$L$518,[187]LTM!$L$525:$L$526,[187]LTM!$L$532:$L$537,[187]LTM!$L$560</definedName>
    <definedName name="hn.MultByFXRatesTop5" hidden="1">#REF!,#REF!,#REF!,#REF!,#REF!,#REF!,#REF!,#REF!,#REF!,#REF!,#REF!,#REF!</definedName>
    <definedName name="hn.MultByFXRatesTop6" localSheetId="20" hidden="1">#REF!,#REF!,#REF!,#REF!,#REF!,#REF!,#REF!,#REF!,#REF!,#REF!,#REF!,#REF!,#REF!,#REF!,#REF!</definedName>
    <definedName name="hn.MultByFXRatesTop6" localSheetId="21" hidden="1">#REF!,#REF!,#REF!,#REF!,#REF!,#REF!,#REF!,#REF!,#REF!,#REF!,#REF!,#REF!,#REF!,#REF!,#REF!</definedName>
    <definedName name="hn.MultByFXRatesTop6" localSheetId="9" hidden="1">#REF!,#REF!,#REF!,#REF!,#REF!,#REF!,#REF!,#REF!,#REF!,#REF!,#REF!,#REF!,#REF!,#REF!,#REF!</definedName>
    <definedName name="hn.MultByFXRatesTop6" localSheetId="19" hidden="1">#REF!,#REF!,#REF!,#REF!,#REF!,#REF!,#REF!,#REF!,#REF!,#REF!,#REF!,#REF!,#REF!,#REF!,#REF!</definedName>
    <definedName name="hn.MultByFXRatesTop6" localSheetId="13" hidden="1">[187]LTM!$M$461,[187]LTM!$M$463:$M$464,[187]LTM!$M$468:$M$469,[187]LTM!$M$473:$M$475,[187]LTM!$M$480,[187]LTM!$M$484:$M$485,[187]LTM!$M$490:$M$509,[187]LTM!$M$512,[187]LTM!$M$514:$M$518,[187]LTM!$M$525:$M$526,[187]LTM!$M$532:$M$537,[187]LTM!$M$560,[187]LTM!$M$590:$M$591,[187]LTM!$M$614:$M$631,[187]LTM!$M$635:$M$636</definedName>
    <definedName name="hn.MultByFXRatesTop6" localSheetId="17" hidden="1">[187]LTM!$M$461,[187]LTM!$M$463:$M$464,[187]LTM!$M$468:$M$469,[187]LTM!$M$473:$M$475,[187]LTM!$M$480,[187]LTM!$M$484:$M$485,[187]LTM!$M$490:$M$509,[187]LTM!$M$512,[187]LTM!$M$514:$M$518,[187]LTM!$M$525:$M$526,[187]LTM!$M$532:$M$537,[187]LTM!$M$560,[187]LTM!$M$590:$M$591,[187]LTM!$M$614:$M$631,[187]LTM!$M$635:$M$636</definedName>
    <definedName name="hn.MultByFXRatesTop6" localSheetId="18" hidden="1">[187]LTM!$M$461,[187]LTM!$M$463:$M$464,[187]LTM!$M$468:$M$469,[187]LTM!$M$473:$M$475,[187]LTM!$M$480,[187]LTM!$M$484:$M$485,[187]LTM!$M$490:$M$509,[187]LTM!$M$512,[187]LTM!$M$514:$M$518,[187]LTM!$M$525:$M$526,[187]LTM!$M$532:$M$537,[187]LTM!$M$560,[187]LTM!$M$590:$M$591,[187]LTM!$M$614:$M$631,[187]LTM!$M$635:$M$636</definedName>
    <definedName name="hn.MultByFXRatesTop6" localSheetId="12" hidden="1">[187]LTM!$M$461,[187]LTM!$M$463:$M$464,[187]LTM!$M$468:$M$469,[187]LTM!$M$473:$M$475,[187]LTM!$M$480,[187]LTM!$M$484:$M$485,[187]LTM!$M$490:$M$509,[187]LTM!$M$512,[187]LTM!$M$514:$M$518,[187]LTM!$M$525:$M$526,[187]LTM!$M$532:$M$537,[187]LTM!$M$560,[187]LTM!$M$590:$M$591,[187]LTM!$M$614:$M$631,[187]LTM!$M$635:$M$636</definedName>
    <definedName name="hn.MultByFXRatesTop6" hidden="1">#REF!,#REF!,#REF!,#REF!,#REF!,#REF!,#REF!,#REF!,#REF!,#REF!,#REF!,#REF!,#REF!,#REF!,#REF!</definedName>
    <definedName name="hn.MultByFXRatesTop7" localSheetId="20" hidden="1">#REF!,#REF!,#REF!,#REF!,#REF!,#REF!,#REF!,#REF!,#REF!,#REF!,#REF!,#REF!,#REF!,#REF!,#REF!</definedName>
    <definedName name="hn.MultByFXRatesTop7" localSheetId="21" hidden="1">#REF!,#REF!,#REF!,#REF!,#REF!,#REF!,#REF!,#REF!,#REF!,#REF!,#REF!,#REF!,#REF!,#REF!,#REF!</definedName>
    <definedName name="hn.MultByFXRatesTop7" localSheetId="9" hidden="1">#REF!,#REF!,#REF!,#REF!,#REF!,#REF!,#REF!,#REF!,#REF!,#REF!,#REF!,#REF!,#REF!,#REF!,#REF!</definedName>
    <definedName name="hn.MultByFXRatesTop7" localSheetId="19" hidden="1">#REF!,#REF!,#REF!,#REF!,#REF!,#REF!,#REF!,#REF!,#REF!,#REF!,#REF!,#REF!,#REF!,#REF!,#REF!</definedName>
    <definedName name="hn.MultByFXRatesTop7" localSheetId="13" hidden="1">[187]LTM!$N$461,[187]LTM!$N$463:$N$464,[187]LTM!$N$468:$N$469,[187]LTM!$N$473:$N$475,[187]LTM!$N$480,[187]LTM!$N$484:$N$485,[187]LTM!$N$490:$N$509,[187]LTM!$N$512,[187]LTM!$N$514:$N$518,[187]LTM!$N$525:$N$526,[187]LTM!$N$532:$N$537,[187]LTM!$N$560,[187]LTM!$N$590:$N$591,[187]LTM!$N$614:$N$631,[187]LTM!$N$635:$N$636</definedName>
    <definedName name="hn.MultByFXRatesTop7" localSheetId="17" hidden="1">[187]LTM!$N$461,[187]LTM!$N$463:$N$464,[187]LTM!$N$468:$N$469,[187]LTM!$N$473:$N$475,[187]LTM!$N$480,[187]LTM!$N$484:$N$485,[187]LTM!$N$490:$N$509,[187]LTM!$N$512,[187]LTM!$N$514:$N$518,[187]LTM!$N$525:$N$526,[187]LTM!$N$532:$N$537,[187]LTM!$N$560,[187]LTM!$N$590:$N$591,[187]LTM!$N$614:$N$631,[187]LTM!$N$635:$N$636</definedName>
    <definedName name="hn.MultByFXRatesTop7" localSheetId="18" hidden="1">[187]LTM!$N$461,[187]LTM!$N$463:$N$464,[187]LTM!$N$468:$N$469,[187]LTM!$N$473:$N$475,[187]LTM!$N$480,[187]LTM!$N$484:$N$485,[187]LTM!$N$490:$N$509,[187]LTM!$N$512,[187]LTM!$N$514:$N$518,[187]LTM!$N$525:$N$526,[187]LTM!$N$532:$N$537,[187]LTM!$N$560,[187]LTM!$N$590:$N$591,[187]LTM!$N$614:$N$631,[187]LTM!$N$635:$N$636</definedName>
    <definedName name="hn.MultByFXRatesTop7" localSheetId="12" hidden="1">[187]LTM!$N$461,[187]LTM!$N$463:$N$464,[187]LTM!$N$468:$N$469,[187]LTM!$N$473:$N$475,[187]LTM!$N$480,[187]LTM!$N$484:$N$485,[187]LTM!$N$490:$N$509,[187]LTM!$N$512,[187]LTM!$N$514:$N$518,[187]LTM!$N$525:$N$526,[187]LTM!$N$532:$N$537,[187]LTM!$N$560,[187]LTM!$N$590:$N$591,[187]LTM!$N$614:$N$631,[187]LTM!$N$635:$N$636</definedName>
    <definedName name="hn.MultByFXRatesTop7" hidden="1">#REF!,#REF!,#REF!,#REF!,#REF!,#REF!,#REF!,#REF!,#REF!,#REF!,#REF!,#REF!,#REF!,#REF!,#REF!</definedName>
    <definedName name="hn.NoUpload" hidden="1">0</definedName>
    <definedName name="hn.YearLabel" localSheetId="20" hidden="1">#REF!</definedName>
    <definedName name="hn.YearLabel" localSheetId="21" hidden="1">#REF!</definedName>
    <definedName name="hn.YearLabel" hidden="1">#REF!</definedName>
    <definedName name="hnt">#REF!</definedName>
    <definedName name="HOJA">#N/A</definedName>
    <definedName name="Hoja_Dis">[188]Design!$B$11:$DY$51</definedName>
    <definedName name="Hoja_Dis_All">[188]Design!$A$11:$DY$29</definedName>
    <definedName name="Hoja_Dis_Com">[123]Design!$A$11:$EA$267</definedName>
    <definedName name="Hoja_Dis_out">[188]Design!$C$11:$BX$27</definedName>
    <definedName name="Hoja_Dis_Ver">[188]Design!$B$11:$DY$51</definedName>
    <definedName name="HOJA1" localSheetId="39">#REF!</definedName>
    <definedName name="HOJA1" localSheetId="20">#REF!</definedName>
    <definedName name="HOJA1" localSheetId="21">#REF!</definedName>
    <definedName name="HOJA1" localSheetId="17">#REF!</definedName>
    <definedName name="HOJA1" localSheetId="18">#REF!</definedName>
    <definedName name="HOJA1" localSheetId="12">#REF!</definedName>
    <definedName name="HOJA1">#REF!</definedName>
    <definedName name="HOJA444">#N/A</definedName>
    <definedName name="HonoraProfesionales" localSheetId="9">'[73]INFORMACION DEL FP'!$D$25</definedName>
    <definedName name="HonoraProfesionales">#REF!</definedName>
    <definedName name="HonoraTecnicos" localSheetId="9">'[73]INFORMACION DEL FP'!$D$27</definedName>
    <definedName name="HonoraTecnicos">#REF!</definedName>
    <definedName name="HORAA">#REF!</definedName>
    <definedName name="HORAS_DIAS">#REF!</definedName>
    <definedName name="horas_lluvia">#REF!</definedName>
    <definedName name="HORAS_LLUVIAS">#REF!</definedName>
    <definedName name="HORASLLUVIA">#REF!</definedName>
    <definedName name="HoursTotCol">#REF!</definedName>
    <definedName name="HOY">#REF!</definedName>
    <definedName name="Hp">[19]CALCULO!$E$67</definedName>
    <definedName name="hqi">#REF!</definedName>
    <definedName name="hreer" localSheetId="39">{"TAB1",#N/A,TRUE,"GENERAL";"TAB2",#N/A,TRUE,"GENERAL";"TAB3",#N/A,TRUE,"GENERAL";"TAB4",#N/A,TRUE,"GENERAL";"TAB5",#N/A,TRUE,"GENERAL"}</definedName>
    <definedName name="hreer" localSheetId="20">{"TAB1",#N/A,TRUE,"GENERAL";"TAB2",#N/A,TRUE,"GENERAL";"TAB3",#N/A,TRUE,"GENERAL";"TAB4",#N/A,TRUE,"GENERAL";"TAB5",#N/A,TRUE,"GENERAL"}</definedName>
    <definedName name="hreer" localSheetId="21">{"TAB1",#N/A,TRUE,"GENERAL";"TAB2",#N/A,TRUE,"GENERAL";"TAB3",#N/A,TRUE,"GENERAL";"TAB4",#N/A,TRUE,"GENERAL";"TAB5",#N/A,TRUE,"GENERAL"}</definedName>
    <definedName name="hreer" localSheetId="9">{"TAB1",#N/A,TRUE,"GENERAL";"TAB2",#N/A,TRUE,"GENERAL";"TAB3",#N/A,TRUE,"GENERAL";"TAB4",#N/A,TRUE,"GENERAL";"TAB5",#N/A,TRUE,"GENERAL"}</definedName>
    <definedName name="hreer" localSheetId="19">{"TAB1",#N/A,TRUE,"GENERAL";"TAB2",#N/A,TRUE,"GENERAL";"TAB3",#N/A,TRUE,"GENERAL";"TAB4",#N/A,TRUE,"GENERAL";"TAB5",#N/A,TRUE,"GENERAL"}</definedName>
    <definedName name="hreer" localSheetId="28">{"TAB1",#N/A,TRUE,"GENERAL";"TAB2",#N/A,TRUE,"GENERAL";"TAB3",#N/A,TRUE,"GENERAL";"TAB4",#N/A,TRUE,"GENERAL";"TAB5",#N/A,TRUE,"GENERAL"}</definedName>
    <definedName name="hreer" localSheetId="29">{"TAB1",#N/A,TRUE,"GENERAL";"TAB2",#N/A,TRUE,"GENERAL";"TAB3",#N/A,TRUE,"GENERAL";"TAB4",#N/A,TRUE,"GENERAL";"TAB5",#N/A,TRUE,"GENERAL"}</definedName>
    <definedName name="hreer">{"TAB1",#N/A,TRUE,"GENERAL";"TAB2",#N/A,TRUE,"GENERAL";"TAB3",#N/A,TRUE,"GENERAL";"TAB4",#N/A,TRUE,"GENERAL";"TAB5",#N/A,TRUE,"GENERAL"}</definedName>
    <definedName name="hrhth" localSheetId="39">{"TAB1",#N/A,TRUE,"GENERAL";"TAB2",#N/A,TRUE,"GENERAL";"TAB3",#N/A,TRUE,"GENERAL";"TAB4",#N/A,TRUE,"GENERAL";"TAB5",#N/A,TRUE,"GENERAL"}</definedName>
    <definedName name="hrhth" localSheetId="20">{"TAB1",#N/A,TRUE,"GENERAL";"TAB2",#N/A,TRUE,"GENERAL";"TAB3",#N/A,TRUE,"GENERAL";"TAB4",#N/A,TRUE,"GENERAL";"TAB5",#N/A,TRUE,"GENERAL"}</definedName>
    <definedName name="hrhth" localSheetId="21">{"TAB1",#N/A,TRUE,"GENERAL";"TAB2",#N/A,TRUE,"GENERAL";"TAB3",#N/A,TRUE,"GENERAL";"TAB4",#N/A,TRUE,"GENERAL";"TAB5",#N/A,TRUE,"GENERAL"}</definedName>
    <definedName name="hrhth" localSheetId="9">{"TAB1",#N/A,TRUE,"GENERAL";"TAB2",#N/A,TRUE,"GENERAL";"TAB3",#N/A,TRUE,"GENERAL";"TAB4",#N/A,TRUE,"GENERAL";"TAB5",#N/A,TRUE,"GENERAL"}</definedName>
    <definedName name="hrhth" localSheetId="19">{"TAB1",#N/A,TRUE,"GENERAL";"TAB2",#N/A,TRUE,"GENERAL";"TAB3",#N/A,TRUE,"GENERAL";"TAB4",#N/A,TRUE,"GENERAL";"TAB5",#N/A,TRUE,"GENERAL"}</definedName>
    <definedName name="hrhth" localSheetId="28">{"TAB1",#N/A,TRUE,"GENERAL";"TAB2",#N/A,TRUE,"GENERAL";"TAB3",#N/A,TRUE,"GENERAL";"TAB4",#N/A,TRUE,"GENERAL";"TAB5",#N/A,TRUE,"GENERAL"}</definedName>
    <definedName name="hrhth" localSheetId="29">{"TAB1",#N/A,TRUE,"GENERAL";"TAB2",#N/A,TRUE,"GENERAL";"TAB3",#N/A,TRUE,"GENERAL";"TAB4",#N/A,TRUE,"GENERAL";"TAB5",#N/A,TRUE,"GENERAL"}</definedName>
    <definedName name="hrhth">{"TAB1",#N/A,TRUE,"GENERAL";"TAB2",#N/A,TRUE,"GENERAL";"TAB3",#N/A,TRUE,"GENERAL";"TAB4",#N/A,TRUE,"GENERAL";"TAB5",#N/A,TRUE,"GENERAL"}</definedName>
    <definedName name="HrIncrement">'[93]Equip Data'!#REF!</definedName>
    <definedName name="hrthtrh" localSheetId="39">{"TAB1",#N/A,TRUE,"GENERAL";"TAB2",#N/A,TRUE,"GENERAL";"TAB3",#N/A,TRUE,"GENERAL";"TAB4",#N/A,TRUE,"GENERAL";"TAB5",#N/A,TRUE,"GENERAL"}</definedName>
    <definedName name="hrthtrh" localSheetId="20">{"TAB1",#N/A,TRUE,"GENERAL";"TAB2",#N/A,TRUE,"GENERAL";"TAB3",#N/A,TRUE,"GENERAL";"TAB4",#N/A,TRUE,"GENERAL";"TAB5",#N/A,TRUE,"GENERAL"}</definedName>
    <definedName name="hrthtrh" localSheetId="21">{"TAB1",#N/A,TRUE,"GENERAL";"TAB2",#N/A,TRUE,"GENERAL";"TAB3",#N/A,TRUE,"GENERAL";"TAB4",#N/A,TRUE,"GENERAL";"TAB5",#N/A,TRUE,"GENERAL"}</definedName>
    <definedName name="hrthtrh" localSheetId="9">{"TAB1",#N/A,TRUE,"GENERAL";"TAB2",#N/A,TRUE,"GENERAL";"TAB3",#N/A,TRUE,"GENERAL";"TAB4",#N/A,TRUE,"GENERAL";"TAB5",#N/A,TRUE,"GENERAL"}</definedName>
    <definedName name="hrthtrh" localSheetId="19">{"TAB1",#N/A,TRUE,"GENERAL";"TAB2",#N/A,TRUE,"GENERAL";"TAB3",#N/A,TRUE,"GENERAL";"TAB4",#N/A,TRUE,"GENERAL";"TAB5",#N/A,TRUE,"GENERAL"}</definedName>
    <definedName name="hrthtrh" localSheetId="28">{"TAB1",#N/A,TRUE,"GENERAL";"TAB2",#N/A,TRUE,"GENERAL";"TAB3",#N/A,TRUE,"GENERAL";"TAB4",#N/A,TRUE,"GENERAL";"TAB5",#N/A,TRUE,"GENERAL"}</definedName>
    <definedName name="hrthtrh" localSheetId="29">{"TAB1",#N/A,TRUE,"GENERAL";"TAB2",#N/A,TRUE,"GENERAL";"TAB3",#N/A,TRUE,"GENERAL";"TAB4",#N/A,TRUE,"GENERAL";"TAB5",#N/A,TRUE,"GENERAL"}</definedName>
    <definedName name="hrthtrh">{"TAB1",#N/A,TRUE,"GENERAL";"TAB2",#N/A,TRUE,"GENERAL";"TAB3",#N/A,TRUE,"GENERAL";"TAB4",#N/A,TRUE,"GENERAL";"TAB5",#N/A,TRUE,"GENERAL"}</definedName>
    <definedName name="hsfg" localSheetId="39">{"via1",#N/A,TRUE,"general";"via2",#N/A,TRUE,"general";"via3",#N/A,TRUE,"general"}</definedName>
    <definedName name="hsfg" localSheetId="20">{"via1",#N/A,TRUE,"general";"via2",#N/A,TRUE,"general";"via3",#N/A,TRUE,"general"}</definedName>
    <definedName name="hsfg" localSheetId="21">{"via1",#N/A,TRUE,"general";"via2",#N/A,TRUE,"general";"via3",#N/A,TRUE,"general"}</definedName>
    <definedName name="hsfg" localSheetId="9">{"via1",#N/A,TRUE,"general";"via2",#N/A,TRUE,"general";"via3",#N/A,TRUE,"general"}</definedName>
    <definedName name="hsfg" localSheetId="19">{"via1",#N/A,TRUE,"general";"via2",#N/A,TRUE,"general";"via3",#N/A,TRUE,"general"}</definedName>
    <definedName name="hsfg" localSheetId="28">{"via1",#N/A,TRUE,"general";"via2",#N/A,TRUE,"general";"via3",#N/A,TRUE,"general"}</definedName>
    <definedName name="hsfg" localSheetId="29">{"via1",#N/A,TRUE,"general";"via2",#N/A,TRUE,"general";"via3",#N/A,TRUE,"general"}</definedName>
    <definedName name="hsfg">{"via1",#N/A,TRUE,"general";"via2",#N/A,TRUE,"general";"via3",#N/A,TRUE,"general"}</definedName>
    <definedName name="hsup">#REF!</definedName>
    <definedName name="ht">#REF!</definedName>
    <definedName name="htecn">#REF!</definedName>
    <definedName name="hthdrf" localSheetId="39">{"TAB1",#N/A,TRUE,"GENERAL";"TAB2",#N/A,TRUE,"GENERAL";"TAB3",#N/A,TRUE,"GENERAL";"TAB4",#N/A,TRUE,"GENERAL";"TAB5",#N/A,TRUE,"GENERAL"}</definedName>
    <definedName name="hthdrf" localSheetId="20">{"TAB1",#N/A,TRUE,"GENERAL";"TAB2",#N/A,TRUE,"GENERAL";"TAB3",#N/A,TRUE,"GENERAL";"TAB4",#N/A,TRUE,"GENERAL";"TAB5",#N/A,TRUE,"GENERAL"}</definedName>
    <definedName name="hthdrf" localSheetId="21">{"TAB1",#N/A,TRUE,"GENERAL";"TAB2",#N/A,TRUE,"GENERAL";"TAB3",#N/A,TRUE,"GENERAL";"TAB4",#N/A,TRUE,"GENERAL";"TAB5",#N/A,TRUE,"GENERAL"}</definedName>
    <definedName name="hthdrf" localSheetId="9">{"TAB1",#N/A,TRUE,"GENERAL";"TAB2",#N/A,TRUE,"GENERAL";"TAB3",#N/A,TRUE,"GENERAL";"TAB4",#N/A,TRUE,"GENERAL";"TAB5",#N/A,TRUE,"GENERAL"}</definedName>
    <definedName name="hthdrf" localSheetId="19">{"TAB1",#N/A,TRUE,"GENERAL";"TAB2",#N/A,TRUE,"GENERAL";"TAB3",#N/A,TRUE,"GENERAL";"TAB4",#N/A,TRUE,"GENERAL";"TAB5",#N/A,TRUE,"GENERAL"}</definedName>
    <definedName name="hthdrf" localSheetId="28">{"TAB1",#N/A,TRUE,"GENERAL";"TAB2",#N/A,TRUE,"GENERAL";"TAB3",#N/A,TRUE,"GENERAL";"TAB4",#N/A,TRUE,"GENERAL";"TAB5",#N/A,TRUE,"GENERAL"}</definedName>
    <definedName name="hthdrf" localSheetId="29">{"TAB1",#N/A,TRUE,"GENERAL";"TAB2",#N/A,TRUE,"GENERAL";"TAB3",#N/A,TRUE,"GENERAL";"TAB4",#N/A,TRUE,"GENERAL";"TAB5",#N/A,TRUE,"GENERAL"}</definedName>
    <definedName name="hthdrf">{"TAB1",#N/A,TRUE,"GENERAL";"TAB2",#N/A,TRUE,"GENERAL";"TAB3",#N/A,TRUE,"GENERAL";"TAB4",#N/A,TRUE,"GENERAL";"TAB5",#N/A,TRUE,"GENERAL"}</definedName>
    <definedName name="HTHTHTH">#REF!</definedName>
    <definedName name="htk">#REF!</definedName>
    <definedName name="htryrt7" localSheetId="39">{"via1",#N/A,TRUE,"general";"via2",#N/A,TRUE,"general";"via3",#N/A,TRUE,"general"}</definedName>
    <definedName name="htryrt7" localSheetId="20">{"via1",#N/A,TRUE,"general";"via2",#N/A,TRUE,"general";"via3",#N/A,TRUE,"general"}</definedName>
    <definedName name="htryrt7" localSheetId="21">{"via1",#N/A,TRUE,"general";"via2",#N/A,TRUE,"general";"via3",#N/A,TRUE,"general"}</definedName>
    <definedName name="htryrt7" localSheetId="9">{"via1",#N/A,TRUE,"general";"via2",#N/A,TRUE,"general";"via3",#N/A,TRUE,"general"}</definedName>
    <definedName name="htryrt7" localSheetId="19">{"via1",#N/A,TRUE,"general";"via2",#N/A,TRUE,"general";"via3",#N/A,TRUE,"general"}</definedName>
    <definedName name="htryrt7" localSheetId="28">{"via1",#N/A,TRUE,"general";"via2",#N/A,TRUE,"general";"via3",#N/A,TRUE,"general"}</definedName>
    <definedName name="htryrt7" localSheetId="29">{"via1",#N/A,TRUE,"general";"via2",#N/A,TRUE,"general";"via3",#N/A,TRUE,"general"}</definedName>
    <definedName name="htryrt7">{"via1",#N/A,TRUE,"general";"via2",#N/A,TRUE,"general";"via3",#N/A,TRUE,"general"}</definedName>
    <definedName name="HUGO">#N/A</definedName>
    <definedName name="hvehiculo">#REF!</definedName>
    <definedName name="HY">#REF!</definedName>
    <definedName name="hyhjop" localSheetId="39">{"TAB1",#N/A,TRUE,"GENERAL";"TAB2",#N/A,TRUE,"GENERAL";"TAB3",#N/A,TRUE,"GENERAL";"TAB4",#N/A,TRUE,"GENERAL";"TAB5",#N/A,TRUE,"GENERAL"}</definedName>
    <definedName name="hyhjop" localSheetId="20">{"TAB1",#N/A,TRUE,"GENERAL";"TAB2",#N/A,TRUE,"GENERAL";"TAB3",#N/A,TRUE,"GENERAL";"TAB4",#N/A,TRUE,"GENERAL";"TAB5",#N/A,TRUE,"GENERAL"}</definedName>
    <definedName name="hyhjop" localSheetId="21">{"TAB1",#N/A,TRUE,"GENERAL";"TAB2",#N/A,TRUE,"GENERAL";"TAB3",#N/A,TRUE,"GENERAL";"TAB4",#N/A,TRUE,"GENERAL";"TAB5",#N/A,TRUE,"GENERAL"}</definedName>
    <definedName name="hyhjop" localSheetId="9">{"TAB1",#N/A,TRUE,"GENERAL";"TAB2",#N/A,TRUE,"GENERAL";"TAB3",#N/A,TRUE,"GENERAL";"TAB4",#N/A,TRUE,"GENERAL";"TAB5",#N/A,TRUE,"GENERAL"}</definedName>
    <definedName name="hyhjop" localSheetId="19">{"TAB1",#N/A,TRUE,"GENERAL";"TAB2",#N/A,TRUE,"GENERAL";"TAB3",#N/A,TRUE,"GENERAL";"TAB4",#N/A,TRUE,"GENERAL";"TAB5",#N/A,TRUE,"GENERAL"}</definedName>
    <definedName name="hyhjop" localSheetId="28">{"TAB1",#N/A,TRUE,"GENERAL";"TAB2",#N/A,TRUE,"GENERAL";"TAB3",#N/A,TRUE,"GENERAL";"TAB4",#N/A,TRUE,"GENERAL";"TAB5",#N/A,TRUE,"GENERAL"}</definedName>
    <definedName name="hyhjop" localSheetId="29">{"TAB1",#N/A,TRUE,"GENERAL";"TAB2",#N/A,TRUE,"GENERAL";"TAB3",#N/A,TRUE,"GENERAL";"TAB4",#N/A,TRUE,"GENERAL";"TAB5",#N/A,TRUE,"GENERAL"}</definedName>
    <definedName name="hyhjop">{"TAB1",#N/A,TRUE,"GENERAL";"TAB2",#N/A,TRUE,"GENERAL";"TAB3",#N/A,TRUE,"GENERAL";"TAB4",#N/A,TRUE,"GENERAL";"TAB5",#N/A,TRUE,"GENERAL"}</definedName>
    <definedName name="hyhyh" localSheetId="39">{"TAB1",#N/A,TRUE,"GENERAL";"TAB2",#N/A,TRUE,"GENERAL";"TAB3",#N/A,TRUE,"GENERAL";"TAB4",#N/A,TRUE,"GENERAL";"TAB5",#N/A,TRUE,"GENERAL"}</definedName>
    <definedName name="hyhyh" localSheetId="20">{"TAB1",#N/A,TRUE,"GENERAL";"TAB2",#N/A,TRUE,"GENERAL";"TAB3",#N/A,TRUE,"GENERAL";"TAB4",#N/A,TRUE,"GENERAL";"TAB5",#N/A,TRUE,"GENERAL"}</definedName>
    <definedName name="hyhyh" localSheetId="21">{"TAB1",#N/A,TRUE,"GENERAL";"TAB2",#N/A,TRUE,"GENERAL";"TAB3",#N/A,TRUE,"GENERAL";"TAB4",#N/A,TRUE,"GENERAL";"TAB5",#N/A,TRUE,"GENERAL"}</definedName>
    <definedName name="hyhyh" localSheetId="9">{"TAB1",#N/A,TRUE,"GENERAL";"TAB2",#N/A,TRUE,"GENERAL";"TAB3",#N/A,TRUE,"GENERAL";"TAB4",#N/A,TRUE,"GENERAL";"TAB5",#N/A,TRUE,"GENERAL"}</definedName>
    <definedName name="hyhyh" localSheetId="19">{"TAB1",#N/A,TRUE,"GENERAL";"TAB2",#N/A,TRUE,"GENERAL";"TAB3",#N/A,TRUE,"GENERAL";"TAB4",#N/A,TRUE,"GENERAL";"TAB5",#N/A,TRUE,"GENERAL"}</definedName>
    <definedName name="hyhyh" localSheetId="28">{"TAB1",#N/A,TRUE,"GENERAL";"TAB2",#N/A,TRUE,"GENERAL";"TAB3",#N/A,TRUE,"GENERAL";"TAB4",#N/A,TRUE,"GENERAL";"TAB5",#N/A,TRUE,"GENERAL"}</definedName>
    <definedName name="hyhyh" localSheetId="29">{"TAB1",#N/A,TRUE,"GENERAL";"TAB2",#N/A,TRUE,"GENERAL";"TAB3",#N/A,TRUE,"GENERAL";"TAB4",#N/A,TRUE,"GENERAL";"TAB5",#N/A,TRUE,"GENERAL"}</definedName>
    <definedName name="hyhyh">{"TAB1",#N/A,TRUE,"GENERAL";"TAB2",#N/A,TRUE,"GENERAL";"TAB3",#N/A,TRUE,"GENERAL";"TAB4",#N/A,TRUE,"GENERAL";"TAB5",#N/A,TRUE,"GENERAL"}</definedName>
    <definedName name="HYT">#REF!</definedName>
    <definedName name="hytirs" localSheetId="39">{"via1",#N/A,TRUE,"general";"via2",#N/A,TRUE,"general";"via3",#N/A,TRUE,"general"}</definedName>
    <definedName name="hytirs" localSheetId="20">{"via1",#N/A,TRUE,"general";"via2",#N/A,TRUE,"general";"via3",#N/A,TRUE,"general"}</definedName>
    <definedName name="hytirs" localSheetId="21">{"via1",#N/A,TRUE,"general";"via2",#N/A,TRUE,"general";"via3",#N/A,TRUE,"general"}</definedName>
    <definedName name="hytirs" localSheetId="9">{"via1",#N/A,TRUE,"general";"via2",#N/A,TRUE,"general";"via3",#N/A,TRUE,"general"}</definedName>
    <definedName name="hytirs" localSheetId="19">{"via1",#N/A,TRUE,"general";"via2",#N/A,TRUE,"general";"via3",#N/A,TRUE,"general"}</definedName>
    <definedName name="hytirs" localSheetId="28">{"via1",#N/A,TRUE,"general";"via2",#N/A,TRUE,"general";"via3",#N/A,TRUE,"general"}</definedName>
    <definedName name="hytirs" localSheetId="29">{"via1",#N/A,TRUE,"general";"via2",#N/A,TRUE,"general";"via3",#N/A,TRUE,"general"}</definedName>
    <definedName name="hytirs">{"via1",#N/A,TRUE,"general";"via2",#N/A,TRUE,"general";"via3",#N/A,TRUE,"general"}</definedName>
    <definedName name="I" localSheetId="9">#REF!</definedName>
    <definedName name="I" localSheetId="17">#REF!</definedName>
    <definedName name="I" localSheetId="18">#REF!</definedName>
    <definedName name="I" localSheetId="12">#REF!</definedName>
    <definedName name="I">#REF!</definedName>
    <definedName name="i_ZONA_VERDE">#REF!</definedName>
    <definedName name="i8i" localSheetId="39">{"TAB1",#N/A,TRUE,"GENERAL";"TAB2",#N/A,TRUE,"GENERAL";"TAB3",#N/A,TRUE,"GENERAL";"TAB4",#N/A,TRUE,"GENERAL";"TAB5",#N/A,TRUE,"GENERAL"}</definedName>
    <definedName name="i8i" localSheetId="20">{"TAB1",#N/A,TRUE,"GENERAL";"TAB2",#N/A,TRUE,"GENERAL";"TAB3",#N/A,TRUE,"GENERAL";"TAB4",#N/A,TRUE,"GENERAL";"TAB5",#N/A,TRUE,"GENERAL"}</definedName>
    <definedName name="i8i" localSheetId="21">{"TAB1",#N/A,TRUE,"GENERAL";"TAB2",#N/A,TRUE,"GENERAL";"TAB3",#N/A,TRUE,"GENERAL";"TAB4",#N/A,TRUE,"GENERAL";"TAB5",#N/A,TRUE,"GENERAL"}</definedName>
    <definedName name="i8i" localSheetId="9">{"TAB1",#N/A,TRUE,"GENERAL";"TAB2",#N/A,TRUE,"GENERAL";"TAB3",#N/A,TRUE,"GENERAL";"TAB4",#N/A,TRUE,"GENERAL";"TAB5",#N/A,TRUE,"GENERAL"}</definedName>
    <definedName name="i8i" localSheetId="19">{"TAB1",#N/A,TRUE,"GENERAL";"TAB2",#N/A,TRUE,"GENERAL";"TAB3",#N/A,TRUE,"GENERAL";"TAB4",#N/A,TRUE,"GENERAL";"TAB5",#N/A,TRUE,"GENERAL"}</definedName>
    <definedName name="i8i" localSheetId="28">{"TAB1",#N/A,TRUE,"GENERAL";"TAB2",#N/A,TRUE,"GENERAL";"TAB3",#N/A,TRUE,"GENERAL";"TAB4",#N/A,TRUE,"GENERAL";"TAB5",#N/A,TRUE,"GENERAL"}</definedName>
    <definedName name="i8i" localSheetId="29">{"TAB1",#N/A,TRUE,"GENERAL";"TAB2",#N/A,TRUE,"GENERAL";"TAB3",#N/A,TRUE,"GENERAL";"TAB4",#N/A,TRUE,"GENERAL";"TAB5",#N/A,TRUE,"GENERAL"}</definedName>
    <definedName name="i8i">{"TAB1",#N/A,TRUE,"GENERAL";"TAB2",#N/A,TRUE,"GENERAL";"TAB3",#N/A,TRUE,"GENERAL";"TAB4",#N/A,TRUE,"GENERAL";"TAB5",#N/A,TRUE,"GENERAL"}</definedName>
    <definedName name="IANC" localSheetId="10">#REF!</definedName>
    <definedName name="IANC" localSheetId="20">#REF!</definedName>
    <definedName name="IANC" localSheetId="21">#REF!</definedName>
    <definedName name="IANC">#REF!</definedName>
    <definedName name="ICCP" localSheetId="39">#REF!</definedName>
    <definedName name="ICCP" localSheetId="20">#REF!</definedName>
    <definedName name="ICCP" localSheetId="21">#REF!</definedName>
    <definedName name="ICCP">#REF!</definedName>
    <definedName name="id">#REF!</definedName>
    <definedName name="IF">'[98]A. P. U.'!#REF!</definedName>
    <definedName name="ig">#REF!</definedName>
    <definedName name="ii" localSheetId="39">{"TAB1",#N/A,TRUE,"GENERAL";"TAB2",#N/A,TRUE,"GENERAL";"TAB3",#N/A,TRUE,"GENERAL";"TAB4",#N/A,TRUE,"GENERAL";"TAB5",#N/A,TRUE,"GENERAL"}</definedName>
    <definedName name="ii" localSheetId="20">{"TAB1",#N/A,TRUE,"GENERAL";"TAB2",#N/A,TRUE,"GENERAL";"TAB3",#N/A,TRUE,"GENERAL";"TAB4",#N/A,TRUE,"GENERAL";"TAB5",#N/A,TRUE,"GENERAL"}</definedName>
    <definedName name="ii" localSheetId="21">{"TAB1",#N/A,TRUE,"GENERAL";"TAB2",#N/A,TRUE,"GENERAL";"TAB3",#N/A,TRUE,"GENERAL";"TAB4",#N/A,TRUE,"GENERAL";"TAB5",#N/A,TRUE,"GENERAL"}</definedName>
    <definedName name="ii" localSheetId="9">{"TAB1",#N/A,TRUE,"GENERAL";"TAB2",#N/A,TRUE,"GENERAL";"TAB3",#N/A,TRUE,"GENERAL";"TAB4",#N/A,TRUE,"GENERAL";"TAB5",#N/A,TRUE,"GENERAL"}</definedName>
    <definedName name="ii" localSheetId="19">{"TAB1",#N/A,TRUE,"GENERAL";"TAB2",#N/A,TRUE,"GENERAL";"TAB3",#N/A,TRUE,"GENERAL";"TAB4",#N/A,TRUE,"GENERAL";"TAB5",#N/A,TRUE,"GENERAL"}</definedName>
    <definedName name="ii" localSheetId="17">#REF!</definedName>
    <definedName name="ii" localSheetId="18">#REF!</definedName>
    <definedName name="ii" localSheetId="28">{"TAB1",#N/A,TRUE,"GENERAL";"TAB2",#N/A,TRUE,"GENERAL";"TAB3",#N/A,TRUE,"GENERAL";"TAB4",#N/A,TRUE,"GENERAL";"TAB5",#N/A,TRUE,"GENERAL"}</definedName>
    <definedName name="ii" localSheetId="29">{"TAB1",#N/A,TRUE,"GENERAL";"TAB2",#N/A,TRUE,"GENERAL";"TAB3",#N/A,TRUE,"GENERAL";"TAB4",#N/A,TRUE,"GENERAL";"TAB5",#N/A,TRUE,"GENERAL"}</definedName>
    <definedName name="ii" localSheetId="12">#REF!</definedName>
    <definedName name="ii">{"TAB1",#N/A,TRUE,"GENERAL";"TAB2",#N/A,TRUE,"GENERAL";"TAB3",#N/A,TRUE,"GENERAL";"TAB4",#N/A,TRUE,"GENERAL";"TAB5",#N/A,TRUE,"GENERAL"}</definedName>
    <definedName name="iii" localSheetId="39">{"via1",#N/A,TRUE,"general";"via2",#N/A,TRUE,"general";"via3",#N/A,TRUE,"general"}</definedName>
    <definedName name="iii" localSheetId="20">{"via1",#N/A,TRUE,"general";"via2",#N/A,TRUE,"general";"via3",#N/A,TRUE,"general"}</definedName>
    <definedName name="iii" localSheetId="21">{"via1",#N/A,TRUE,"general";"via2",#N/A,TRUE,"general";"via3",#N/A,TRUE,"general"}</definedName>
    <definedName name="iii" localSheetId="9">{"via1",#N/A,TRUE,"general";"via2",#N/A,TRUE,"general";"via3",#N/A,TRUE,"general"}</definedName>
    <definedName name="iii" localSheetId="19">{"via1",#N/A,TRUE,"general";"via2",#N/A,TRUE,"general";"via3",#N/A,TRUE,"general"}</definedName>
    <definedName name="III" localSheetId="17">#REF!</definedName>
    <definedName name="III" localSheetId="18">#REF!</definedName>
    <definedName name="iii" localSheetId="28">{"via1",#N/A,TRUE,"general";"via2",#N/A,TRUE,"general";"via3",#N/A,TRUE,"general"}</definedName>
    <definedName name="iii" localSheetId="29">{"via1",#N/A,TRUE,"general";"via2",#N/A,TRUE,"general";"via3",#N/A,TRUE,"general"}</definedName>
    <definedName name="III" localSheetId="12">#REF!</definedName>
    <definedName name="iii">{"via1",#N/A,TRUE,"general";"via2",#N/A,TRUE,"general";"via3",#N/A,TRUE,"general"}</definedName>
    <definedName name="iiii" localSheetId="39">{"via1",#N/A,TRUE,"general";"via2",#N/A,TRUE,"general";"via3",#N/A,TRUE,"general"}</definedName>
    <definedName name="iiii" localSheetId="20">{"via1",#N/A,TRUE,"general";"via2",#N/A,TRUE,"general";"via3",#N/A,TRUE,"general"}</definedName>
    <definedName name="iiii" localSheetId="21">{"via1",#N/A,TRUE,"general";"via2",#N/A,TRUE,"general";"via3",#N/A,TRUE,"general"}</definedName>
    <definedName name="iiii" localSheetId="9">{"via1",#N/A,TRUE,"general";"via2",#N/A,TRUE,"general";"via3",#N/A,TRUE,"general"}</definedName>
    <definedName name="iiii" localSheetId="19">{"via1",#N/A,TRUE,"general";"via2",#N/A,TRUE,"general";"via3",#N/A,TRUE,"general"}</definedName>
    <definedName name="iiii" localSheetId="28">{"via1",#N/A,TRUE,"general";"via2",#N/A,TRUE,"general";"via3",#N/A,TRUE,"general"}</definedName>
    <definedName name="iiii" localSheetId="29">{"via1",#N/A,TRUE,"general";"via2",#N/A,TRUE,"general";"via3",#N/A,TRUE,"general"}</definedName>
    <definedName name="iiii">{"via1",#N/A,TRUE,"general";"via2",#N/A,TRUE,"general";"via3",#N/A,TRUE,"general"}</definedName>
    <definedName name="iiiiiiik" localSheetId="39">{"via1",#N/A,TRUE,"general";"via2",#N/A,TRUE,"general";"via3",#N/A,TRUE,"general"}</definedName>
    <definedName name="iiiiiiik" localSheetId="20">{"via1",#N/A,TRUE,"general";"via2",#N/A,TRUE,"general";"via3",#N/A,TRUE,"general"}</definedName>
    <definedName name="iiiiiiik" localSheetId="21">{"via1",#N/A,TRUE,"general";"via2",#N/A,TRUE,"general";"via3",#N/A,TRUE,"general"}</definedName>
    <definedName name="iiiiiiik" localSheetId="9">{"via1",#N/A,TRUE,"general";"via2",#N/A,TRUE,"general";"via3",#N/A,TRUE,"general"}</definedName>
    <definedName name="iiiiiiik" localSheetId="19">{"via1",#N/A,TRUE,"general";"via2",#N/A,TRUE,"general";"via3",#N/A,TRUE,"general"}</definedName>
    <definedName name="iiiiiiik" localSheetId="28">{"via1",#N/A,TRUE,"general";"via2",#N/A,TRUE,"general";"via3",#N/A,TRUE,"general"}</definedName>
    <definedName name="iiiiiiik" localSheetId="29">{"via1",#N/A,TRUE,"general";"via2",#N/A,TRUE,"general";"via3",#N/A,TRUE,"general"}</definedName>
    <definedName name="iiiiiiik">{"via1",#N/A,TRUE,"general";"via2",#N/A,TRUE,"general";"via3",#N/A,TRUE,"general"}</definedName>
    <definedName name="iiiiuh" localSheetId="39">{"TAB1",#N/A,TRUE,"GENERAL";"TAB2",#N/A,TRUE,"GENERAL";"TAB3",#N/A,TRUE,"GENERAL";"TAB4",#N/A,TRUE,"GENERAL";"TAB5",#N/A,TRUE,"GENERAL"}</definedName>
    <definedName name="iiiiuh" localSheetId="20">{"TAB1",#N/A,TRUE,"GENERAL";"TAB2",#N/A,TRUE,"GENERAL";"TAB3",#N/A,TRUE,"GENERAL";"TAB4",#N/A,TRUE,"GENERAL";"TAB5",#N/A,TRUE,"GENERAL"}</definedName>
    <definedName name="iiiiuh" localSheetId="21">{"TAB1",#N/A,TRUE,"GENERAL";"TAB2",#N/A,TRUE,"GENERAL";"TAB3",#N/A,TRUE,"GENERAL";"TAB4",#N/A,TRUE,"GENERAL";"TAB5",#N/A,TRUE,"GENERAL"}</definedName>
    <definedName name="iiiiuh" localSheetId="9">{"TAB1",#N/A,TRUE,"GENERAL";"TAB2",#N/A,TRUE,"GENERAL";"TAB3",#N/A,TRUE,"GENERAL";"TAB4",#N/A,TRUE,"GENERAL";"TAB5",#N/A,TRUE,"GENERAL"}</definedName>
    <definedName name="iiiiuh" localSheetId="19">{"TAB1",#N/A,TRUE,"GENERAL";"TAB2",#N/A,TRUE,"GENERAL";"TAB3",#N/A,TRUE,"GENERAL";"TAB4",#N/A,TRUE,"GENERAL";"TAB5",#N/A,TRUE,"GENERAL"}</definedName>
    <definedName name="iiiiuh" localSheetId="28">{"TAB1",#N/A,TRUE,"GENERAL";"TAB2",#N/A,TRUE,"GENERAL";"TAB3",#N/A,TRUE,"GENERAL";"TAB4",#N/A,TRUE,"GENERAL";"TAB5",#N/A,TRUE,"GENERAL"}</definedName>
    <definedName name="iiiiuh" localSheetId="29">{"TAB1",#N/A,TRUE,"GENERAL";"TAB2",#N/A,TRUE,"GENERAL";"TAB3",#N/A,TRUE,"GENERAL";"TAB4",#N/A,TRUE,"GENERAL";"TAB5",#N/A,TRUE,"GENERAL"}</definedName>
    <definedName name="iiiiuh">{"TAB1",#N/A,TRUE,"GENERAL";"TAB2",#N/A,TRUE,"GENERAL";"TAB3",#N/A,TRUE,"GENERAL";"TAB4",#N/A,TRUE,"GENERAL";"TAB5",#N/A,TRUE,"GENERAL"}</definedName>
    <definedName name="ik">#REF!</definedName>
    <definedName name="ikj">#REF!</definedName>
    <definedName name="iktgvfmu" localSheetId="39">{"TAB1",#N/A,TRUE,"GENERAL";"TAB2",#N/A,TRUE,"GENERAL";"TAB3",#N/A,TRUE,"GENERAL";"TAB4",#N/A,TRUE,"GENERAL";"TAB5",#N/A,TRUE,"GENERAL"}</definedName>
    <definedName name="iktgvfmu" localSheetId="20">{"TAB1",#N/A,TRUE,"GENERAL";"TAB2",#N/A,TRUE,"GENERAL";"TAB3",#N/A,TRUE,"GENERAL";"TAB4",#N/A,TRUE,"GENERAL";"TAB5",#N/A,TRUE,"GENERAL"}</definedName>
    <definedName name="iktgvfmu" localSheetId="21">{"TAB1",#N/A,TRUE,"GENERAL";"TAB2",#N/A,TRUE,"GENERAL";"TAB3",#N/A,TRUE,"GENERAL";"TAB4",#N/A,TRUE,"GENERAL";"TAB5",#N/A,TRUE,"GENERAL"}</definedName>
    <definedName name="iktgvfmu" localSheetId="9">{"TAB1",#N/A,TRUE,"GENERAL";"TAB2",#N/A,TRUE,"GENERAL";"TAB3",#N/A,TRUE,"GENERAL";"TAB4",#N/A,TRUE,"GENERAL";"TAB5",#N/A,TRUE,"GENERAL"}</definedName>
    <definedName name="iktgvfmu" localSheetId="19">{"TAB1",#N/A,TRUE,"GENERAL";"TAB2",#N/A,TRUE,"GENERAL";"TAB3",#N/A,TRUE,"GENERAL";"TAB4",#N/A,TRUE,"GENERAL";"TAB5",#N/A,TRUE,"GENERAL"}</definedName>
    <definedName name="iktgvfmu" localSheetId="28">{"TAB1",#N/A,TRUE,"GENERAL";"TAB2",#N/A,TRUE,"GENERAL";"TAB3",#N/A,TRUE,"GENERAL";"TAB4",#N/A,TRUE,"GENERAL";"TAB5",#N/A,TRUE,"GENERAL"}</definedName>
    <definedName name="iktgvfmu" localSheetId="29">{"TAB1",#N/A,TRUE,"GENERAL";"TAB2",#N/A,TRUE,"GENERAL";"TAB3",#N/A,TRUE,"GENERAL";"TAB4",#N/A,TRUE,"GENERAL";"TAB5",#N/A,TRUE,"GENERAL"}</definedName>
    <definedName name="iktgvfmu">{"TAB1",#N/A,TRUE,"GENERAL";"TAB2",#N/A,TRUE,"GENERAL";"TAB3",#N/A,TRUE,"GENERAL";"TAB4",#N/A,TRUE,"GENERAL";"TAB5",#N/A,TRUE,"GENERAL"}</definedName>
    <definedName name="Im_Un">#REF!</definedName>
    <definedName name="imp" localSheetId="13">'[41]Análisis AIU'!$F$72</definedName>
    <definedName name="imp" localSheetId="17">'[42]Análisis AIU'!$F$75</definedName>
    <definedName name="imp" localSheetId="18">'[42]Análisis AIU'!$F$75</definedName>
    <definedName name="imp" localSheetId="28">'[43]Análisis AIU'!$F$72</definedName>
    <definedName name="imp" localSheetId="29">'[43]Análisis AIU'!$F$72</definedName>
    <definedName name="imp" localSheetId="12">'[42]Análisis AIU'!$F$75</definedName>
    <definedName name="imp">'[44]Análisis AIU'!$F$72</definedName>
    <definedName name="impacto">'[102]Indicadores de Impacto'!$B$2:$B$1479</definedName>
    <definedName name="ImpdosporMilCostos">#REF!</definedName>
    <definedName name="Impdosxmil">#REF!</definedName>
    <definedName name="ImpPolizasConsultoria" localSheetId="9">'[73]IMPUESTOS Y VR TOTAL'!$E$39:$E$49</definedName>
    <definedName name="ImpPolizasConsultoria">#REF!</definedName>
    <definedName name="ImpPolizasObra" localSheetId="9">'[73]IMPUESTOS Y VR TOTAL'!$E$11:$E$24</definedName>
    <definedName name="ImpPolizasObra">#REF!</definedName>
    <definedName name="impresion" localSheetId="39">#REF!</definedName>
    <definedName name="impresion" localSheetId="20">#REF!</definedName>
    <definedName name="impresion" localSheetId="21">#REF!</definedName>
    <definedName name="impresion" localSheetId="9">#REF!</definedName>
    <definedName name="impresion" localSheetId="19">#REF!</definedName>
    <definedName name="impresion">#REF!</definedName>
    <definedName name="imprev">#REF!</definedName>
    <definedName name="imprevistos">[90]DATOS!$B$17</definedName>
    <definedName name="Imprevistos_mmto_año1">#REF!</definedName>
    <definedName name="Imprimante">#REF!</definedName>
    <definedName name="Imprimir_área_IM_1">#REF!</definedName>
    <definedName name="ImpuestoCostos">#REF!</definedName>
    <definedName name="Impuestos">#REF!</definedName>
    <definedName name="IMPULSIONALCANTARILLADOTABLA1.10">'[11]INFORMACIÓN REFERENCIA'!$B$441:$F$452</definedName>
    <definedName name="Incomepb" localSheetId="20" hidden="1">#REF!</definedName>
    <definedName name="Incomepb" localSheetId="21" hidden="1">#REF!</definedName>
    <definedName name="Incomepb" localSheetId="13" hidden="1">#REF!</definedName>
    <definedName name="Incomepb" localSheetId="17" hidden="1">#REF!</definedName>
    <definedName name="Incomepb" localSheetId="18" hidden="1">#REF!</definedName>
    <definedName name="Incomepb" localSheetId="12" hidden="1">#REF!</definedName>
    <definedName name="Incomepb" hidden="1">#REF!</definedName>
    <definedName name="INCONTERMS">[189]LISTAS!#REF!</definedName>
    <definedName name="INCREMENTO1">'[190]CAT-D7H'!$R$3</definedName>
    <definedName name="INCREMENTO2">'[190]CAT-D7H'!$S$3</definedName>
    <definedName name="INCREMENTO3">'[190]CAT-D7H'!$T$3</definedName>
    <definedName name="IncrementoCanon">#REF!</definedName>
    <definedName name="incrustaciones">[55]lisprecios!#REF!</definedName>
    <definedName name="IND">[191]items!$C$4:$J$247</definedName>
    <definedName name="INDEX">'[192]Presupuesto 2003'!#REF!</definedName>
    <definedName name="Index.">'[192]Presupuesto 2003'!#REF!</definedName>
    <definedName name="INDEXa">'[192]Presupuesto 2003'!#REF!</definedName>
    <definedName name="INDEXACIÓN">'[192]Presupuesto 2003'!#REF!</definedName>
    <definedName name="indicador">'[102]PR-04'!$T$1:$T$2</definedName>
    <definedName name="INDICE">[127]INDICE!$A:$IV</definedName>
    <definedName name="INDICEPRECIOSCONSUMIDOR">[11]REFERENCIAS!$A$28:$E$112</definedName>
    <definedName name="INDIREC">#REF!</definedName>
    <definedName name="INDJA1">#REF!</definedName>
    <definedName name="induccion">#REF!</definedName>
    <definedName name="inf" localSheetId="39">#REF!</definedName>
    <definedName name="inf" localSheetId="20">#REF!</definedName>
    <definedName name="inf" localSheetId="21">#REF!</definedName>
    <definedName name="inf" localSheetId="9">#REF!</definedName>
    <definedName name="inf" localSheetId="19">#REF!</definedName>
    <definedName name="inf">#REF!</definedName>
    <definedName name="INFF">#REF!</definedName>
    <definedName name="INFG">#REF!</definedName>
    <definedName name="infi">#REF!</definedName>
    <definedName name="infl" localSheetId="20">#REF!</definedName>
    <definedName name="infl" localSheetId="21">#REF!</definedName>
    <definedName name="infl">#REF!</definedName>
    <definedName name="IniCeldaDtfRapida">#REF!</definedName>
    <definedName name="INICIO" localSheetId="17">[65]dts!$B$14</definedName>
    <definedName name="INICIO" localSheetId="18">[65]dts!$B$14</definedName>
    <definedName name="INICIO" localSheetId="12">[65]dts!$B$14</definedName>
    <definedName name="Inicio">[59]BASES!$E$26</definedName>
    <definedName name="InitFleet">#REF!</definedName>
    <definedName name="InitPurch">#REF!</definedName>
    <definedName name="ins" localSheetId="39">[193]Resumen!$G$37</definedName>
    <definedName name="ins" localSheetId="16">[193]Resumen!$G$37</definedName>
    <definedName name="ins" localSheetId="13">[41]Resumen!$G$37</definedName>
    <definedName name="ins" localSheetId="17">[42]Resumen!$G$33</definedName>
    <definedName name="ins" localSheetId="18">[42]Resumen!$G$33</definedName>
    <definedName name="ins" localSheetId="28">[194]Resumen!$G$37</definedName>
    <definedName name="ins" localSheetId="29">[43]Resumen!$G$52</definedName>
    <definedName name="ins" localSheetId="12">[42]Resumen!$G$33</definedName>
    <definedName name="ins">[44]Resumen!$G$52</definedName>
    <definedName name="INSPECCION">#REF!</definedName>
    <definedName name="INSPECCION2">#REF!</definedName>
    <definedName name="INST">#REF!</definedName>
    <definedName name="Inst_Hidrosanitarias" comment="10_Hs">'[152]10_HS'!$1:$1048576</definedName>
    <definedName name="instala">#REF!</definedName>
    <definedName name="INSTALACION">#REF!</definedName>
    <definedName name="Instalación_TM_incluye15Breake">'[57]L. MAT.'!#REF!</definedName>
    <definedName name="instalaciontuberia3">#REF!</definedName>
    <definedName name="INSU">[195]INSUMOS!$A$1:$E$65536</definedName>
    <definedName name="INSUMO">VLOOKUP([101]apu!$B1,[101]Insumos!$D$1:$E$65536,2,FALSE)</definedName>
    <definedName name="INSUMOS" localSheetId="39">#REF!</definedName>
    <definedName name="INSUMOS" localSheetId="20">#REF!</definedName>
    <definedName name="INSUMOS" localSheetId="21">#REF!</definedName>
    <definedName name="INSUMOS" localSheetId="9">#REF!</definedName>
    <definedName name="INSUMOS" localSheetId="19">#REF!</definedName>
    <definedName name="Insumos" localSheetId="17">#REF!</definedName>
    <definedName name="Insumos" localSheetId="18">#REF!</definedName>
    <definedName name="Insumos" localSheetId="12">#REF!</definedName>
    <definedName name="INSUMOS">#REF!</definedName>
    <definedName name="InsuranceRate">[77]Parameters!$K$16</definedName>
    <definedName name="int" localSheetId="13">'[41]Presupesto Interventoría'!$F$43</definedName>
    <definedName name="int" localSheetId="17">'[42]Presupuesto Interventoría'!$F$44</definedName>
    <definedName name="int" localSheetId="18">'[42]Presupuesto Interventoría'!$F$44</definedName>
    <definedName name="int" localSheetId="28">'[43]Presupuesto Interventoría'!$F$44</definedName>
    <definedName name="int" localSheetId="29">'[43]Presupuesto Interventoría'!$F$44</definedName>
    <definedName name="int" localSheetId="12">'Presupuesto Interventoría'!$F$50</definedName>
    <definedName name="int">'[44]Presupuesto Interventoría'!$F$44</definedName>
    <definedName name="intCosteoMmto">#REF!</definedName>
    <definedName name="intDiasPagoFactura">#REF!</definedName>
    <definedName name="intensidad">[37]Listado!$AE$2:$AE$4</definedName>
    <definedName name="Interest_Rate">#REF!</definedName>
    <definedName name="InterestRate">[77]Parameters!$K$15</definedName>
    <definedName name="Interruptor">#REF!</definedName>
    <definedName name="Interruptor_sencillo">'[40]LISTADO '!$F$81</definedName>
    <definedName name="Interventor">[115]Datos!$B$5</definedName>
    <definedName name="INTFIN" localSheetId="10">#REF!</definedName>
    <definedName name="INTFIN" localSheetId="20">#REF!</definedName>
    <definedName name="INTFIN" localSheetId="21">#REF!</definedName>
    <definedName name="INTFIN" localSheetId="17">#REF!</definedName>
    <definedName name="INTFIN" localSheetId="18">#REF!</definedName>
    <definedName name="INTFIN" localSheetId="12">#REF!</definedName>
    <definedName name="INTFIN">#REF!</definedName>
    <definedName name="intFrecIncremInsumosAno">#REF!</definedName>
    <definedName name="intFrecInctoMmtoAno">#REF!</definedName>
    <definedName name="intMesBenTributario">#REF!</definedName>
    <definedName name="intMesCruzarIva">#REF!</definedName>
    <definedName name="intMesInicioIncremInsumosAno">#REF!</definedName>
    <definedName name="intMesRevFinCont">#REF!</definedName>
    <definedName name="intPlazoVariable1">#REF!</definedName>
    <definedName name="intPlazoVariable2">#REF!</definedName>
    <definedName name="intPlazoVariable3">#REF!</definedName>
    <definedName name="IntRendCombKmGl">#REF!</definedName>
    <definedName name="IntTipoMmto">#REF!</definedName>
    <definedName name="INV_11" localSheetId="17">'[196]PR 1'!$A$2:$N$655</definedName>
    <definedName name="INV_11" localSheetId="18">'[196]PR 1'!$A$2:$N$655</definedName>
    <definedName name="INV_11" localSheetId="12">'[196]PR 1'!$A$2:$N$655</definedName>
    <definedName name="INV_11">'[197]PR 1'!$A$2:$N$655</definedName>
    <definedName name="Io" localSheetId="39">#REF!</definedName>
    <definedName name="Io" localSheetId="20">#REF!</definedName>
    <definedName name="Io" localSheetId="21">#REF!</definedName>
    <definedName name="Io" localSheetId="9">#REF!</definedName>
    <definedName name="Io" localSheetId="19">#REF!</definedName>
    <definedName name="Io" localSheetId="17">#REF!</definedName>
    <definedName name="Io" localSheetId="18">#REF!</definedName>
    <definedName name="Io" localSheetId="12">#REF!</definedName>
    <definedName name="Io">#REF!</definedName>
    <definedName name="IPC" localSheetId="39">#REF!</definedName>
    <definedName name="IPC" localSheetId="20">#REF!</definedName>
    <definedName name="IPC" localSheetId="21">#REF!</definedName>
    <definedName name="IPC" localSheetId="9">#REF!</definedName>
    <definedName name="IPC" localSheetId="17">[11]REFERENCIAS!$A$27:$E$112</definedName>
    <definedName name="IPC" localSheetId="18">[11]REFERENCIAS!$A$27:$E$112</definedName>
    <definedName name="IPC" localSheetId="12">[11]REFERENCIAS!$A$27:$E$112</definedName>
    <definedName name="IPC">#REF!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PARENT" hidden="1">"c2144"</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38798.4609490741</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#REF!</definedName>
    <definedName name="IRRIGADOR" localSheetId="39">#REF!</definedName>
    <definedName name="IRRIGADOR" localSheetId="20">#REF!</definedName>
    <definedName name="IRRIGADOR" localSheetId="21">#REF!</definedName>
    <definedName name="IRRIGADOR" localSheetId="9">#REF!</definedName>
    <definedName name="IRRIGADOR" localSheetId="19">#REF!</definedName>
    <definedName name="IRRIGADOR">#REF!</definedName>
    <definedName name="IsColHidden" hidden="1">FALSE</definedName>
    <definedName name="IsLTMColHidden" hidden="1">FALSE</definedName>
    <definedName name="IsSecureRevolver" localSheetId="13" hidden="1">#REF!</definedName>
    <definedName name="IsSecureRevolver" hidden="1">#REF!</definedName>
    <definedName name="IsSecureSenior1" localSheetId="20" hidden="1">#REF!</definedName>
    <definedName name="IsSecureSenior1" localSheetId="21" hidden="1">#REF!</definedName>
    <definedName name="IsSecureSenior1" localSheetId="13" hidden="1">#REF!</definedName>
    <definedName name="IsSecureSenior1" hidden="1">#REF!</definedName>
    <definedName name="IsSecureSenior2" localSheetId="13" hidden="1">#REF!</definedName>
    <definedName name="IsSecureSenior2" hidden="1">#REF!</definedName>
    <definedName name="IsSecureSenior3" localSheetId="13" hidden="1">#REF!</definedName>
    <definedName name="IsSecureSenior3" hidden="1">#REF!</definedName>
    <definedName name="IsSecureSenior4" localSheetId="13" hidden="1">#REF!</definedName>
    <definedName name="IsSecureSenior4" hidden="1">#REF!</definedName>
    <definedName name="IsSecureSenior5" localSheetId="13" hidden="1">#REF!</definedName>
    <definedName name="IsSecureSenior5" hidden="1">#REF!</definedName>
    <definedName name="IsSecureSenior6" localSheetId="13" hidden="1">#REF!</definedName>
    <definedName name="IsSecureSenior6" hidden="1">#REF!</definedName>
    <definedName name="IsSecureSenior7" localSheetId="13" hidden="1">#REF!</definedName>
    <definedName name="IsSecureSenior7" hidden="1">#REF!</definedName>
    <definedName name="IT">#REF!</definedName>
    <definedName name="it.">#REF!</definedName>
    <definedName name="Item">#REF!</definedName>
    <definedName name="ITEM___1.0">#REF!</definedName>
    <definedName name="ITEM__EXCAVACION_EN_CONGLOMERADO_DE_2.00_A_4.00_M">#REF!</definedName>
    <definedName name="ITEM_1.1">#REF!</definedName>
    <definedName name="ITEM_1.1.1">#REF!</definedName>
    <definedName name="ITEM_1.1.2">#REF!</definedName>
    <definedName name="ITEM_1.2.1">#REF!</definedName>
    <definedName name="ITEM_1.3.1">#REF!</definedName>
    <definedName name="ITEM_1.3.2">#REF!</definedName>
    <definedName name="ITEM_1.3.3">#REF!</definedName>
    <definedName name="ITEM_1.3.4">#REF!</definedName>
    <definedName name="ITEM_1.4">#REF!</definedName>
    <definedName name="ITEM_1.4.1">#REF!</definedName>
    <definedName name="ITEM_1.4.2">#REF!</definedName>
    <definedName name="ITEM_1.4.3">#REF!</definedName>
    <definedName name="ITEM_1.4.4">#REF!</definedName>
    <definedName name="ITEM_1.5">#REF!</definedName>
    <definedName name="ITEM_1.6.1">#REF!</definedName>
    <definedName name="ITEM_1.6.2">#REF!</definedName>
    <definedName name="ITEM_1.7.1">#REF!</definedName>
    <definedName name="ITEM_1.7.2">#REF!</definedName>
    <definedName name="ITEM_1.8">#REF!</definedName>
    <definedName name="ITEM_1_FILTRO">#REF!</definedName>
    <definedName name="ITEM_2">#REF!</definedName>
    <definedName name="ITEM_2.11">#REF!</definedName>
    <definedName name="ITEM_2.7">#REF!</definedName>
    <definedName name="ITEM_3.1">#REF!</definedName>
    <definedName name="ITEM_3.11">#REF!</definedName>
    <definedName name="ITEM_3.12">#REF!</definedName>
    <definedName name="ITEM_3.13">#REF!</definedName>
    <definedName name="ITEM_3.14">#REF!</definedName>
    <definedName name="ITEM_3.15">#REF!</definedName>
    <definedName name="ITEM_3_FILTRO">#REF!</definedName>
    <definedName name="ITEM_4">#REF!</definedName>
    <definedName name="ITEM_4_FILTRO">#REF!</definedName>
    <definedName name="ITEM_5">#REF!</definedName>
    <definedName name="ITEM_5_FILTRO">#REF!</definedName>
    <definedName name="ITEM_6.2">#REF!</definedName>
    <definedName name="ITEM_6.3">#REF!</definedName>
    <definedName name="ITEM_6.4">#REF!</definedName>
    <definedName name="ITEM_6.5">#REF!</definedName>
    <definedName name="ITEM_6.6">#REF!</definedName>
    <definedName name="ITEM_6.7">#REF!</definedName>
    <definedName name="ITEM_6.8">#REF!</definedName>
    <definedName name="ITEM_6.9">#REF!</definedName>
    <definedName name="ITEM_6_FILTRO">#REF!</definedName>
    <definedName name="ITEM_7">#REF!</definedName>
    <definedName name="ITEM_8">#REF!</definedName>
    <definedName name="ITEM_9">#REF!</definedName>
    <definedName name="ITEM_COD45">#REF!</definedName>
    <definedName name="item_exccon">#REF!</definedName>
    <definedName name="ITEM_INST_2">#REF!</definedName>
    <definedName name="ITEM_INST_3">#REF!</definedName>
    <definedName name="ITEM_MEDID">#REF!</definedName>
    <definedName name="Item_number">#REF!</definedName>
    <definedName name="ITEM_REDU">#REF!</definedName>
    <definedName name="ITEM_SIFON">#REF!</definedName>
    <definedName name="ITEM_TEE_3_2">#REF!</definedName>
    <definedName name="ITEM_TEE_4X4">#REF!</definedName>
    <definedName name="ITEM_TEFLON">#REF!</definedName>
    <definedName name="ITEM_VENTO">#REF!</definedName>
    <definedName name="ITEM1">#REF!</definedName>
    <definedName name="ITEM15">#REF!</definedName>
    <definedName name="ITEM2">#REF!</definedName>
    <definedName name="ITEM2.10">[145]APU!$E$14843</definedName>
    <definedName name="ITEM2.11">[145]APU!$E$14904</definedName>
    <definedName name="ITEM2.12">[145]APU!$E$14965</definedName>
    <definedName name="ITEM3" localSheetId="17">#REF!</definedName>
    <definedName name="ITEM3" localSheetId="18">#REF!</definedName>
    <definedName name="ITEM3" localSheetId="12">#REF!</definedName>
    <definedName name="ITEM3">#REF!</definedName>
    <definedName name="ITEM3.15">[145]APU!$E$8621</definedName>
    <definedName name="ITEM3.16">[145]APU!$E$8682</definedName>
    <definedName name="ITEM3.17">[145]APU!$E$8743</definedName>
    <definedName name="ITEM3.18">[145]APU!$E$8804</definedName>
    <definedName name="ITEM3.19">[145]APU!$E$8865</definedName>
    <definedName name="ITEM3.20">[145]APU!$E$8926</definedName>
    <definedName name="ITEM3.21">[145]APU!$E$11915</definedName>
    <definedName name="ITEM3.22">[145]APU!$E$14477</definedName>
    <definedName name="ITEM3.23">[145]APU!$E$15087</definedName>
    <definedName name="ITEM4.20">[145]APU!$E$9170</definedName>
    <definedName name="ITEM4.21">[145]APU!$E$9231</definedName>
    <definedName name="ITEM4.22">[145]APU!$E$9292</definedName>
    <definedName name="ITEM4.23">[145]APU!$E$9353</definedName>
    <definedName name="ITEM4.24">[145]APU!$E$9414</definedName>
    <definedName name="ITEM4.25">[145]APU!$E$9475</definedName>
    <definedName name="ITEM4.26">[145]APU!$E$9536</definedName>
    <definedName name="ITEM4.27">[145]APU!$E$9597</definedName>
    <definedName name="ITEM4.28">[145]APU!$E$9658</definedName>
    <definedName name="ITEM4.29">[145]APU!$E$9719</definedName>
    <definedName name="ITEM4.30">[145]APU!$E$9780</definedName>
    <definedName name="ITEM4.31">[145]APU!$E$9841</definedName>
    <definedName name="ITEM4.32">[145]APU!$E$9902</definedName>
    <definedName name="ITEM4.33">[145]APU!$E$9963</definedName>
    <definedName name="ITEM4.34">[145]APU!$E$10024</definedName>
    <definedName name="ITEM4.35">[145]APU!$E$11549</definedName>
    <definedName name="ITEM4.36">[145]APU!$E$11610</definedName>
    <definedName name="ITEM4.37">[145]APU!$E$15941</definedName>
    <definedName name="ITEM4.38">[145]APU!$E$15148</definedName>
    <definedName name="ITEM4.39">[145]APU!$E$14233</definedName>
    <definedName name="ITEM4.40">[145]APU!$E$14294</definedName>
    <definedName name="ITEM4.41">[145]APU!$E$14355</definedName>
    <definedName name="ITEM4.42">[145]APU!$E$14416</definedName>
    <definedName name="ITEM4.43">[145]APU!$E$14538</definedName>
    <definedName name="ITEM4.44">[145]APU!$E$16002</definedName>
    <definedName name="ITEM4.45">[145]APU!$E$16063</definedName>
    <definedName name="ITEM4.46">[145]APU!$E$14660</definedName>
    <definedName name="ITEM5.100">[145]APU!$E$12403</definedName>
    <definedName name="ITEM5.101">[145]APU!$E$12464</definedName>
    <definedName name="ITEM5.104">[145]APU!$E$12525</definedName>
    <definedName name="ITEM5.105">[145]APU!$E$12586</definedName>
    <definedName name="ITEM5.106">[145]APU!$E$12647</definedName>
    <definedName name="ITEM5.107">[145]APU!$E$12708</definedName>
    <definedName name="ITEM5.108">[145]APU!$E$12769</definedName>
    <definedName name="ITEM5.109">[145]APU!$E$12830</definedName>
    <definedName name="ITEM5.111">[145]APU!$E$12891</definedName>
    <definedName name="ITEM5.112">[145]APU!$E$12952</definedName>
    <definedName name="ITEM5.113">[145]APU!$E$14721</definedName>
    <definedName name="ITEM5.114">[145]APU!$E$14782</definedName>
    <definedName name="ITEM5.115">[145]APU!$E$15026</definedName>
    <definedName name="ITEM5.53">[145]APU!$E$10085</definedName>
    <definedName name="ITEM5.54">[145]APU!$E$10146</definedName>
    <definedName name="ITEM5.55">[145]APU!$E$10207</definedName>
    <definedName name="ITEM5.56">[145]APU!$E$10268</definedName>
    <definedName name="ITEM5.57">[145]APU!$E$10329</definedName>
    <definedName name="ITEM5.58">[145]APU!$E$10390</definedName>
    <definedName name="ITEM5.59">[145]APU!$E$10451</definedName>
    <definedName name="ITEM5.60">[145]APU!$E$10512</definedName>
    <definedName name="ITEM5.61">[145]APU!$E$10573</definedName>
    <definedName name="ITEM5.62">[145]APU!$E$10634</definedName>
    <definedName name="ITEM5.63">[145]APU!$E$10695</definedName>
    <definedName name="ITEM5.64">[145]APU!$E$10756</definedName>
    <definedName name="ITEM5.65">[145]APU!$E$10817</definedName>
    <definedName name="ITEM5.66">[145]APU!$E$10878</definedName>
    <definedName name="ITEM5.67">[145]APU!$E$10939</definedName>
    <definedName name="ITEM5.68">[145]APU!$E$11000</definedName>
    <definedName name="ITEM5.69">[145]APU!$E$11061</definedName>
    <definedName name="ITEM5.70">[145]APU!$E$11122</definedName>
    <definedName name="ITEM5.71">[145]APU!$E$11183</definedName>
    <definedName name="ITEM5.72">[145]APU!$E$11976</definedName>
    <definedName name="ITEM5.73">[145]APU!$E$12037</definedName>
    <definedName name="ITEM5.74">[145]APU!$E$12098</definedName>
    <definedName name="ITEM5.77">[145]APU!$E$12159</definedName>
    <definedName name="ITEM5.78">[145]APU!$E$12281</definedName>
    <definedName name="ITEM5.79">[145]APU!$E$12342</definedName>
    <definedName name="ITEM5.80">[145]APU!$E$12220</definedName>
    <definedName name="ITEM5.82">[145]APU!$E$13989</definedName>
    <definedName name="ITEM5.83">[145]APU!$E$14050</definedName>
    <definedName name="ITEM5.84">[145]APU!$E$13318</definedName>
    <definedName name="ITEM5.85">[145]APU!$E$13379</definedName>
    <definedName name="ITEM5.86">[145]APU!$E$13440</definedName>
    <definedName name="ITEM5.87">[145]APU!$E$13501</definedName>
    <definedName name="ITEM5.88">[145]APU!$E$13562</definedName>
    <definedName name="ITEM5.89">[145]APU!$E$13623</definedName>
    <definedName name="ITEM5.90">[145]APU!$E$13684</definedName>
    <definedName name="ITEM5.91">[145]APU!$E$13745</definedName>
    <definedName name="ITEM5.92">[145]APU!$E$13806</definedName>
    <definedName name="ITEM5.93">[145]APU!$E$13867</definedName>
    <definedName name="ITEM5.94">[145]APU!$E$13928</definedName>
    <definedName name="ITEM5.95">[145]APU!$E$13013</definedName>
    <definedName name="ITEM5.96">[145]APU!$E$13074</definedName>
    <definedName name="ITEM5.97">[145]APU!$E$13135</definedName>
    <definedName name="ITEM5.98">[145]APU!$E$13196</definedName>
    <definedName name="ITEM5.99">[145]APU!$E$13257</definedName>
    <definedName name="ITEM521">[142]ITEMS!$A$522</definedName>
    <definedName name="ITEM6.1">#REF!</definedName>
    <definedName name="ITEM7.1">[145]APU!$E$7589</definedName>
    <definedName name="ITEM7.10">[145]APU!$E$8138</definedName>
    <definedName name="ITEM7.11">[145]APU!$E$8199</definedName>
    <definedName name="ITEM7.12">[145]APU!$E$8259</definedName>
    <definedName name="ITEM7.13">[145]APU!$E$8320</definedName>
    <definedName name="ITEM7.14">[145]APU!$E$8381</definedName>
    <definedName name="ITEM7.15">[145]APU!$E$8442</definedName>
    <definedName name="ITEM7.16">[145]APU!$E$8560</definedName>
    <definedName name="ITEM7.17">[145]APU!$E$11244</definedName>
    <definedName name="ITEM7.18">[145]APU!$E$11305</definedName>
    <definedName name="ITEM7.19">[145]APU!$E$11366</definedName>
    <definedName name="ITEM7.2">[145]APU!$E$7650</definedName>
    <definedName name="ITEM7.20">[145]APU!$E$11427</definedName>
    <definedName name="ITEM7.21">[145]APU!$E$11488</definedName>
    <definedName name="ITEM7.22">[145]APU!$E$11671</definedName>
    <definedName name="ITEM7.23">[145]APU!$E$11732</definedName>
    <definedName name="ITEM7.24">[145]APU!$E$14599</definedName>
    <definedName name="ITEM7.25">[145]APU!$E$15209</definedName>
    <definedName name="ITEM7.26">[145]APU!$E$15270</definedName>
    <definedName name="ITEM7.27">[145]APU!$E$15331</definedName>
    <definedName name="ITEM7.28">[145]APU!$E$15392</definedName>
    <definedName name="ITEM7.29">[145]APU!$E$15453</definedName>
    <definedName name="ITEM7.3">[145]APU!$E$7711</definedName>
    <definedName name="ITEM7.30">[145]APU!$E$15514</definedName>
    <definedName name="ITEM7.31">[145]APU!$E$15575</definedName>
    <definedName name="ITEM7.32">[145]APU!$E$15636</definedName>
    <definedName name="ITEM7.33">[145]APU!$E$15697</definedName>
    <definedName name="ITEM7.34">[145]APU!$E$15758</definedName>
    <definedName name="ITEM7.35">[145]APU!$E$15819</definedName>
    <definedName name="ITEM7.4">[145]APU!$E$7772</definedName>
    <definedName name="ITEM7.5">[145]APU!$E$7833</definedName>
    <definedName name="ITEM7.6">[145]APU!$E$7894</definedName>
    <definedName name="ITEM7.7">[145]APU!$E$7955</definedName>
    <definedName name="ITEM7.8">[145]APU!$E$8016</definedName>
    <definedName name="ITEM7.9">[145]APU!$E$8077</definedName>
    <definedName name="ITEMCOD90">#REF!</definedName>
    <definedName name="ItemCodos">#REF!</definedName>
    <definedName name="items">[90]ITEMS!$B$6:$B$176</definedName>
    <definedName name="ITEN_2_FILTRO">#REF!</definedName>
    <definedName name="ITENM_DOMIC">#REF!</definedName>
    <definedName name="IU">#REF!</definedName>
    <definedName name="IUI" localSheetId="39">{"TAB1",#N/A,TRUE,"GENERAL";"TAB2",#N/A,TRUE,"GENERAL";"TAB3",#N/A,TRUE,"GENERAL";"TAB4",#N/A,TRUE,"GENERAL";"TAB5",#N/A,TRUE,"GENERAL"}</definedName>
    <definedName name="IUI" localSheetId="20">{"TAB1",#N/A,TRUE,"GENERAL";"TAB2",#N/A,TRUE,"GENERAL";"TAB3",#N/A,TRUE,"GENERAL";"TAB4",#N/A,TRUE,"GENERAL";"TAB5",#N/A,TRUE,"GENERAL"}</definedName>
    <definedName name="IUI" localSheetId="21">{"TAB1",#N/A,TRUE,"GENERAL";"TAB2",#N/A,TRUE,"GENERAL";"TAB3",#N/A,TRUE,"GENERAL";"TAB4",#N/A,TRUE,"GENERAL";"TAB5",#N/A,TRUE,"GENERAL"}</definedName>
    <definedName name="IUI" localSheetId="9">{"TAB1",#N/A,TRUE,"GENERAL";"TAB2",#N/A,TRUE,"GENERAL";"TAB3",#N/A,TRUE,"GENERAL";"TAB4",#N/A,TRUE,"GENERAL";"TAB5",#N/A,TRUE,"GENERAL"}</definedName>
    <definedName name="IUI" localSheetId="19">{"TAB1",#N/A,TRUE,"GENERAL";"TAB2",#N/A,TRUE,"GENERAL";"TAB3",#N/A,TRUE,"GENERAL";"TAB4",#N/A,TRUE,"GENERAL";"TAB5",#N/A,TRUE,"GENERAL"}</definedName>
    <definedName name="IUI" localSheetId="28">{"TAB1",#N/A,TRUE,"GENERAL";"TAB2",#N/A,TRUE,"GENERAL";"TAB3",#N/A,TRUE,"GENERAL";"TAB4",#N/A,TRUE,"GENERAL";"TAB5",#N/A,TRUE,"GENERAL"}</definedName>
    <definedName name="IUI" localSheetId="29">{"TAB1",#N/A,TRUE,"GENERAL";"TAB2",#N/A,TRUE,"GENERAL";"TAB3",#N/A,TRUE,"GENERAL";"TAB4",#N/A,TRUE,"GENERAL";"TAB5",#N/A,TRUE,"GENERAL"}</definedName>
    <definedName name="IUI">{"TAB1",#N/A,TRUE,"GENERAL";"TAB2",#N/A,TRUE,"GENERAL";"TAB3",#N/A,TRUE,"GENERAL";"TAB4",#N/A,TRUE,"GENERAL";"TAB5",#N/A,TRUE,"GENERAL"}</definedName>
    <definedName name="iuit7" localSheetId="39">{"TAB1",#N/A,TRUE,"GENERAL";"TAB2",#N/A,TRUE,"GENERAL";"TAB3",#N/A,TRUE,"GENERAL";"TAB4",#N/A,TRUE,"GENERAL";"TAB5",#N/A,TRUE,"GENERAL"}</definedName>
    <definedName name="iuit7" localSheetId="20">{"TAB1",#N/A,TRUE,"GENERAL";"TAB2",#N/A,TRUE,"GENERAL";"TAB3",#N/A,TRUE,"GENERAL";"TAB4",#N/A,TRUE,"GENERAL";"TAB5",#N/A,TRUE,"GENERAL"}</definedName>
    <definedName name="iuit7" localSheetId="21">{"TAB1",#N/A,TRUE,"GENERAL";"TAB2",#N/A,TRUE,"GENERAL";"TAB3",#N/A,TRUE,"GENERAL";"TAB4",#N/A,TRUE,"GENERAL";"TAB5",#N/A,TRUE,"GENERAL"}</definedName>
    <definedName name="iuit7" localSheetId="9">{"TAB1",#N/A,TRUE,"GENERAL";"TAB2",#N/A,TRUE,"GENERAL";"TAB3",#N/A,TRUE,"GENERAL";"TAB4",#N/A,TRUE,"GENERAL";"TAB5",#N/A,TRUE,"GENERAL"}</definedName>
    <definedName name="iuit7" localSheetId="19">{"TAB1",#N/A,TRUE,"GENERAL";"TAB2",#N/A,TRUE,"GENERAL";"TAB3",#N/A,TRUE,"GENERAL";"TAB4",#N/A,TRUE,"GENERAL";"TAB5",#N/A,TRUE,"GENERAL"}</definedName>
    <definedName name="iuit7" localSheetId="28">{"TAB1",#N/A,TRUE,"GENERAL";"TAB2",#N/A,TRUE,"GENERAL";"TAB3",#N/A,TRUE,"GENERAL";"TAB4",#N/A,TRUE,"GENERAL";"TAB5",#N/A,TRUE,"GENERAL"}</definedName>
    <definedName name="iuit7" localSheetId="29">{"TAB1",#N/A,TRUE,"GENERAL";"TAB2",#N/A,TRUE,"GENERAL";"TAB3",#N/A,TRUE,"GENERAL";"TAB4",#N/A,TRUE,"GENERAL";"TAB5",#N/A,TRUE,"GENERAL"}</definedName>
    <definedName name="iuit7">{"TAB1",#N/A,TRUE,"GENERAL";"TAB2",#N/A,TRUE,"GENERAL";"TAB3",#N/A,TRUE,"GENERAL";"TAB4",#N/A,TRUE,"GENERAL";"TAB5",#N/A,TRUE,"GENERAL"}</definedName>
    <definedName name="iul" localSheetId="39">{"via1",#N/A,TRUE,"general";"via2",#N/A,TRUE,"general";"via3",#N/A,TRUE,"general"}</definedName>
    <definedName name="iul" localSheetId="20">{"via1",#N/A,TRUE,"general";"via2",#N/A,TRUE,"general";"via3",#N/A,TRUE,"general"}</definedName>
    <definedName name="iul" localSheetId="21">{"via1",#N/A,TRUE,"general";"via2",#N/A,TRUE,"general";"via3",#N/A,TRUE,"general"}</definedName>
    <definedName name="iul" localSheetId="9">{"via1",#N/A,TRUE,"general";"via2",#N/A,TRUE,"general";"via3",#N/A,TRUE,"general"}</definedName>
    <definedName name="iul" localSheetId="19">{"via1",#N/A,TRUE,"general";"via2",#N/A,TRUE,"general";"via3",#N/A,TRUE,"general"}</definedName>
    <definedName name="iul" localSheetId="28">{"via1",#N/A,TRUE,"general";"via2",#N/A,TRUE,"general";"via3",#N/A,TRUE,"general"}</definedName>
    <definedName name="iul" localSheetId="29">{"via1",#N/A,TRUE,"general";"via2",#N/A,TRUE,"general";"via3",#N/A,TRUE,"general"}</definedName>
    <definedName name="iul">{"via1",#N/A,TRUE,"general";"via2",#N/A,TRUE,"general";"via3",#N/A,TRUE,"general"}</definedName>
    <definedName name="IUOP">#REF!</definedName>
    <definedName name="iuouio" localSheetId="39">{"via1",#N/A,TRUE,"general";"via2",#N/A,TRUE,"general";"via3",#N/A,TRUE,"general"}</definedName>
    <definedName name="iuouio" localSheetId="20">{"via1",#N/A,TRUE,"general";"via2",#N/A,TRUE,"general";"via3",#N/A,TRUE,"general"}</definedName>
    <definedName name="iuouio" localSheetId="21">{"via1",#N/A,TRUE,"general";"via2",#N/A,TRUE,"general";"via3",#N/A,TRUE,"general"}</definedName>
    <definedName name="iuouio" localSheetId="9">{"via1",#N/A,TRUE,"general";"via2",#N/A,TRUE,"general";"via3",#N/A,TRUE,"general"}</definedName>
    <definedName name="iuouio" localSheetId="19">{"via1",#N/A,TRUE,"general";"via2",#N/A,TRUE,"general";"via3",#N/A,TRUE,"general"}</definedName>
    <definedName name="iuouio" localSheetId="28">{"via1",#N/A,TRUE,"general";"via2",#N/A,TRUE,"general";"via3",#N/A,TRUE,"general"}</definedName>
    <definedName name="iuouio" localSheetId="29">{"via1",#N/A,TRUE,"general";"via2",#N/A,TRUE,"general";"via3",#N/A,TRUE,"general"}</definedName>
    <definedName name="iuouio">{"via1",#N/A,TRUE,"general";"via2",#N/A,TRUE,"general";"via3",#N/A,TRUE,"general"}</definedName>
    <definedName name="iuyi9" localSheetId="39">{"TAB1",#N/A,TRUE,"GENERAL";"TAB2",#N/A,TRUE,"GENERAL";"TAB3",#N/A,TRUE,"GENERAL";"TAB4",#N/A,TRUE,"GENERAL";"TAB5",#N/A,TRUE,"GENERAL"}</definedName>
    <definedName name="iuyi9" localSheetId="20">{"TAB1",#N/A,TRUE,"GENERAL";"TAB2",#N/A,TRUE,"GENERAL";"TAB3",#N/A,TRUE,"GENERAL";"TAB4",#N/A,TRUE,"GENERAL";"TAB5",#N/A,TRUE,"GENERAL"}</definedName>
    <definedName name="iuyi9" localSheetId="21">{"TAB1",#N/A,TRUE,"GENERAL";"TAB2",#N/A,TRUE,"GENERAL";"TAB3",#N/A,TRUE,"GENERAL";"TAB4",#N/A,TRUE,"GENERAL";"TAB5",#N/A,TRUE,"GENERAL"}</definedName>
    <definedName name="iuyi9" localSheetId="9">{"TAB1",#N/A,TRUE,"GENERAL";"TAB2",#N/A,TRUE,"GENERAL";"TAB3",#N/A,TRUE,"GENERAL";"TAB4",#N/A,TRUE,"GENERAL";"TAB5",#N/A,TRUE,"GENERAL"}</definedName>
    <definedName name="iuyi9" localSheetId="19">{"TAB1",#N/A,TRUE,"GENERAL";"TAB2",#N/A,TRUE,"GENERAL";"TAB3",#N/A,TRUE,"GENERAL";"TAB4",#N/A,TRUE,"GENERAL";"TAB5",#N/A,TRUE,"GENERAL"}</definedName>
    <definedName name="iuyi9" localSheetId="28">{"TAB1",#N/A,TRUE,"GENERAL";"TAB2",#N/A,TRUE,"GENERAL";"TAB3",#N/A,TRUE,"GENERAL";"TAB4",#N/A,TRUE,"GENERAL";"TAB5",#N/A,TRUE,"GENERAL"}</definedName>
    <definedName name="iuyi9" localSheetId="29">{"TAB1",#N/A,TRUE,"GENERAL";"TAB2",#N/A,TRUE,"GENERAL";"TAB3",#N/A,TRUE,"GENERAL";"TAB4",#N/A,TRUE,"GENERAL";"TAB5",#N/A,TRUE,"GENERAL"}</definedName>
    <definedName name="iuyi9">{"TAB1",#N/A,TRUE,"GENERAL";"TAB2",#N/A,TRUE,"GENERAL";"TAB3",#N/A,TRUE,"GENERAL";"TAB4",#N/A,TRUE,"GENERAL";"TAB5",#N/A,TRUE,"GENERAL"}</definedName>
    <definedName name="IVA" localSheetId="9">#REF!</definedName>
    <definedName name="IVA" localSheetId="17">#REF!</definedName>
    <definedName name="IVA" localSheetId="18">#REF!</definedName>
    <definedName name="IVA" localSheetId="12">#REF!</definedName>
    <definedName name="IVA">#REF!</definedName>
    <definedName name="IVA_UTIL">[53]DATOS!$D$11</definedName>
    <definedName name="IVAConsultoria" localSheetId="9">'[73]IMPUESTOS Y VR TOTAL'!$E$41</definedName>
    <definedName name="IVAConsultoria">#REF!</definedName>
    <definedName name="IVAP">[185]Presupuesto!$I$50</definedName>
    <definedName name="IVASobreUtilidad" localSheetId="9">'[73]IMPUESTOS Y VR TOTAL'!$E$15</definedName>
    <definedName name="IVASobreUtilidad">#REF!</definedName>
    <definedName name="iyuiuyi" localSheetId="39">{"via1",#N/A,TRUE,"general";"via2",#N/A,TRUE,"general";"via3",#N/A,TRUE,"general"}</definedName>
    <definedName name="iyuiuyi" localSheetId="20">{"via1",#N/A,TRUE,"general";"via2",#N/A,TRUE,"general";"via3",#N/A,TRUE,"general"}</definedName>
    <definedName name="iyuiuyi" localSheetId="21">{"via1",#N/A,TRUE,"general";"via2",#N/A,TRUE,"general";"via3",#N/A,TRUE,"general"}</definedName>
    <definedName name="iyuiuyi" localSheetId="9">{"via1",#N/A,TRUE,"general";"via2",#N/A,TRUE,"general";"via3",#N/A,TRUE,"general"}</definedName>
    <definedName name="iyuiuyi" localSheetId="19">{"via1",#N/A,TRUE,"general";"via2",#N/A,TRUE,"general";"via3",#N/A,TRUE,"general"}</definedName>
    <definedName name="iyuiuyi" localSheetId="28">{"via1",#N/A,TRUE,"general";"via2",#N/A,TRUE,"general";"via3",#N/A,TRUE,"general"}</definedName>
    <definedName name="iyuiuyi" localSheetId="29">{"via1",#N/A,TRUE,"general";"via2",#N/A,TRUE,"general";"via3",#N/A,TRUE,"general"}</definedName>
    <definedName name="iyuiuyi">{"via1",#N/A,TRUE,"general";"via2",#N/A,TRUE,"general";"via3",#N/A,TRUE,"general"}</definedName>
    <definedName name="IZQ">[139]DIST!$G$7:$H$2413</definedName>
    <definedName name="IZQ_AUX">LEFT([101]Auxiliares!$B1,2)</definedName>
    <definedName name="J" localSheetId="39">#REF!</definedName>
    <definedName name="J" localSheetId="20">#REF!</definedName>
    <definedName name="J" localSheetId="21">#REF!</definedName>
    <definedName name="J" localSheetId="9">#REF!</definedName>
    <definedName name="J" localSheetId="19">#REF!</definedName>
    <definedName name="j" localSheetId="17">#REF!</definedName>
    <definedName name="j" localSheetId="18">#REF!</definedName>
    <definedName name="j" localSheetId="12">#REF!</definedName>
    <definedName name="J">#REF!</definedName>
    <definedName name="Ja">#REF!</definedName>
    <definedName name="JACK_RYAN">#REF!</definedName>
    <definedName name="jan02a">#REF!</definedName>
    <definedName name="JAPF">#REF!</definedName>
    <definedName name="JB" localSheetId="39">#REF!</definedName>
    <definedName name="JB" localSheetId="20">#REF!</definedName>
    <definedName name="JB" localSheetId="21">#REF!</definedName>
    <definedName name="JB">#REF!</definedName>
    <definedName name="Jc">#REF!</definedName>
    <definedName name="jd" localSheetId="39">{"via1",#N/A,TRUE,"general";"via2",#N/A,TRUE,"general";"via3",#N/A,TRUE,"general"}</definedName>
    <definedName name="jd" localSheetId="20">{"via1",#N/A,TRUE,"general";"via2",#N/A,TRUE,"general";"via3",#N/A,TRUE,"general"}</definedName>
    <definedName name="jd" localSheetId="21">{"via1",#N/A,TRUE,"general";"via2",#N/A,TRUE,"general";"via3",#N/A,TRUE,"general"}</definedName>
    <definedName name="jd" localSheetId="9">{"via1",#N/A,TRUE,"general";"via2",#N/A,TRUE,"general";"via3",#N/A,TRUE,"general"}</definedName>
    <definedName name="jd" localSheetId="19">{"via1",#N/A,TRUE,"general";"via2",#N/A,TRUE,"general";"via3",#N/A,TRUE,"general"}</definedName>
    <definedName name="Jd" localSheetId="17">#REF!</definedName>
    <definedName name="Jd" localSheetId="18">#REF!</definedName>
    <definedName name="jd" localSheetId="28">{"via1",#N/A,TRUE,"general";"via2",#N/A,TRUE,"general";"via3",#N/A,TRUE,"general"}</definedName>
    <definedName name="jd" localSheetId="29">{"via1",#N/A,TRUE,"general";"via2",#N/A,TRUE,"general";"via3",#N/A,TRUE,"general"}</definedName>
    <definedName name="Jd" localSheetId="12">#REF!</definedName>
    <definedName name="jd">{"via1",#N/A,TRUE,"general";"via2",#N/A,TRUE,"general";"via3",#N/A,TRUE,"general"}</definedName>
    <definedName name="jdh" localSheetId="39">{"TAB1",#N/A,TRUE,"GENERAL";"TAB2",#N/A,TRUE,"GENERAL";"TAB3",#N/A,TRUE,"GENERAL";"TAB4",#N/A,TRUE,"GENERAL";"TAB5",#N/A,TRUE,"GENERAL"}</definedName>
    <definedName name="jdh" localSheetId="20">{"TAB1",#N/A,TRUE,"GENERAL";"TAB2",#N/A,TRUE,"GENERAL";"TAB3",#N/A,TRUE,"GENERAL";"TAB4",#N/A,TRUE,"GENERAL";"TAB5",#N/A,TRUE,"GENERAL"}</definedName>
    <definedName name="jdh" localSheetId="21">{"TAB1",#N/A,TRUE,"GENERAL";"TAB2",#N/A,TRUE,"GENERAL";"TAB3",#N/A,TRUE,"GENERAL";"TAB4",#N/A,TRUE,"GENERAL";"TAB5",#N/A,TRUE,"GENERAL"}</definedName>
    <definedName name="jdh" localSheetId="9">{"TAB1",#N/A,TRUE,"GENERAL";"TAB2",#N/A,TRUE,"GENERAL";"TAB3",#N/A,TRUE,"GENERAL";"TAB4",#N/A,TRUE,"GENERAL";"TAB5",#N/A,TRUE,"GENERAL"}</definedName>
    <definedName name="jdh" localSheetId="19">{"TAB1",#N/A,TRUE,"GENERAL";"TAB2",#N/A,TRUE,"GENERAL";"TAB3",#N/A,TRUE,"GENERAL";"TAB4",#N/A,TRUE,"GENERAL";"TAB5",#N/A,TRUE,"GENERAL"}</definedName>
    <definedName name="jdh" localSheetId="28">{"TAB1",#N/A,TRUE,"GENERAL";"TAB2",#N/A,TRUE,"GENERAL";"TAB3",#N/A,TRUE,"GENERAL";"TAB4",#N/A,TRUE,"GENERAL";"TAB5",#N/A,TRUE,"GENERAL"}</definedName>
    <definedName name="jdh" localSheetId="29">{"TAB1",#N/A,TRUE,"GENERAL";"TAB2",#N/A,TRUE,"GENERAL";"TAB3",#N/A,TRUE,"GENERAL";"TAB4",#N/A,TRUE,"GENERAL";"TAB5",#N/A,TRUE,"GENERAL"}</definedName>
    <definedName name="jdh">{"TAB1",#N/A,TRUE,"GENERAL";"TAB2",#N/A,TRUE,"GENERAL";"TAB3",#N/A,TRUE,"GENERAL";"TAB4",#N/A,TRUE,"GENERAL";"TAB5",#N/A,TRUE,"GENERAL"}</definedName>
    <definedName name="Je">#REF!</definedName>
    <definedName name="jeytj" localSheetId="39">{"TAB1",#N/A,TRUE,"GENERAL";"TAB2",#N/A,TRUE,"GENERAL";"TAB3",#N/A,TRUE,"GENERAL";"TAB4",#N/A,TRUE,"GENERAL";"TAB5",#N/A,TRUE,"GENERAL"}</definedName>
    <definedName name="jeytj" localSheetId="20">{"TAB1",#N/A,TRUE,"GENERAL";"TAB2",#N/A,TRUE,"GENERAL";"TAB3",#N/A,TRUE,"GENERAL";"TAB4",#N/A,TRUE,"GENERAL";"TAB5",#N/A,TRUE,"GENERAL"}</definedName>
    <definedName name="jeytj" localSheetId="21">{"TAB1",#N/A,TRUE,"GENERAL";"TAB2",#N/A,TRUE,"GENERAL";"TAB3",#N/A,TRUE,"GENERAL";"TAB4",#N/A,TRUE,"GENERAL";"TAB5",#N/A,TRUE,"GENERAL"}</definedName>
    <definedName name="jeytj" localSheetId="9">{"TAB1",#N/A,TRUE,"GENERAL";"TAB2",#N/A,TRUE,"GENERAL";"TAB3",#N/A,TRUE,"GENERAL";"TAB4",#N/A,TRUE,"GENERAL";"TAB5",#N/A,TRUE,"GENERAL"}</definedName>
    <definedName name="jeytj" localSheetId="19">{"TAB1",#N/A,TRUE,"GENERAL";"TAB2",#N/A,TRUE,"GENERAL";"TAB3",#N/A,TRUE,"GENERAL";"TAB4",#N/A,TRUE,"GENERAL";"TAB5",#N/A,TRUE,"GENERAL"}</definedName>
    <definedName name="jeytj" localSheetId="28">{"TAB1",#N/A,TRUE,"GENERAL";"TAB2",#N/A,TRUE,"GENERAL";"TAB3",#N/A,TRUE,"GENERAL";"TAB4",#N/A,TRUE,"GENERAL";"TAB5",#N/A,TRUE,"GENERAL"}</definedName>
    <definedName name="jeytj" localSheetId="29">{"TAB1",#N/A,TRUE,"GENERAL";"TAB2",#N/A,TRUE,"GENERAL";"TAB3",#N/A,TRUE,"GENERAL";"TAB4",#N/A,TRUE,"GENERAL";"TAB5",#N/A,TRUE,"GENERAL"}</definedName>
    <definedName name="jeytj">{"TAB1",#N/A,TRUE,"GENERAL";"TAB2",#N/A,TRUE,"GENERAL";"TAB3",#N/A,TRUE,"GENERAL";"TAB4",#N/A,TRUE,"GENERAL";"TAB5",#N/A,TRUE,"GENERAL"}</definedName>
    <definedName name="Jf">#REF!</definedName>
    <definedName name="jfhjfrt" localSheetId="39">{"TAB1",#N/A,TRUE,"GENERAL";"TAB2",#N/A,TRUE,"GENERAL";"TAB3",#N/A,TRUE,"GENERAL";"TAB4",#N/A,TRUE,"GENERAL";"TAB5",#N/A,TRUE,"GENERAL"}</definedName>
    <definedName name="jfhjfrt" localSheetId="20">{"TAB1",#N/A,TRUE,"GENERAL";"TAB2",#N/A,TRUE,"GENERAL";"TAB3",#N/A,TRUE,"GENERAL";"TAB4",#N/A,TRUE,"GENERAL";"TAB5",#N/A,TRUE,"GENERAL"}</definedName>
    <definedName name="jfhjfrt" localSheetId="21">{"TAB1",#N/A,TRUE,"GENERAL";"TAB2",#N/A,TRUE,"GENERAL";"TAB3",#N/A,TRUE,"GENERAL";"TAB4",#N/A,TRUE,"GENERAL";"TAB5",#N/A,TRUE,"GENERAL"}</definedName>
    <definedName name="jfhjfrt" localSheetId="9">{"TAB1",#N/A,TRUE,"GENERAL";"TAB2",#N/A,TRUE,"GENERAL";"TAB3",#N/A,TRUE,"GENERAL";"TAB4",#N/A,TRUE,"GENERAL";"TAB5",#N/A,TRUE,"GENERAL"}</definedName>
    <definedName name="jfhjfrt" localSheetId="19">{"TAB1",#N/A,TRUE,"GENERAL";"TAB2",#N/A,TRUE,"GENERAL";"TAB3",#N/A,TRUE,"GENERAL";"TAB4",#N/A,TRUE,"GENERAL";"TAB5",#N/A,TRUE,"GENERAL"}</definedName>
    <definedName name="jfhjfrt" localSheetId="28">{"TAB1",#N/A,TRUE,"GENERAL";"TAB2",#N/A,TRUE,"GENERAL";"TAB3",#N/A,TRUE,"GENERAL";"TAB4",#N/A,TRUE,"GENERAL";"TAB5",#N/A,TRUE,"GENERAL"}</definedName>
    <definedName name="jfhjfrt" localSheetId="29">{"TAB1",#N/A,TRUE,"GENERAL";"TAB2",#N/A,TRUE,"GENERAL";"TAB3",#N/A,TRUE,"GENERAL";"TAB4",#N/A,TRUE,"GENERAL";"TAB5",#N/A,TRUE,"GENERAL"}</definedName>
    <definedName name="jfhjfrt">{"TAB1",#N/A,TRUE,"GENERAL";"TAB2",#N/A,TRUE,"GENERAL";"TAB3",#N/A,TRUE,"GENERAL";"TAB4",#N/A,TRUE,"GENERAL";"TAB5",#N/A,TRUE,"GENERAL"}</definedName>
    <definedName name="jgfj" localSheetId="39">{"via1",#N/A,TRUE,"general";"via2",#N/A,TRUE,"general";"via3",#N/A,TRUE,"general"}</definedName>
    <definedName name="jgfj" localSheetId="20">{"via1",#N/A,TRUE,"general";"via2",#N/A,TRUE,"general";"via3",#N/A,TRUE,"general"}</definedName>
    <definedName name="jgfj" localSheetId="21">{"via1",#N/A,TRUE,"general";"via2",#N/A,TRUE,"general";"via3",#N/A,TRUE,"general"}</definedName>
    <definedName name="jgfj" localSheetId="9">{"via1",#N/A,TRUE,"general";"via2",#N/A,TRUE,"general";"via3",#N/A,TRUE,"general"}</definedName>
    <definedName name="jgfj" localSheetId="19">{"via1",#N/A,TRUE,"general";"via2",#N/A,TRUE,"general";"via3",#N/A,TRUE,"general"}</definedName>
    <definedName name="jgfj" localSheetId="28">{"via1",#N/A,TRUE,"general";"via2",#N/A,TRUE,"general";"via3",#N/A,TRUE,"general"}</definedName>
    <definedName name="jgfj" localSheetId="29">{"via1",#N/A,TRUE,"general";"via2",#N/A,TRUE,"general";"via3",#N/A,TRUE,"general"}</definedName>
    <definedName name="jgfj">{"via1",#N/A,TRUE,"general";"via2",#N/A,TRUE,"general";"via3",#N/A,TRUE,"general"}</definedName>
    <definedName name="JGHD">#REF!</definedName>
    <definedName name="jghj" localSheetId="39">{"TAB1",#N/A,TRUE,"GENERAL";"TAB2",#N/A,TRUE,"GENERAL";"TAB3",#N/A,TRUE,"GENERAL";"TAB4",#N/A,TRUE,"GENERAL";"TAB5",#N/A,TRUE,"GENERAL"}</definedName>
    <definedName name="jghj" localSheetId="20">{"TAB1",#N/A,TRUE,"GENERAL";"TAB2",#N/A,TRUE,"GENERAL";"TAB3",#N/A,TRUE,"GENERAL";"TAB4",#N/A,TRUE,"GENERAL";"TAB5",#N/A,TRUE,"GENERAL"}</definedName>
    <definedName name="jghj" localSheetId="21">{"TAB1",#N/A,TRUE,"GENERAL";"TAB2",#N/A,TRUE,"GENERAL";"TAB3",#N/A,TRUE,"GENERAL";"TAB4",#N/A,TRUE,"GENERAL";"TAB5",#N/A,TRUE,"GENERAL"}</definedName>
    <definedName name="jghj" localSheetId="9">{"TAB1",#N/A,TRUE,"GENERAL";"TAB2",#N/A,TRUE,"GENERAL";"TAB3",#N/A,TRUE,"GENERAL";"TAB4",#N/A,TRUE,"GENERAL";"TAB5",#N/A,TRUE,"GENERAL"}</definedName>
    <definedName name="jghj" localSheetId="19">{"TAB1",#N/A,TRUE,"GENERAL";"TAB2",#N/A,TRUE,"GENERAL";"TAB3",#N/A,TRUE,"GENERAL";"TAB4",#N/A,TRUE,"GENERAL";"TAB5",#N/A,TRUE,"GENERAL"}</definedName>
    <definedName name="jghj" localSheetId="28">{"TAB1",#N/A,TRUE,"GENERAL";"TAB2",#N/A,TRUE,"GENERAL";"TAB3",#N/A,TRUE,"GENERAL";"TAB4",#N/A,TRUE,"GENERAL";"TAB5",#N/A,TRUE,"GENERAL"}</definedName>
    <definedName name="jghj" localSheetId="29">{"TAB1",#N/A,TRUE,"GENERAL";"TAB2",#N/A,TRUE,"GENERAL";"TAB3",#N/A,TRUE,"GENERAL";"TAB4",#N/A,TRUE,"GENERAL";"TAB5",#N/A,TRUE,"GENERAL"}</definedName>
    <definedName name="jghj">{"TAB1",#N/A,TRUE,"GENERAL";"TAB2",#N/A,TRUE,"GENERAL";"TAB3",#N/A,TRUE,"GENERAL";"TAB4",#N/A,TRUE,"GENERAL";"TAB5",#N/A,TRUE,"GENERAL"}</definedName>
    <definedName name="jgj" localSheetId="39">{"TAB1",#N/A,TRUE,"GENERAL";"TAB2",#N/A,TRUE,"GENERAL";"TAB3",#N/A,TRUE,"GENERAL";"TAB4",#N/A,TRUE,"GENERAL";"TAB5",#N/A,TRUE,"GENERAL"}</definedName>
    <definedName name="jgj" localSheetId="20">{"TAB1",#N/A,TRUE,"GENERAL";"TAB2",#N/A,TRUE,"GENERAL";"TAB3",#N/A,TRUE,"GENERAL";"TAB4",#N/A,TRUE,"GENERAL";"TAB5",#N/A,TRUE,"GENERAL"}</definedName>
    <definedName name="jgj" localSheetId="21">{"TAB1",#N/A,TRUE,"GENERAL";"TAB2",#N/A,TRUE,"GENERAL";"TAB3",#N/A,TRUE,"GENERAL";"TAB4",#N/A,TRUE,"GENERAL";"TAB5",#N/A,TRUE,"GENERAL"}</definedName>
    <definedName name="jgj" localSheetId="9">{"TAB1",#N/A,TRUE,"GENERAL";"TAB2",#N/A,TRUE,"GENERAL";"TAB3",#N/A,TRUE,"GENERAL";"TAB4",#N/A,TRUE,"GENERAL";"TAB5",#N/A,TRUE,"GENERAL"}</definedName>
    <definedName name="jgj" localSheetId="19">{"TAB1",#N/A,TRUE,"GENERAL";"TAB2",#N/A,TRUE,"GENERAL";"TAB3",#N/A,TRUE,"GENERAL";"TAB4",#N/A,TRUE,"GENERAL";"TAB5",#N/A,TRUE,"GENERAL"}</definedName>
    <definedName name="jgj" localSheetId="28">{"TAB1",#N/A,TRUE,"GENERAL";"TAB2",#N/A,TRUE,"GENERAL";"TAB3",#N/A,TRUE,"GENERAL";"TAB4",#N/A,TRUE,"GENERAL";"TAB5",#N/A,TRUE,"GENERAL"}</definedName>
    <definedName name="jgj" localSheetId="29">{"TAB1",#N/A,TRUE,"GENERAL";"TAB2",#N/A,TRUE,"GENERAL";"TAB3",#N/A,TRUE,"GENERAL";"TAB4",#N/A,TRUE,"GENERAL";"TAB5",#N/A,TRUE,"GENERAL"}</definedName>
    <definedName name="jgj">{"TAB1",#N/A,TRUE,"GENERAL";"TAB2",#N/A,TRUE,"GENERAL";"TAB3",#N/A,TRUE,"GENERAL";"TAB4",#N/A,TRUE,"GENERAL";"TAB5",#N/A,TRUE,"GENERAL"}</definedName>
    <definedName name="jh">#REF!</definedName>
    <definedName name="jhg" localSheetId="39">{"TAB1",#N/A,TRUE,"GENERAL";"TAB2",#N/A,TRUE,"GENERAL";"TAB3",#N/A,TRUE,"GENERAL";"TAB4",#N/A,TRUE,"GENERAL";"TAB5",#N/A,TRUE,"GENERAL"}</definedName>
    <definedName name="jhg" localSheetId="20">{"TAB1",#N/A,TRUE,"GENERAL";"TAB2",#N/A,TRUE,"GENERAL";"TAB3",#N/A,TRUE,"GENERAL";"TAB4",#N/A,TRUE,"GENERAL";"TAB5",#N/A,TRUE,"GENERAL"}</definedName>
    <definedName name="jhg" localSheetId="21">{"TAB1",#N/A,TRUE,"GENERAL";"TAB2",#N/A,TRUE,"GENERAL";"TAB3",#N/A,TRUE,"GENERAL";"TAB4",#N/A,TRUE,"GENERAL";"TAB5",#N/A,TRUE,"GENERAL"}</definedName>
    <definedName name="jhg" localSheetId="9">{"TAB1",#N/A,TRUE,"GENERAL";"TAB2",#N/A,TRUE,"GENERAL";"TAB3",#N/A,TRUE,"GENERAL";"TAB4",#N/A,TRUE,"GENERAL";"TAB5",#N/A,TRUE,"GENERAL"}</definedName>
    <definedName name="jhg" localSheetId="19">{"TAB1",#N/A,TRUE,"GENERAL";"TAB2",#N/A,TRUE,"GENERAL";"TAB3",#N/A,TRUE,"GENERAL";"TAB4",#N/A,TRUE,"GENERAL";"TAB5",#N/A,TRUE,"GENERAL"}</definedName>
    <definedName name="jhg" localSheetId="28">{"TAB1",#N/A,TRUE,"GENERAL";"TAB2",#N/A,TRUE,"GENERAL";"TAB3",#N/A,TRUE,"GENERAL";"TAB4",#N/A,TRUE,"GENERAL";"TAB5",#N/A,TRUE,"GENERAL"}</definedName>
    <definedName name="jhg" localSheetId="29">{"TAB1",#N/A,TRUE,"GENERAL";"TAB2",#N/A,TRUE,"GENERAL";"TAB3",#N/A,TRUE,"GENERAL";"TAB4",#N/A,TRUE,"GENERAL";"TAB5",#N/A,TRUE,"GENERAL"}</definedName>
    <definedName name="jhg">{"TAB1",#N/A,TRUE,"GENERAL";"TAB2",#N/A,TRUE,"GENERAL";"TAB3",#N/A,TRUE,"GENERAL";"TAB4",#N/A,TRUE,"GENERAL";"TAB5",#N/A,TRUE,"GENERAL"}</definedName>
    <definedName name="jhjyj" localSheetId="39">{"via1",#N/A,TRUE,"general";"via2",#N/A,TRUE,"general";"via3",#N/A,TRUE,"general"}</definedName>
    <definedName name="jhjyj" localSheetId="20">{"via1",#N/A,TRUE,"general";"via2",#N/A,TRUE,"general";"via3",#N/A,TRUE,"general"}</definedName>
    <definedName name="jhjyj" localSheetId="21">{"via1",#N/A,TRUE,"general";"via2",#N/A,TRUE,"general";"via3",#N/A,TRUE,"general"}</definedName>
    <definedName name="jhjyj" localSheetId="9">{"via1",#N/A,TRUE,"general";"via2",#N/A,TRUE,"general";"via3",#N/A,TRUE,"general"}</definedName>
    <definedName name="jhjyj" localSheetId="19">{"via1",#N/A,TRUE,"general";"via2",#N/A,TRUE,"general";"via3",#N/A,TRUE,"general"}</definedName>
    <definedName name="jhjyj" localSheetId="28">{"via1",#N/A,TRUE,"general";"via2",#N/A,TRUE,"general";"via3",#N/A,TRUE,"general"}</definedName>
    <definedName name="jhjyj" localSheetId="29">{"via1",#N/A,TRUE,"general";"via2",#N/A,TRUE,"general";"via3",#N/A,TRUE,"general"}</definedName>
    <definedName name="jhjyj">{"via1",#N/A,TRUE,"general";"via2",#N/A,TRUE,"general";"via3",#N/A,TRUE,"general"}</definedName>
    <definedName name="JHK" localSheetId="39">{"TAB1",#N/A,TRUE,"GENERAL";"TAB2",#N/A,TRUE,"GENERAL";"TAB3",#N/A,TRUE,"GENERAL";"TAB4",#N/A,TRUE,"GENERAL";"TAB5",#N/A,TRUE,"GENERAL"}</definedName>
    <definedName name="JHK" localSheetId="20">{"TAB1",#N/A,TRUE,"GENERAL";"TAB2",#N/A,TRUE,"GENERAL";"TAB3",#N/A,TRUE,"GENERAL";"TAB4",#N/A,TRUE,"GENERAL";"TAB5",#N/A,TRUE,"GENERAL"}</definedName>
    <definedName name="JHK" localSheetId="21">{"TAB1",#N/A,TRUE,"GENERAL";"TAB2",#N/A,TRUE,"GENERAL";"TAB3",#N/A,TRUE,"GENERAL";"TAB4",#N/A,TRUE,"GENERAL";"TAB5",#N/A,TRUE,"GENERAL"}</definedName>
    <definedName name="JHK" localSheetId="9">{"TAB1",#N/A,TRUE,"GENERAL";"TAB2",#N/A,TRUE,"GENERAL";"TAB3",#N/A,TRUE,"GENERAL";"TAB4",#N/A,TRUE,"GENERAL";"TAB5",#N/A,TRUE,"GENERAL"}</definedName>
    <definedName name="JHK" localSheetId="19">{"TAB1",#N/A,TRUE,"GENERAL";"TAB2",#N/A,TRUE,"GENERAL";"TAB3",#N/A,TRUE,"GENERAL";"TAB4",#N/A,TRUE,"GENERAL";"TAB5",#N/A,TRUE,"GENERAL"}</definedName>
    <definedName name="JHK" localSheetId="28">{"TAB1",#N/A,TRUE,"GENERAL";"TAB2",#N/A,TRUE,"GENERAL";"TAB3",#N/A,TRUE,"GENERAL";"TAB4",#N/A,TRUE,"GENERAL";"TAB5",#N/A,TRUE,"GENERAL"}</definedName>
    <definedName name="JHK" localSheetId="29">{"TAB1",#N/A,TRUE,"GENERAL";"TAB2",#N/A,TRUE,"GENERAL";"TAB3",#N/A,TRUE,"GENERAL";"TAB4",#N/A,TRUE,"GENERAL";"TAB5",#N/A,TRUE,"GENERAL"}</definedName>
    <definedName name="JHK">{"TAB1",#N/A,TRUE,"GENERAL";"TAB2",#N/A,TRUE,"GENERAL";"TAB3",#N/A,TRUE,"GENERAL";"TAB4",#N/A,TRUE,"GENERAL";"TAB5",#N/A,TRUE,"GENERAL"}</definedName>
    <definedName name="jhkgjkvf" localSheetId="39">{"TAB1",#N/A,TRUE,"GENERAL";"TAB2",#N/A,TRUE,"GENERAL";"TAB3",#N/A,TRUE,"GENERAL";"TAB4",#N/A,TRUE,"GENERAL";"TAB5",#N/A,TRUE,"GENERAL"}</definedName>
    <definedName name="jhkgjkvf" localSheetId="20">{"TAB1",#N/A,TRUE,"GENERAL";"TAB2",#N/A,TRUE,"GENERAL";"TAB3",#N/A,TRUE,"GENERAL";"TAB4",#N/A,TRUE,"GENERAL";"TAB5",#N/A,TRUE,"GENERAL"}</definedName>
    <definedName name="jhkgjkvf" localSheetId="21">{"TAB1",#N/A,TRUE,"GENERAL";"TAB2",#N/A,TRUE,"GENERAL";"TAB3",#N/A,TRUE,"GENERAL";"TAB4",#N/A,TRUE,"GENERAL";"TAB5",#N/A,TRUE,"GENERAL"}</definedName>
    <definedName name="jhkgjkvf" localSheetId="9">{"TAB1",#N/A,TRUE,"GENERAL";"TAB2",#N/A,TRUE,"GENERAL";"TAB3",#N/A,TRUE,"GENERAL";"TAB4",#N/A,TRUE,"GENERAL";"TAB5",#N/A,TRUE,"GENERAL"}</definedName>
    <definedName name="jhkgjkvf" localSheetId="19">{"TAB1",#N/A,TRUE,"GENERAL";"TAB2",#N/A,TRUE,"GENERAL";"TAB3",#N/A,TRUE,"GENERAL";"TAB4",#N/A,TRUE,"GENERAL";"TAB5",#N/A,TRUE,"GENERAL"}</definedName>
    <definedName name="jhkgjkvf" localSheetId="28">{"TAB1",#N/A,TRUE,"GENERAL";"TAB2",#N/A,TRUE,"GENERAL";"TAB3",#N/A,TRUE,"GENERAL";"TAB4",#N/A,TRUE,"GENERAL";"TAB5",#N/A,TRUE,"GENERAL"}</definedName>
    <definedName name="jhkgjkvf" localSheetId="29">{"TAB1",#N/A,TRUE,"GENERAL";"TAB2",#N/A,TRUE,"GENERAL";"TAB3",#N/A,TRUE,"GENERAL";"TAB4",#N/A,TRUE,"GENERAL";"TAB5",#N/A,TRUE,"GENERAL"}</definedName>
    <definedName name="jhkgjkvf">{"TAB1",#N/A,TRUE,"GENERAL";"TAB2",#N/A,TRUE,"GENERAL";"TAB3",#N/A,TRUE,"GENERAL";"TAB4",#N/A,TRUE,"GENERAL";"TAB5",#N/A,TRUE,"GENERAL"}</definedName>
    <definedName name="jj" localSheetId="39">{"via1",#N/A,TRUE,"general";"via2",#N/A,TRUE,"general";"via3",#N/A,TRUE,"general"}</definedName>
    <definedName name="jj" localSheetId="20">{"via1",#N/A,TRUE,"general";"via2",#N/A,TRUE,"general";"via3",#N/A,TRUE,"general"}</definedName>
    <definedName name="jj" localSheetId="21">{"via1",#N/A,TRUE,"general";"via2",#N/A,TRUE,"general";"via3",#N/A,TRUE,"general"}</definedName>
    <definedName name="jj" localSheetId="9">{"via1",#N/A,TRUE,"general";"via2",#N/A,TRUE,"general";"via3",#N/A,TRUE,"general"}</definedName>
    <definedName name="jj" localSheetId="19">{"via1",#N/A,TRUE,"general";"via2",#N/A,TRUE,"general";"via3",#N/A,TRUE,"general"}</definedName>
    <definedName name="jj" localSheetId="17">#REF!</definedName>
    <definedName name="jj" localSheetId="18">#REF!</definedName>
    <definedName name="jj" localSheetId="28">{"via1",#N/A,TRUE,"general";"via2",#N/A,TRUE,"general";"via3",#N/A,TRUE,"general"}</definedName>
    <definedName name="jj" localSheetId="29">{"via1",#N/A,TRUE,"general";"via2",#N/A,TRUE,"general";"via3",#N/A,TRUE,"general"}</definedName>
    <definedName name="jj" localSheetId="12">#REF!</definedName>
    <definedName name="jj">{"via1",#N/A,TRUE,"general";"via2",#N/A,TRUE,"general";"via3",#N/A,TRUE,"general"}</definedName>
    <definedName name="jjfq" localSheetId="39">{"via1",#N/A,TRUE,"general";"via2",#N/A,TRUE,"general";"via3",#N/A,TRUE,"general"}</definedName>
    <definedName name="jjfq" localSheetId="20">{"via1",#N/A,TRUE,"general";"via2",#N/A,TRUE,"general";"via3",#N/A,TRUE,"general"}</definedName>
    <definedName name="jjfq" localSheetId="21">{"via1",#N/A,TRUE,"general";"via2",#N/A,TRUE,"general";"via3",#N/A,TRUE,"general"}</definedName>
    <definedName name="jjfq" localSheetId="9">{"via1",#N/A,TRUE,"general";"via2",#N/A,TRUE,"general";"via3",#N/A,TRUE,"general"}</definedName>
    <definedName name="jjfq" localSheetId="19">{"via1",#N/A,TRUE,"general";"via2",#N/A,TRUE,"general";"via3",#N/A,TRUE,"general"}</definedName>
    <definedName name="jjfq" localSheetId="28">{"via1",#N/A,TRUE,"general";"via2",#N/A,TRUE,"general";"via3",#N/A,TRUE,"general"}</definedName>
    <definedName name="jjfq" localSheetId="29">{"via1",#N/A,TRUE,"general";"via2",#N/A,TRUE,"general";"via3",#N/A,TRUE,"general"}</definedName>
    <definedName name="jjfq">{"via1",#N/A,TRUE,"general";"via2",#N/A,TRUE,"general";"via3",#N/A,TRUE,"general"}</definedName>
    <definedName name="jjj">#REF!</definedName>
    <definedName name="jjjhjddfg" localSheetId="39">{"via1",#N/A,TRUE,"general";"via2",#N/A,TRUE,"general";"via3",#N/A,TRUE,"general"}</definedName>
    <definedName name="jjjhjddfg" localSheetId="20">{"via1",#N/A,TRUE,"general";"via2",#N/A,TRUE,"general";"via3",#N/A,TRUE,"general"}</definedName>
    <definedName name="jjjhjddfg" localSheetId="21">{"via1",#N/A,TRUE,"general";"via2",#N/A,TRUE,"general";"via3",#N/A,TRUE,"general"}</definedName>
    <definedName name="jjjhjddfg" localSheetId="9">{"via1",#N/A,TRUE,"general";"via2",#N/A,TRUE,"general";"via3",#N/A,TRUE,"general"}</definedName>
    <definedName name="jjjhjddfg" localSheetId="19">{"via1",#N/A,TRUE,"general";"via2",#N/A,TRUE,"general";"via3",#N/A,TRUE,"general"}</definedName>
    <definedName name="jjjhjddfg" localSheetId="28">{"via1",#N/A,TRUE,"general";"via2",#N/A,TRUE,"general";"via3",#N/A,TRUE,"general"}</definedName>
    <definedName name="jjjhjddfg" localSheetId="29">{"via1",#N/A,TRUE,"general";"via2",#N/A,TRUE,"general";"via3",#N/A,TRUE,"general"}</definedName>
    <definedName name="jjjhjddfg">{"via1",#N/A,TRUE,"general";"via2",#N/A,TRUE,"general";"via3",#N/A,TRUE,"general"}</definedName>
    <definedName name="jjjjjjjjjjjjjjj">#REF!</definedName>
    <definedName name="jjjjju" localSheetId="39">{"via1",#N/A,TRUE,"general";"via2",#N/A,TRUE,"general";"via3",#N/A,TRUE,"general"}</definedName>
    <definedName name="jjjjju" localSheetId="20">{"via1",#N/A,TRUE,"general";"via2",#N/A,TRUE,"general";"via3",#N/A,TRUE,"general"}</definedName>
    <definedName name="jjjjju" localSheetId="21">{"via1",#N/A,TRUE,"general";"via2",#N/A,TRUE,"general";"via3",#N/A,TRUE,"general"}</definedName>
    <definedName name="jjjjju" localSheetId="9">{"via1",#N/A,TRUE,"general";"via2",#N/A,TRUE,"general";"via3",#N/A,TRUE,"general"}</definedName>
    <definedName name="jjjjju" localSheetId="19">{"via1",#N/A,TRUE,"general";"via2",#N/A,TRUE,"general";"via3",#N/A,TRUE,"general"}</definedName>
    <definedName name="jjjjju" localSheetId="28">{"via1",#N/A,TRUE,"general";"via2",#N/A,TRUE,"general";"via3",#N/A,TRUE,"general"}</definedName>
    <definedName name="jjjjju" localSheetId="29">{"via1",#N/A,TRUE,"general";"via2",#N/A,TRUE,"general";"via3",#N/A,TRUE,"general"}</definedName>
    <definedName name="jjjjju">{"via1",#N/A,TRUE,"general";"via2",#N/A,TRUE,"general";"via3",#N/A,TRUE,"general"}</definedName>
    <definedName name="jjujujty" localSheetId="39">{"TAB1",#N/A,TRUE,"GENERAL";"TAB2",#N/A,TRUE,"GENERAL";"TAB3",#N/A,TRUE,"GENERAL";"TAB4",#N/A,TRUE,"GENERAL";"TAB5",#N/A,TRUE,"GENERAL"}</definedName>
    <definedName name="jjujujty" localSheetId="20">{"TAB1",#N/A,TRUE,"GENERAL";"TAB2",#N/A,TRUE,"GENERAL";"TAB3",#N/A,TRUE,"GENERAL";"TAB4",#N/A,TRUE,"GENERAL";"TAB5",#N/A,TRUE,"GENERAL"}</definedName>
    <definedName name="jjujujty" localSheetId="21">{"TAB1",#N/A,TRUE,"GENERAL";"TAB2",#N/A,TRUE,"GENERAL";"TAB3",#N/A,TRUE,"GENERAL";"TAB4",#N/A,TRUE,"GENERAL";"TAB5",#N/A,TRUE,"GENERAL"}</definedName>
    <definedName name="jjujujty" localSheetId="9">{"TAB1",#N/A,TRUE,"GENERAL";"TAB2",#N/A,TRUE,"GENERAL";"TAB3",#N/A,TRUE,"GENERAL";"TAB4",#N/A,TRUE,"GENERAL";"TAB5",#N/A,TRUE,"GENERAL"}</definedName>
    <definedName name="jjujujty" localSheetId="19">{"TAB1",#N/A,TRUE,"GENERAL";"TAB2",#N/A,TRUE,"GENERAL";"TAB3",#N/A,TRUE,"GENERAL";"TAB4",#N/A,TRUE,"GENERAL";"TAB5",#N/A,TRUE,"GENERAL"}</definedName>
    <definedName name="jjujujty" localSheetId="28">{"TAB1",#N/A,TRUE,"GENERAL";"TAB2",#N/A,TRUE,"GENERAL";"TAB3",#N/A,TRUE,"GENERAL";"TAB4",#N/A,TRUE,"GENERAL";"TAB5",#N/A,TRUE,"GENERAL"}</definedName>
    <definedName name="jjujujty" localSheetId="29">{"TAB1",#N/A,TRUE,"GENERAL";"TAB2",#N/A,TRUE,"GENERAL";"TAB3",#N/A,TRUE,"GENERAL";"TAB4",#N/A,TRUE,"GENERAL";"TAB5",#N/A,TRUE,"GENERAL"}</definedName>
    <definedName name="jjujujty">{"TAB1",#N/A,TRUE,"GENERAL";"TAB2",#N/A,TRUE,"GENERAL";"TAB3",#N/A,TRUE,"GENERAL";"TAB4",#N/A,TRUE,"GENERAL";"TAB5",#N/A,TRUE,"GENERAL"}</definedName>
    <definedName name="jjyjy" localSheetId="39">{"via1",#N/A,TRUE,"general";"via2",#N/A,TRUE,"general";"via3",#N/A,TRUE,"general"}</definedName>
    <definedName name="jjyjy" localSheetId="20">{"via1",#N/A,TRUE,"general";"via2",#N/A,TRUE,"general";"via3",#N/A,TRUE,"general"}</definedName>
    <definedName name="jjyjy" localSheetId="21">{"via1",#N/A,TRUE,"general";"via2",#N/A,TRUE,"general";"via3",#N/A,TRUE,"general"}</definedName>
    <definedName name="jjyjy" localSheetId="9">{"via1",#N/A,TRUE,"general";"via2",#N/A,TRUE,"general";"via3",#N/A,TRUE,"general"}</definedName>
    <definedName name="jjyjy" localSheetId="19">{"via1",#N/A,TRUE,"general";"via2",#N/A,TRUE,"general";"via3",#N/A,TRUE,"general"}</definedName>
    <definedName name="jjyjy" localSheetId="28">{"via1",#N/A,TRUE,"general";"via2",#N/A,TRUE,"general";"via3",#N/A,TRUE,"general"}</definedName>
    <definedName name="jjyjy" localSheetId="29">{"via1",#N/A,TRUE,"general";"via2",#N/A,TRUE,"general";"via3",#N/A,TRUE,"general"}</definedName>
    <definedName name="jjyjy">{"via1",#N/A,TRUE,"general";"via2",#N/A,TRUE,"general";"via3",#N/A,TRUE,"general"}</definedName>
    <definedName name="jk">#REF!</definedName>
    <definedName name="jkjh">#REF!</definedName>
    <definedName name="jkk" localSheetId="39">{"TAB1",#N/A,TRUE,"GENERAL";"TAB2",#N/A,TRUE,"GENERAL";"TAB3",#N/A,TRUE,"GENERAL";"TAB4",#N/A,TRUE,"GENERAL";"TAB5",#N/A,TRUE,"GENERAL"}</definedName>
    <definedName name="jkk" localSheetId="20">{"TAB1",#N/A,TRUE,"GENERAL";"TAB2",#N/A,TRUE,"GENERAL";"TAB3",#N/A,TRUE,"GENERAL";"TAB4",#N/A,TRUE,"GENERAL";"TAB5",#N/A,TRUE,"GENERAL"}</definedName>
    <definedName name="jkk" localSheetId="21">{"TAB1",#N/A,TRUE,"GENERAL";"TAB2",#N/A,TRUE,"GENERAL";"TAB3",#N/A,TRUE,"GENERAL";"TAB4",#N/A,TRUE,"GENERAL";"TAB5",#N/A,TRUE,"GENERAL"}</definedName>
    <definedName name="jkk" localSheetId="9">{"TAB1",#N/A,TRUE,"GENERAL";"TAB2",#N/A,TRUE,"GENERAL";"TAB3",#N/A,TRUE,"GENERAL";"TAB4",#N/A,TRUE,"GENERAL";"TAB5",#N/A,TRUE,"GENERAL"}</definedName>
    <definedName name="jkk" localSheetId="19">{"TAB1",#N/A,TRUE,"GENERAL";"TAB2",#N/A,TRUE,"GENERAL";"TAB3",#N/A,TRUE,"GENERAL";"TAB4",#N/A,TRUE,"GENERAL";"TAB5",#N/A,TRUE,"GENERAL"}</definedName>
    <definedName name="jkk" localSheetId="28">{"TAB1",#N/A,TRUE,"GENERAL";"TAB2",#N/A,TRUE,"GENERAL";"TAB3",#N/A,TRUE,"GENERAL";"TAB4",#N/A,TRUE,"GENERAL";"TAB5",#N/A,TRUE,"GENERAL"}</definedName>
    <definedName name="jkk" localSheetId="29">{"TAB1",#N/A,TRUE,"GENERAL";"TAB2",#N/A,TRUE,"GENERAL";"TAB3",#N/A,TRUE,"GENERAL";"TAB4",#N/A,TRUE,"GENERAL";"TAB5",#N/A,TRUE,"GENERAL"}</definedName>
    <definedName name="jkk">{"TAB1",#N/A,TRUE,"GENERAL";"TAB2",#N/A,TRUE,"GENERAL";"TAB3",#N/A,TRUE,"GENERAL";"TAB4",#N/A,TRUE,"GENERAL";"TAB5",#N/A,TRUE,"GENERAL"}</definedName>
    <definedName name="jkl" localSheetId="39">{"TAB1",#N/A,TRUE,"GENERAL";"TAB2",#N/A,TRUE,"GENERAL";"TAB3",#N/A,TRUE,"GENERAL";"TAB4",#N/A,TRUE,"GENERAL";"TAB5",#N/A,TRUE,"GENERAL"}</definedName>
    <definedName name="jkl" localSheetId="20">{"TAB1",#N/A,TRUE,"GENERAL";"TAB2",#N/A,TRUE,"GENERAL";"TAB3",#N/A,TRUE,"GENERAL";"TAB4",#N/A,TRUE,"GENERAL";"TAB5",#N/A,TRUE,"GENERAL"}</definedName>
    <definedName name="jkl" localSheetId="21">{"TAB1",#N/A,TRUE,"GENERAL";"TAB2",#N/A,TRUE,"GENERAL";"TAB3",#N/A,TRUE,"GENERAL";"TAB4",#N/A,TRUE,"GENERAL";"TAB5",#N/A,TRUE,"GENERAL"}</definedName>
    <definedName name="jkl" localSheetId="9">{"TAB1",#N/A,TRUE,"GENERAL";"TAB2",#N/A,TRUE,"GENERAL";"TAB3",#N/A,TRUE,"GENERAL";"TAB4",#N/A,TRUE,"GENERAL";"TAB5",#N/A,TRUE,"GENERAL"}</definedName>
    <definedName name="jkl" localSheetId="19">{"TAB1",#N/A,TRUE,"GENERAL";"TAB2",#N/A,TRUE,"GENERAL";"TAB3",#N/A,TRUE,"GENERAL";"TAB4",#N/A,TRUE,"GENERAL";"TAB5",#N/A,TRUE,"GENERAL"}</definedName>
    <definedName name="jkl" localSheetId="28">{"TAB1",#N/A,TRUE,"GENERAL";"TAB2",#N/A,TRUE,"GENERAL";"TAB3",#N/A,TRUE,"GENERAL";"TAB4",#N/A,TRUE,"GENERAL";"TAB5",#N/A,TRUE,"GENERAL"}</definedName>
    <definedName name="jkl" localSheetId="29">{"TAB1",#N/A,TRUE,"GENERAL";"TAB2",#N/A,TRUE,"GENERAL";"TAB3",#N/A,TRUE,"GENERAL";"TAB4",#N/A,TRUE,"GENERAL";"TAB5",#N/A,TRUE,"GENERAL"}</definedName>
    <definedName name="jkl">{"TAB1",#N/A,TRUE,"GENERAL";"TAB2",#N/A,TRUE,"GENERAL";"TAB3",#N/A,TRUE,"GENERAL";"TAB4",#N/A,TRUE,"GENERAL";"TAB5",#N/A,TRUE,"GENERAL"}</definedName>
    <definedName name="jklj" localSheetId="13" hidden="1">#REF!</definedName>
    <definedName name="jklj" localSheetId="17" hidden="1">#REF!</definedName>
    <definedName name="jklj" localSheetId="18" hidden="1">#REF!</definedName>
    <definedName name="jklj" localSheetId="12" hidden="1">#REF!</definedName>
    <definedName name="jklj" hidden="1">#REF!</definedName>
    <definedName name="jn">#REF!</definedName>
    <definedName name="jñ">#REF!</definedName>
    <definedName name="jo">#REF!</definedName>
    <definedName name="Job_number">#REF!</definedName>
    <definedName name="JobNo">#REF!</definedName>
    <definedName name="jorge">#REF!</definedName>
    <definedName name="Jornal">[54]Jornal!$A$12:$I$31</definedName>
    <definedName name="jose">#REF!</definedName>
    <definedName name="jqm">#REF!</definedName>
    <definedName name="JRTJE" localSheetId="39">#REF!</definedName>
    <definedName name="JRTJE">#REF!</definedName>
    <definedName name="JRYJ" localSheetId="39">{"via1",#N/A,TRUE,"general";"via2",#N/A,TRUE,"general";"via3",#N/A,TRUE,"general"}</definedName>
    <definedName name="JRYJ" localSheetId="20">{"via1",#N/A,TRUE,"general";"via2",#N/A,TRUE,"general";"via3",#N/A,TRUE,"general"}</definedName>
    <definedName name="JRYJ" localSheetId="21">{"via1",#N/A,TRUE,"general";"via2",#N/A,TRUE,"general";"via3",#N/A,TRUE,"general"}</definedName>
    <definedName name="JRYJ" localSheetId="9">{"via1",#N/A,TRUE,"general";"via2",#N/A,TRUE,"general";"via3",#N/A,TRUE,"general"}</definedName>
    <definedName name="JRYJ" localSheetId="19">{"via1",#N/A,TRUE,"general";"via2",#N/A,TRUE,"general";"via3",#N/A,TRUE,"general"}</definedName>
    <definedName name="JRYJ" localSheetId="28">{"via1",#N/A,TRUE,"general";"via2",#N/A,TRUE,"general";"via3",#N/A,TRUE,"general"}</definedName>
    <definedName name="JRYJ" localSheetId="29">{"via1",#N/A,TRUE,"general";"via2",#N/A,TRUE,"general";"via3",#N/A,TRUE,"general"}</definedName>
    <definedName name="JRYJ">{"via1",#N/A,TRUE,"general";"via2",#N/A,TRUE,"general";"via3",#N/A,TRUE,"general"}</definedName>
    <definedName name="jt">#REF!</definedName>
    <definedName name="jtyj" localSheetId="39">{"TAB1",#N/A,TRUE,"GENERAL";"TAB2",#N/A,TRUE,"GENERAL";"TAB3",#N/A,TRUE,"GENERAL";"TAB4",#N/A,TRUE,"GENERAL";"TAB5",#N/A,TRUE,"GENERAL"}</definedName>
    <definedName name="jtyj" localSheetId="20">{"TAB1",#N/A,TRUE,"GENERAL";"TAB2",#N/A,TRUE,"GENERAL";"TAB3",#N/A,TRUE,"GENERAL";"TAB4",#N/A,TRUE,"GENERAL";"TAB5",#N/A,TRUE,"GENERAL"}</definedName>
    <definedName name="jtyj" localSheetId="21">{"TAB1",#N/A,TRUE,"GENERAL";"TAB2",#N/A,TRUE,"GENERAL";"TAB3",#N/A,TRUE,"GENERAL";"TAB4",#N/A,TRUE,"GENERAL";"TAB5",#N/A,TRUE,"GENERAL"}</definedName>
    <definedName name="jtyj" localSheetId="9">{"TAB1",#N/A,TRUE,"GENERAL";"TAB2",#N/A,TRUE,"GENERAL";"TAB3",#N/A,TRUE,"GENERAL";"TAB4",#N/A,TRUE,"GENERAL";"TAB5",#N/A,TRUE,"GENERAL"}</definedName>
    <definedName name="jtyj" localSheetId="19">{"TAB1",#N/A,TRUE,"GENERAL";"TAB2",#N/A,TRUE,"GENERAL";"TAB3",#N/A,TRUE,"GENERAL";"TAB4",#N/A,TRUE,"GENERAL";"TAB5",#N/A,TRUE,"GENERAL"}</definedName>
    <definedName name="jtyj" localSheetId="28">{"TAB1",#N/A,TRUE,"GENERAL";"TAB2",#N/A,TRUE,"GENERAL";"TAB3",#N/A,TRUE,"GENERAL";"TAB4",#N/A,TRUE,"GENERAL";"TAB5",#N/A,TRUE,"GENERAL"}</definedName>
    <definedName name="jtyj" localSheetId="29">{"TAB1",#N/A,TRUE,"GENERAL";"TAB2",#N/A,TRUE,"GENERAL";"TAB3",#N/A,TRUE,"GENERAL";"TAB4",#N/A,TRUE,"GENERAL";"TAB5",#N/A,TRUE,"GENERAL"}</definedName>
    <definedName name="jtyj">{"TAB1",#N/A,TRUE,"GENERAL";"TAB2",#N/A,TRUE,"GENERAL";"TAB3",#N/A,TRUE,"GENERAL";"TAB4",#N/A,TRUE,"GENERAL";"TAB5",#N/A,TRUE,"GENERAL"}</definedName>
    <definedName name="jtyry" localSheetId="39">{"TAB1",#N/A,TRUE,"GENERAL";"TAB2",#N/A,TRUE,"GENERAL";"TAB3",#N/A,TRUE,"GENERAL";"TAB4",#N/A,TRUE,"GENERAL";"TAB5",#N/A,TRUE,"GENERAL"}</definedName>
    <definedName name="jtyry" localSheetId="20">{"TAB1",#N/A,TRUE,"GENERAL";"TAB2",#N/A,TRUE,"GENERAL";"TAB3",#N/A,TRUE,"GENERAL";"TAB4",#N/A,TRUE,"GENERAL";"TAB5",#N/A,TRUE,"GENERAL"}</definedName>
    <definedName name="jtyry" localSheetId="21">{"TAB1",#N/A,TRUE,"GENERAL";"TAB2",#N/A,TRUE,"GENERAL";"TAB3",#N/A,TRUE,"GENERAL";"TAB4",#N/A,TRUE,"GENERAL";"TAB5",#N/A,TRUE,"GENERAL"}</definedName>
    <definedName name="jtyry" localSheetId="9">{"TAB1",#N/A,TRUE,"GENERAL";"TAB2",#N/A,TRUE,"GENERAL";"TAB3",#N/A,TRUE,"GENERAL";"TAB4",#N/A,TRUE,"GENERAL";"TAB5",#N/A,TRUE,"GENERAL"}</definedName>
    <definedName name="jtyry" localSheetId="19">{"TAB1",#N/A,TRUE,"GENERAL";"TAB2",#N/A,TRUE,"GENERAL";"TAB3",#N/A,TRUE,"GENERAL";"TAB4",#N/A,TRUE,"GENERAL";"TAB5",#N/A,TRUE,"GENERAL"}</definedName>
    <definedName name="jtyry" localSheetId="28">{"TAB1",#N/A,TRUE,"GENERAL";"TAB2",#N/A,TRUE,"GENERAL";"TAB3",#N/A,TRUE,"GENERAL";"TAB4",#N/A,TRUE,"GENERAL";"TAB5",#N/A,TRUE,"GENERAL"}</definedName>
    <definedName name="jtyry" localSheetId="29">{"TAB1",#N/A,TRUE,"GENERAL";"TAB2",#N/A,TRUE,"GENERAL";"TAB3",#N/A,TRUE,"GENERAL";"TAB4",#N/A,TRUE,"GENERAL";"TAB5",#N/A,TRUE,"GENERAL"}</definedName>
    <definedName name="jtyry">{"TAB1",#N/A,TRUE,"GENERAL";"TAB2",#N/A,TRUE,"GENERAL";"TAB3",#N/A,TRUE,"GENERAL";"TAB4",#N/A,TRUE,"GENERAL";"TAB5",#N/A,TRUE,"GENERAL"}</definedName>
    <definedName name="jui">#REF!</definedName>
    <definedName name="juj" localSheetId="39">{"via1",#N/A,TRUE,"general";"via2",#N/A,TRUE,"general";"via3",#N/A,TRUE,"general"}</definedName>
    <definedName name="juj" localSheetId="20">{"via1",#N/A,TRUE,"general";"via2",#N/A,TRUE,"general";"via3",#N/A,TRUE,"general"}</definedName>
    <definedName name="juj" localSheetId="21">{"via1",#N/A,TRUE,"general";"via2",#N/A,TRUE,"general";"via3",#N/A,TRUE,"general"}</definedName>
    <definedName name="juj" localSheetId="9">{"via1",#N/A,TRUE,"general";"via2",#N/A,TRUE,"general";"via3",#N/A,TRUE,"general"}</definedName>
    <definedName name="juj" localSheetId="19">{"via1",#N/A,TRUE,"general";"via2",#N/A,TRUE,"general";"via3",#N/A,TRUE,"general"}</definedName>
    <definedName name="juj" localSheetId="28">{"via1",#N/A,TRUE,"general";"via2",#N/A,TRUE,"general";"via3",#N/A,TRUE,"general"}</definedName>
    <definedName name="juj" localSheetId="29">{"via1",#N/A,TRUE,"general";"via2",#N/A,TRUE,"general";"via3",#N/A,TRUE,"general"}</definedName>
    <definedName name="juj">{"via1",#N/A,TRUE,"general";"via2",#N/A,TRUE,"general";"via3",#N/A,TRUE,"general"}</definedName>
    <definedName name="jujcx" localSheetId="39">{"via1",#N/A,TRUE,"general";"via2",#N/A,TRUE,"general";"via3",#N/A,TRUE,"general"}</definedName>
    <definedName name="jujcx" localSheetId="20">{"via1",#N/A,TRUE,"general";"via2",#N/A,TRUE,"general";"via3",#N/A,TRUE,"general"}</definedName>
    <definedName name="jujcx" localSheetId="21">{"via1",#N/A,TRUE,"general";"via2",#N/A,TRUE,"general";"via3",#N/A,TRUE,"general"}</definedName>
    <definedName name="jujcx" localSheetId="9">{"via1",#N/A,TRUE,"general";"via2",#N/A,TRUE,"general";"via3",#N/A,TRUE,"general"}</definedName>
    <definedName name="jujcx" localSheetId="19">{"via1",#N/A,TRUE,"general";"via2",#N/A,TRUE,"general";"via3",#N/A,TRUE,"general"}</definedName>
    <definedName name="jujcx" localSheetId="28">{"via1",#N/A,TRUE,"general";"via2",#N/A,TRUE,"general";"via3",#N/A,TRUE,"general"}</definedName>
    <definedName name="jujcx" localSheetId="29">{"via1",#N/A,TRUE,"general";"via2",#N/A,TRUE,"general";"via3",#N/A,TRUE,"general"}</definedName>
    <definedName name="jujcx">{"via1",#N/A,TRUE,"general";"via2",#N/A,TRUE,"general";"via3",#N/A,TRUE,"general"}</definedName>
    <definedName name="jujuj" localSheetId="39">{"via1",#N/A,TRUE,"general";"via2",#N/A,TRUE,"general";"via3",#N/A,TRUE,"general"}</definedName>
    <definedName name="jujuj" localSheetId="20">{"via1",#N/A,TRUE,"general";"via2",#N/A,TRUE,"general";"via3",#N/A,TRUE,"general"}</definedName>
    <definedName name="jujuj" localSheetId="21">{"via1",#N/A,TRUE,"general";"via2",#N/A,TRUE,"general";"via3",#N/A,TRUE,"general"}</definedName>
    <definedName name="jujuj" localSheetId="9">{"via1",#N/A,TRUE,"general";"via2",#N/A,TRUE,"general";"via3",#N/A,TRUE,"general"}</definedName>
    <definedName name="jujuj" localSheetId="19">{"via1",#N/A,TRUE,"general";"via2",#N/A,TRUE,"general";"via3",#N/A,TRUE,"general"}</definedName>
    <definedName name="jujuj" localSheetId="28">{"via1",#N/A,TRUE,"general";"via2",#N/A,TRUE,"general";"via3",#N/A,TRUE,"general"}</definedName>
    <definedName name="jujuj" localSheetId="29">{"via1",#N/A,TRUE,"general";"via2",#N/A,TRUE,"general";"via3",#N/A,TRUE,"general"}</definedName>
    <definedName name="jujuj">{"via1",#N/A,TRUE,"general";"via2",#N/A,TRUE,"general";"via3",#N/A,TRUE,"general"}</definedName>
    <definedName name="jujujuju" localSheetId="39">{"TAB1",#N/A,TRUE,"GENERAL";"TAB2",#N/A,TRUE,"GENERAL";"TAB3",#N/A,TRUE,"GENERAL";"TAB4",#N/A,TRUE,"GENERAL";"TAB5",#N/A,TRUE,"GENERAL"}</definedName>
    <definedName name="jujujuju" localSheetId="20">{"TAB1",#N/A,TRUE,"GENERAL";"TAB2",#N/A,TRUE,"GENERAL";"TAB3",#N/A,TRUE,"GENERAL";"TAB4",#N/A,TRUE,"GENERAL";"TAB5",#N/A,TRUE,"GENERAL"}</definedName>
    <definedName name="jujujuju" localSheetId="21">{"TAB1",#N/A,TRUE,"GENERAL";"TAB2",#N/A,TRUE,"GENERAL";"TAB3",#N/A,TRUE,"GENERAL";"TAB4",#N/A,TRUE,"GENERAL";"TAB5",#N/A,TRUE,"GENERAL"}</definedName>
    <definedName name="jujujuju" localSheetId="9">{"TAB1",#N/A,TRUE,"GENERAL";"TAB2",#N/A,TRUE,"GENERAL";"TAB3",#N/A,TRUE,"GENERAL";"TAB4",#N/A,TRUE,"GENERAL";"TAB5",#N/A,TRUE,"GENERAL"}</definedName>
    <definedName name="jujujuju" localSheetId="19">{"TAB1",#N/A,TRUE,"GENERAL";"TAB2",#N/A,TRUE,"GENERAL";"TAB3",#N/A,TRUE,"GENERAL";"TAB4",#N/A,TRUE,"GENERAL";"TAB5",#N/A,TRUE,"GENERAL"}</definedName>
    <definedName name="jujujuju" localSheetId="28">{"TAB1",#N/A,TRUE,"GENERAL";"TAB2",#N/A,TRUE,"GENERAL";"TAB3",#N/A,TRUE,"GENERAL";"TAB4",#N/A,TRUE,"GENERAL";"TAB5",#N/A,TRUE,"GENERAL"}</definedName>
    <definedName name="jujujuju" localSheetId="29">{"TAB1",#N/A,TRUE,"GENERAL";"TAB2",#N/A,TRUE,"GENERAL";"TAB3",#N/A,TRUE,"GENERAL";"TAB4",#N/A,TRUE,"GENERAL";"TAB5",#N/A,TRUE,"GENERAL"}</definedName>
    <definedName name="jujujuju">{"TAB1",#N/A,TRUE,"GENERAL";"TAB2",#N/A,TRUE,"GENERAL";"TAB3",#N/A,TRUE,"GENERAL";"TAB4",#N/A,TRUE,"GENERAL";"TAB5",#N/A,TRUE,"GENERAL"}</definedName>
    <definedName name="JUL">#REF!</definedName>
    <definedName name="jul00">[17]Dólar!#REF!</definedName>
    <definedName name="JUN">#REF!</definedName>
    <definedName name="jun00">[17]Dólar!#REF!</definedName>
    <definedName name="JUNE3">#REF!</definedName>
    <definedName name="junebs">#REF!</definedName>
    <definedName name="juneint">#REF!</definedName>
    <definedName name="juneint1">#REF!</definedName>
    <definedName name="juneint2">#REF!</definedName>
    <definedName name="JUNEINT3">#REF!</definedName>
    <definedName name="juuuhb" localSheetId="39">{"TAB1",#N/A,TRUE,"GENERAL";"TAB2",#N/A,TRUE,"GENERAL";"TAB3",#N/A,TRUE,"GENERAL";"TAB4",#N/A,TRUE,"GENERAL";"TAB5",#N/A,TRUE,"GENERAL"}</definedName>
    <definedName name="juuuhb" localSheetId="20">{"TAB1",#N/A,TRUE,"GENERAL";"TAB2",#N/A,TRUE,"GENERAL";"TAB3",#N/A,TRUE,"GENERAL";"TAB4",#N/A,TRUE,"GENERAL";"TAB5",#N/A,TRUE,"GENERAL"}</definedName>
    <definedName name="juuuhb" localSheetId="21">{"TAB1",#N/A,TRUE,"GENERAL";"TAB2",#N/A,TRUE,"GENERAL";"TAB3",#N/A,TRUE,"GENERAL";"TAB4",#N/A,TRUE,"GENERAL";"TAB5",#N/A,TRUE,"GENERAL"}</definedName>
    <definedName name="juuuhb" localSheetId="9">{"TAB1",#N/A,TRUE,"GENERAL";"TAB2",#N/A,TRUE,"GENERAL";"TAB3",#N/A,TRUE,"GENERAL";"TAB4",#N/A,TRUE,"GENERAL";"TAB5",#N/A,TRUE,"GENERAL"}</definedName>
    <definedName name="juuuhb" localSheetId="19">{"TAB1",#N/A,TRUE,"GENERAL";"TAB2",#N/A,TRUE,"GENERAL";"TAB3",#N/A,TRUE,"GENERAL";"TAB4",#N/A,TRUE,"GENERAL";"TAB5",#N/A,TRUE,"GENERAL"}</definedName>
    <definedName name="juuuhb" localSheetId="28">{"TAB1",#N/A,TRUE,"GENERAL";"TAB2",#N/A,TRUE,"GENERAL";"TAB3",#N/A,TRUE,"GENERAL";"TAB4",#N/A,TRUE,"GENERAL";"TAB5",#N/A,TRUE,"GENERAL"}</definedName>
    <definedName name="juuuhb" localSheetId="29">{"TAB1",#N/A,TRUE,"GENERAL";"TAB2",#N/A,TRUE,"GENERAL";"TAB3",#N/A,TRUE,"GENERAL";"TAB4",#N/A,TRUE,"GENERAL";"TAB5",#N/A,TRUE,"GENERAL"}</definedName>
    <definedName name="juuuhb">{"TAB1",#N/A,TRUE,"GENERAL";"TAB2",#N/A,TRUE,"GENERAL";"TAB3",#N/A,TRUE,"GENERAL";"TAB4",#N/A,TRUE,"GENERAL";"TAB5",#N/A,TRUE,"GENERAL"}</definedName>
    <definedName name="juy">#REF!</definedName>
    <definedName name="jyjt7" localSheetId="39">{"via1",#N/A,TRUE,"general";"via2",#N/A,TRUE,"general";"via3",#N/A,TRUE,"general"}</definedName>
    <definedName name="jyjt7" localSheetId="20">{"via1",#N/A,TRUE,"general";"via2",#N/A,TRUE,"general";"via3",#N/A,TRUE,"general"}</definedName>
    <definedName name="jyjt7" localSheetId="21">{"via1",#N/A,TRUE,"general";"via2",#N/A,TRUE,"general";"via3",#N/A,TRUE,"general"}</definedName>
    <definedName name="jyjt7" localSheetId="9">{"via1",#N/A,TRUE,"general";"via2",#N/A,TRUE,"general";"via3",#N/A,TRUE,"general"}</definedName>
    <definedName name="jyjt7" localSheetId="19">{"via1",#N/A,TRUE,"general";"via2",#N/A,TRUE,"general";"via3",#N/A,TRUE,"general"}</definedName>
    <definedName name="jyjt7" localSheetId="28">{"via1",#N/A,TRUE,"general";"via2",#N/A,TRUE,"general";"via3",#N/A,TRUE,"general"}</definedName>
    <definedName name="jyjt7" localSheetId="29">{"via1",#N/A,TRUE,"general";"via2",#N/A,TRUE,"general";"via3",#N/A,TRUE,"general"}</definedName>
    <definedName name="jyjt7">{"via1",#N/A,TRUE,"general";"via2",#N/A,TRUE,"general";"via3",#N/A,TRUE,"general"}</definedName>
    <definedName name="JYJYT">3+(ROW(OFFSET(#REF!,0,0,200,1))-1)*0.0301507538</definedName>
    <definedName name="jyt" localSheetId="39">{"via1",#N/A,TRUE,"general";"via2",#N/A,TRUE,"general";"via3",#N/A,TRUE,"general"}</definedName>
    <definedName name="jyt" localSheetId="20">{"via1",#N/A,TRUE,"general";"via2",#N/A,TRUE,"general";"via3",#N/A,TRUE,"general"}</definedName>
    <definedName name="jyt" localSheetId="21">{"via1",#N/A,TRUE,"general";"via2",#N/A,TRUE,"general";"via3",#N/A,TRUE,"general"}</definedName>
    <definedName name="jyt" localSheetId="9">{"via1",#N/A,TRUE,"general";"via2",#N/A,TRUE,"general";"via3",#N/A,TRUE,"general"}</definedName>
    <definedName name="jyt" localSheetId="19">{"via1",#N/A,TRUE,"general";"via2",#N/A,TRUE,"general";"via3",#N/A,TRUE,"general"}</definedName>
    <definedName name="jyt" localSheetId="28">{"via1",#N/A,TRUE,"general";"via2",#N/A,TRUE,"general";"via3",#N/A,TRUE,"general"}</definedName>
    <definedName name="jyt" localSheetId="29">{"via1",#N/A,TRUE,"general";"via2",#N/A,TRUE,"general";"via3",#N/A,TRUE,"general"}</definedName>
    <definedName name="jyt">{"via1",#N/A,TRUE,"general";"via2",#N/A,TRUE,"general";"via3",#N/A,TRUE,"general"}</definedName>
    <definedName name="jytj" localSheetId="39">{"via1",#N/A,TRUE,"general";"via2",#N/A,TRUE,"general";"via3",#N/A,TRUE,"general"}</definedName>
    <definedName name="jytj" localSheetId="20">{"via1",#N/A,TRUE,"general";"via2",#N/A,TRUE,"general";"via3",#N/A,TRUE,"general"}</definedName>
    <definedName name="jytj" localSheetId="21">{"via1",#N/A,TRUE,"general";"via2",#N/A,TRUE,"general";"via3",#N/A,TRUE,"general"}</definedName>
    <definedName name="jytj" localSheetId="9">{"via1",#N/A,TRUE,"general";"via2",#N/A,TRUE,"general";"via3",#N/A,TRUE,"general"}</definedName>
    <definedName name="jytj" localSheetId="19">{"via1",#N/A,TRUE,"general";"via2",#N/A,TRUE,"general";"via3",#N/A,TRUE,"general"}</definedName>
    <definedName name="jytj" localSheetId="28">{"via1",#N/A,TRUE,"general";"via2",#N/A,TRUE,"general";"via3",#N/A,TRUE,"general"}</definedName>
    <definedName name="jytj" localSheetId="29">{"via1",#N/A,TRUE,"general";"via2",#N/A,TRUE,"general";"via3",#N/A,TRUE,"general"}</definedName>
    <definedName name="jytj">{"via1",#N/A,TRUE,"general";"via2",#N/A,TRUE,"general";"via3",#N/A,TRUE,"general"}</definedName>
    <definedName name="jyuju" localSheetId="39">{"via1",#N/A,TRUE,"general";"via2",#N/A,TRUE,"general";"via3",#N/A,TRUE,"general"}</definedName>
    <definedName name="jyuju" localSheetId="20">{"via1",#N/A,TRUE,"general";"via2",#N/A,TRUE,"general";"via3",#N/A,TRUE,"general"}</definedName>
    <definedName name="jyuju" localSheetId="21">{"via1",#N/A,TRUE,"general";"via2",#N/A,TRUE,"general";"via3",#N/A,TRUE,"general"}</definedName>
    <definedName name="jyuju" localSheetId="9">{"via1",#N/A,TRUE,"general";"via2",#N/A,TRUE,"general";"via3",#N/A,TRUE,"general"}</definedName>
    <definedName name="jyuju" localSheetId="19">{"via1",#N/A,TRUE,"general";"via2",#N/A,TRUE,"general";"via3",#N/A,TRUE,"general"}</definedName>
    <definedName name="jyuju" localSheetId="28">{"via1",#N/A,TRUE,"general";"via2",#N/A,TRUE,"general";"via3",#N/A,TRUE,"general"}</definedName>
    <definedName name="jyuju" localSheetId="29">{"via1",#N/A,TRUE,"general";"via2",#N/A,TRUE,"general";"via3",#N/A,TRUE,"general"}</definedName>
    <definedName name="jyuju">{"via1",#N/A,TRUE,"general";"via2",#N/A,TRUE,"general";"via3",#N/A,TRUE,"general"}</definedName>
    <definedName name="jyujyuj" localSheetId="39">{"via1",#N/A,TRUE,"general";"via2",#N/A,TRUE,"general";"via3",#N/A,TRUE,"general"}</definedName>
    <definedName name="jyujyuj" localSheetId="20">{"via1",#N/A,TRUE,"general";"via2",#N/A,TRUE,"general";"via3",#N/A,TRUE,"general"}</definedName>
    <definedName name="jyujyuj" localSheetId="21">{"via1",#N/A,TRUE,"general";"via2",#N/A,TRUE,"general";"via3",#N/A,TRUE,"general"}</definedName>
    <definedName name="jyujyuj" localSheetId="9">{"via1",#N/A,TRUE,"general";"via2",#N/A,TRUE,"general";"via3",#N/A,TRUE,"general"}</definedName>
    <definedName name="jyujyuj" localSheetId="19">{"via1",#N/A,TRUE,"general";"via2",#N/A,TRUE,"general";"via3",#N/A,TRUE,"general"}</definedName>
    <definedName name="jyujyuj" localSheetId="28">{"via1",#N/A,TRUE,"general";"via2",#N/A,TRUE,"general";"via3",#N/A,TRUE,"general"}</definedName>
    <definedName name="jyujyuj" localSheetId="29">{"via1",#N/A,TRUE,"general";"via2",#N/A,TRUE,"general";"via3",#N/A,TRUE,"general"}</definedName>
    <definedName name="jyujyuj">{"via1",#N/A,TRUE,"general";"via2",#N/A,TRUE,"general";"via3",#N/A,TRUE,"general"}</definedName>
    <definedName name="K">#REF!</definedName>
    <definedName name="K0F1" localSheetId="39">#REF!</definedName>
    <definedName name="K0F1" localSheetId="10">#REF!</definedName>
    <definedName name="K0F1" localSheetId="20">#REF!</definedName>
    <definedName name="K0F1" localSheetId="21">#REF!</definedName>
    <definedName name="K0F1" localSheetId="9">#REF!</definedName>
    <definedName name="K0F1">#REF!</definedName>
    <definedName name="K0F2" localSheetId="39">#REF!</definedName>
    <definedName name="K0F2" localSheetId="10">#REF!</definedName>
    <definedName name="K0F2" localSheetId="20">#REF!</definedName>
    <definedName name="K0F2" localSheetId="21">#REF!</definedName>
    <definedName name="K0F2">#REF!</definedName>
    <definedName name="K10ALO" localSheetId="39">#REF!</definedName>
    <definedName name="K10ALO" localSheetId="10">#REF!</definedName>
    <definedName name="K10ALO" localSheetId="20">#REF!</definedName>
    <definedName name="K10ALO" localSheetId="21">#REF!</definedName>
    <definedName name="K10ALO">#REF!</definedName>
    <definedName name="K11ALO" localSheetId="10">#REF!</definedName>
    <definedName name="K11ALO" localSheetId="20">#REF!</definedName>
    <definedName name="K11ALO" localSheetId="21">#REF!</definedName>
    <definedName name="K11ALO">#REF!</definedName>
    <definedName name="K1F1" localSheetId="10">#REF!</definedName>
    <definedName name="K1F1" localSheetId="20">#REF!</definedName>
    <definedName name="K1F1" localSheetId="21">#REF!</definedName>
    <definedName name="K1F1">#REF!</definedName>
    <definedName name="K1F2" localSheetId="10">#REF!</definedName>
    <definedName name="K1F2" localSheetId="20">#REF!</definedName>
    <definedName name="K1F2" localSheetId="21">#REF!</definedName>
    <definedName name="K1F2">#REF!</definedName>
    <definedName name="K2F1" localSheetId="10">#REF!</definedName>
    <definedName name="K2F1" localSheetId="20">#REF!</definedName>
    <definedName name="K2F1" localSheetId="21">#REF!</definedName>
    <definedName name="K2F1">#REF!</definedName>
    <definedName name="K2F2" localSheetId="10">#REF!</definedName>
    <definedName name="K2F2" localSheetId="20">#REF!</definedName>
    <definedName name="K2F2" localSheetId="21">#REF!</definedName>
    <definedName name="K2F2">#REF!</definedName>
    <definedName name="K3F1" localSheetId="10">#REF!</definedName>
    <definedName name="K3F1" localSheetId="20">#REF!</definedName>
    <definedName name="K3F1" localSheetId="21">#REF!</definedName>
    <definedName name="K3F1">#REF!</definedName>
    <definedName name="K3F2" localSheetId="10">#REF!</definedName>
    <definedName name="K3F2" localSheetId="20">#REF!</definedName>
    <definedName name="K3F2" localSheetId="21">#REF!</definedName>
    <definedName name="K3F2">#REF!</definedName>
    <definedName name="K4F1" localSheetId="10">#REF!</definedName>
    <definedName name="K4F1" localSheetId="20">#REF!</definedName>
    <definedName name="K4F1" localSheetId="21">#REF!</definedName>
    <definedName name="K4F1">#REF!</definedName>
    <definedName name="K4F2" localSheetId="10">#REF!</definedName>
    <definedName name="K4F2" localSheetId="20">#REF!</definedName>
    <definedName name="K4F2" localSheetId="21">#REF!</definedName>
    <definedName name="K4F2">#REF!</definedName>
    <definedName name="K5F1" localSheetId="10">#REF!</definedName>
    <definedName name="K5F1" localSheetId="20">#REF!</definedName>
    <definedName name="K5F1" localSheetId="21">#REF!</definedName>
    <definedName name="K5F1">#REF!</definedName>
    <definedName name="K5F2" localSheetId="10">#REF!</definedName>
    <definedName name="K5F2" localSheetId="20">#REF!</definedName>
    <definedName name="K5F2" localSheetId="21">#REF!</definedName>
    <definedName name="K5F2">#REF!</definedName>
    <definedName name="K6F1" localSheetId="10">#REF!</definedName>
    <definedName name="K6F1" localSheetId="20">#REF!</definedName>
    <definedName name="K6F1" localSheetId="21">#REF!</definedName>
    <definedName name="K6F1">#REF!</definedName>
    <definedName name="K6F2" localSheetId="10">#REF!</definedName>
    <definedName name="K6F2" localSheetId="20">#REF!</definedName>
    <definedName name="K6F2" localSheetId="21">#REF!</definedName>
    <definedName name="K6F2">#REF!</definedName>
    <definedName name="K7F1" localSheetId="10">#REF!</definedName>
    <definedName name="K7F1" localSheetId="20">#REF!</definedName>
    <definedName name="K7F1" localSheetId="21">#REF!</definedName>
    <definedName name="K7F1">#REF!</definedName>
    <definedName name="K7F2" localSheetId="10">#REF!</definedName>
    <definedName name="K7F2" localSheetId="20">#REF!</definedName>
    <definedName name="K7F2" localSheetId="21">#REF!</definedName>
    <definedName name="K7F2">#REF!</definedName>
    <definedName name="K8ALO" localSheetId="10">#REF!</definedName>
    <definedName name="K8ALO" localSheetId="20">#REF!</definedName>
    <definedName name="K8ALO" localSheetId="21">#REF!</definedName>
    <definedName name="K8ALO">#REF!</definedName>
    <definedName name="K8F1" localSheetId="10">#REF!</definedName>
    <definedName name="K8F1" localSheetId="20">#REF!</definedName>
    <definedName name="K8F1" localSheetId="21">#REF!</definedName>
    <definedName name="K8F1">#REF!</definedName>
    <definedName name="K8F2" localSheetId="10">#REF!</definedName>
    <definedName name="K8F2" localSheetId="20">#REF!</definedName>
    <definedName name="K8F2" localSheetId="21">#REF!</definedName>
    <definedName name="K8F2">#REF!</definedName>
    <definedName name="K9ALO" localSheetId="10">#REF!</definedName>
    <definedName name="K9ALO" localSheetId="20">#REF!</definedName>
    <definedName name="K9ALO" localSheetId="21">#REF!</definedName>
    <definedName name="K9ALO">#REF!</definedName>
    <definedName name="ka">#REF!</definedName>
    <definedName name="karen">'[136]2008 Capital Budget'!$E$2:$E$171,'[136]2008 Capital Budget'!$E$171:$E$172</definedName>
    <definedName name="KGHGH" localSheetId="9">#REF!</definedName>
    <definedName name="KGHGH">#REF!</definedName>
    <definedName name="KHGGH" localSheetId="39">{"via1",#N/A,TRUE,"general";"via2",#N/A,TRUE,"general";"via3",#N/A,TRUE,"general"}</definedName>
    <definedName name="KHGGH" localSheetId="20">{"via1",#N/A,TRUE,"general";"via2",#N/A,TRUE,"general";"via3",#N/A,TRUE,"general"}</definedName>
    <definedName name="KHGGH" localSheetId="21">{"via1",#N/A,TRUE,"general";"via2",#N/A,TRUE,"general";"via3",#N/A,TRUE,"general"}</definedName>
    <definedName name="KHGGH" localSheetId="9">{"via1",#N/A,TRUE,"general";"via2",#N/A,TRUE,"general";"via3",#N/A,TRUE,"general"}</definedName>
    <definedName name="KHGGH" localSheetId="19">{"via1",#N/A,TRUE,"general";"via2",#N/A,TRUE,"general";"via3",#N/A,TRUE,"general"}</definedName>
    <definedName name="KHGGH" localSheetId="28">{"via1",#N/A,TRUE,"general";"via2",#N/A,TRUE,"general";"via3",#N/A,TRUE,"general"}</definedName>
    <definedName name="KHGGH" localSheetId="29">{"via1",#N/A,TRUE,"general";"via2",#N/A,TRUE,"general";"via3",#N/A,TRUE,"general"}</definedName>
    <definedName name="KHGGH">{"via1",#N/A,TRUE,"general";"via2",#N/A,TRUE,"general";"via3",#N/A,TRUE,"general"}</definedName>
    <definedName name="khjk7" localSheetId="39">{"TAB1",#N/A,TRUE,"GENERAL";"TAB2",#N/A,TRUE,"GENERAL";"TAB3",#N/A,TRUE,"GENERAL";"TAB4",#N/A,TRUE,"GENERAL";"TAB5",#N/A,TRUE,"GENERAL"}</definedName>
    <definedName name="khjk7" localSheetId="20">{"TAB1",#N/A,TRUE,"GENERAL";"TAB2",#N/A,TRUE,"GENERAL";"TAB3",#N/A,TRUE,"GENERAL";"TAB4",#N/A,TRUE,"GENERAL";"TAB5",#N/A,TRUE,"GENERAL"}</definedName>
    <definedName name="khjk7" localSheetId="21">{"TAB1",#N/A,TRUE,"GENERAL";"TAB2",#N/A,TRUE,"GENERAL";"TAB3",#N/A,TRUE,"GENERAL";"TAB4",#N/A,TRUE,"GENERAL";"TAB5",#N/A,TRUE,"GENERAL"}</definedName>
    <definedName name="khjk7" localSheetId="9">{"TAB1",#N/A,TRUE,"GENERAL";"TAB2",#N/A,TRUE,"GENERAL";"TAB3",#N/A,TRUE,"GENERAL";"TAB4",#N/A,TRUE,"GENERAL";"TAB5",#N/A,TRUE,"GENERAL"}</definedName>
    <definedName name="khjk7" localSheetId="19">{"TAB1",#N/A,TRUE,"GENERAL";"TAB2",#N/A,TRUE,"GENERAL";"TAB3",#N/A,TRUE,"GENERAL";"TAB4",#N/A,TRUE,"GENERAL";"TAB5",#N/A,TRUE,"GENERAL"}</definedName>
    <definedName name="khjk7" localSheetId="28">{"TAB1",#N/A,TRUE,"GENERAL";"TAB2",#N/A,TRUE,"GENERAL";"TAB3",#N/A,TRUE,"GENERAL";"TAB4",#N/A,TRUE,"GENERAL";"TAB5",#N/A,TRUE,"GENERAL"}</definedName>
    <definedName name="khjk7" localSheetId="29">{"TAB1",#N/A,TRUE,"GENERAL";"TAB2",#N/A,TRUE,"GENERAL";"TAB3",#N/A,TRUE,"GENERAL";"TAB4",#N/A,TRUE,"GENERAL";"TAB5",#N/A,TRUE,"GENERAL"}</definedName>
    <definedName name="khjk7">{"TAB1",#N/A,TRUE,"GENERAL";"TAB2",#N/A,TRUE,"GENERAL";"TAB3",#N/A,TRUE,"GENERAL";"TAB4",#N/A,TRUE,"GENERAL";"TAB5",#N/A,TRUE,"GENERAL"}</definedName>
    <definedName name="Ki">#REF!</definedName>
    <definedName name="kikik" localSheetId="39">{"via1",#N/A,TRUE,"general";"via2",#N/A,TRUE,"general";"via3",#N/A,TRUE,"general"}</definedName>
    <definedName name="kikik" localSheetId="20">{"via1",#N/A,TRUE,"general";"via2",#N/A,TRUE,"general";"via3",#N/A,TRUE,"general"}</definedName>
    <definedName name="kikik" localSheetId="21">{"via1",#N/A,TRUE,"general";"via2",#N/A,TRUE,"general";"via3",#N/A,TRUE,"general"}</definedName>
    <definedName name="kikik" localSheetId="9">{"via1",#N/A,TRUE,"general";"via2",#N/A,TRUE,"general";"via3",#N/A,TRUE,"general"}</definedName>
    <definedName name="kikik" localSheetId="19">{"via1",#N/A,TRUE,"general";"via2",#N/A,TRUE,"general";"via3",#N/A,TRUE,"general"}</definedName>
    <definedName name="kikik" localSheetId="28">{"via1",#N/A,TRUE,"general";"via2",#N/A,TRUE,"general";"via3",#N/A,TRUE,"general"}</definedName>
    <definedName name="kikik" localSheetId="29">{"via1",#N/A,TRUE,"general";"via2",#N/A,TRUE,"general";"via3",#N/A,TRUE,"general"}</definedName>
    <definedName name="kikik">{"via1",#N/A,TRUE,"general";"via2",#N/A,TRUE,"general";"via3",#N/A,TRUE,"general"}</definedName>
    <definedName name="kio">#REF!</definedName>
    <definedName name="kip">#REF!</definedName>
    <definedName name="KitCarretera">#REF!</definedName>
    <definedName name="KitCarreteraCostos">#REF!</definedName>
    <definedName name="Kiunga_Elec">[177]Inputs!$J$26</definedName>
    <definedName name="KJH">#REF!</definedName>
    <definedName name="kjhkd" localSheetId="39">{"via1",#N/A,TRUE,"general";"via2",#N/A,TRUE,"general";"via3",#N/A,TRUE,"general"}</definedName>
    <definedName name="kjhkd" localSheetId="20">{"via1",#N/A,TRUE,"general";"via2",#N/A,TRUE,"general";"via3",#N/A,TRUE,"general"}</definedName>
    <definedName name="kjhkd" localSheetId="21">{"via1",#N/A,TRUE,"general";"via2",#N/A,TRUE,"general";"via3",#N/A,TRUE,"general"}</definedName>
    <definedName name="kjhkd" localSheetId="9">{"via1",#N/A,TRUE,"general";"via2",#N/A,TRUE,"general";"via3",#N/A,TRUE,"general"}</definedName>
    <definedName name="kjhkd" localSheetId="19">{"via1",#N/A,TRUE,"general";"via2",#N/A,TRUE,"general";"via3",#N/A,TRUE,"general"}</definedName>
    <definedName name="kjhkd" localSheetId="28">{"via1",#N/A,TRUE,"general";"via2",#N/A,TRUE,"general";"via3",#N/A,TRUE,"general"}</definedName>
    <definedName name="kjhkd" localSheetId="29">{"via1",#N/A,TRUE,"general";"via2",#N/A,TRUE,"general";"via3",#N/A,TRUE,"general"}</definedName>
    <definedName name="kjhkd">{"via1",#N/A,TRUE,"general";"via2",#N/A,TRUE,"general";"via3",#N/A,TRUE,"general"}</definedName>
    <definedName name="kjk">#REF!</definedName>
    <definedName name="kjkjk">#REF!</definedName>
    <definedName name="kjljkl">#REF!</definedName>
    <definedName name="kjtrkjr" localSheetId="39">{"via1",#N/A,TRUE,"general";"via2",#N/A,TRUE,"general";"via3",#N/A,TRUE,"general"}</definedName>
    <definedName name="kjtrkjr" localSheetId="20">{"via1",#N/A,TRUE,"general";"via2",#N/A,TRUE,"general";"via3",#N/A,TRUE,"general"}</definedName>
    <definedName name="kjtrkjr" localSheetId="21">{"via1",#N/A,TRUE,"general";"via2",#N/A,TRUE,"general";"via3",#N/A,TRUE,"general"}</definedName>
    <definedName name="kjtrkjr" localSheetId="9">{"via1",#N/A,TRUE,"general";"via2",#N/A,TRUE,"general";"via3",#N/A,TRUE,"general"}</definedName>
    <definedName name="kjtrkjr" localSheetId="19">{"via1",#N/A,TRUE,"general";"via2",#N/A,TRUE,"general";"via3",#N/A,TRUE,"general"}</definedName>
    <definedName name="kjtrkjr" localSheetId="28">{"via1",#N/A,TRUE,"general";"via2",#N/A,TRUE,"general";"via3",#N/A,TRUE,"general"}</definedName>
    <definedName name="kjtrkjr" localSheetId="29">{"via1",#N/A,TRUE,"general";"via2",#N/A,TRUE,"general";"via3",#N/A,TRUE,"general"}</definedName>
    <definedName name="kjtrkjr">{"via1",#N/A,TRUE,"general";"via2",#N/A,TRUE,"general";"via3",#N/A,TRUE,"general"}</definedName>
    <definedName name="KK">#REF!</definedName>
    <definedName name="kkkki" localSheetId="39">{"via1",#N/A,TRUE,"general";"via2",#N/A,TRUE,"general";"via3",#N/A,TRUE,"general"}</definedName>
    <definedName name="kkkki" localSheetId="20">{"via1",#N/A,TRUE,"general";"via2",#N/A,TRUE,"general";"via3",#N/A,TRUE,"general"}</definedName>
    <definedName name="kkkki" localSheetId="21">{"via1",#N/A,TRUE,"general";"via2",#N/A,TRUE,"general";"via3",#N/A,TRUE,"general"}</definedName>
    <definedName name="kkkki" localSheetId="9">{"via1",#N/A,TRUE,"general";"via2",#N/A,TRUE,"general";"via3",#N/A,TRUE,"general"}</definedName>
    <definedName name="kkkki" localSheetId="19">{"via1",#N/A,TRUE,"general";"via2",#N/A,TRUE,"general";"via3",#N/A,TRUE,"general"}</definedName>
    <definedName name="kkkki" localSheetId="28">{"via1",#N/A,TRUE,"general";"via2",#N/A,TRUE,"general";"via3",#N/A,TRUE,"general"}</definedName>
    <definedName name="kkkki" localSheetId="29">{"via1",#N/A,TRUE,"general";"via2",#N/A,TRUE,"general";"via3",#N/A,TRUE,"general"}</definedName>
    <definedName name="kkkki">{"via1",#N/A,TRUE,"general";"via2",#N/A,TRUE,"general";"via3",#N/A,TRUE,"general"}</definedName>
    <definedName name="kkkkkki" localSheetId="39">{"TAB1",#N/A,TRUE,"GENERAL";"TAB2",#N/A,TRUE,"GENERAL";"TAB3",#N/A,TRUE,"GENERAL";"TAB4",#N/A,TRUE,"GENERAL";"TAB5",#N/A,TRUE,"GENERAL"}</definedName>
    <definedName name="kkkkkki" localSheetId="20">{"TAB1",#N/A,TRUE,"GENERAL";"TAB2",#N/A,TRUE,"GENERAL";"TAB3",#N/A,TRUE,"GENERAL";"TAB4",#N/A,TRUE,"GENERAL";"TAB5",#N/A,TRUE,"GENERAL"}</definedName>
    <definedName name="kkkkkki" localSheetId="21">{"TAB1",#N/A,TRUE,"GENERAL";"TAB2",#N/A,TRUE,"GENERAL";"TAB3",#N/A,TRUE,"GENERAL";"TAB4",#N/A,TRUE,"GENERAL";"TAB5",#N/A,TRUE,"GENERAL"}</definedName>
    <definedName name="kkkkkki" localSheetId="9">{"TAB1",#N/A,TRUE,"GENERAL";"TAB2",#N/A,TRUE,"GENERAL";"TAB3",#N/A,TRUE,"GENERAL";"TAB4",#N/A,TRUE,"GENERAL";"TAB5",#N/A,TRUE,"GENERAL"}</definedName>
    <definedName name="kkkkkki" localSheetId="19">{"TAB1",#N/A,TRUE,"GENERAL";"TAB2",#N/A,TRUE,"GENERAL";"TAB3",#N/A,TRUE,"GENERAL";"TAB4",#N/A,TRUE,"GENERAL";"TAB5",#N/A,TRUE,"GENERAL"}</definedName>
    <definedName name="kkkkkki" localSheetId="28">{"TAB1",#N/A,TRUE,"GENERAL";"TAB2",#N/A,TRUE,"GENERAL";"TAB3",#N/A,TRUE,"GENERAL";"TAB4",#N/A,TRUE,"GENERAL";"TAB5",#N/A,TRUE,"GENERAL"}</definedName>
    <definedName name="kkkkkki" localSheetId="29">{"TAB1",#N/A,TRUE,"GENERAL";"TAB2",#N/A,TRUE,"GENERAL";"TAB3",#N/A,TRUE,"GENERAL";"TAB4",#N/A,TRUE,"GENERAL";"TAB5",#N/A,TRUE,"GENERAL"}</definedName>
    <definedName name="kkkkkki">{"TAB1",#N/A,TRUE,"GENERAL";"TAB2",#N/A,TRUE,"GENERAL";"TAB3",#N/A,TRUE,"GENERAL";"TAB4",#N/A,TRUE,"GENERAL";"TAB5",#N/A,TRUE,"GENERAL"}</definedName>
    <definedName name="kkkkkkk">#REF!</definedName>
    <definedName name="kkkkkkkk">#REF!</definedName>
    <definedName name="kkkkkkkkkkk">#REF!</definedName>
    <definedName name="KL" localSheetId="17">#REF!</definedName>
    <definedName name="KL" localSheetId="18">#REF!</definedName>
    <definedName name="KL" localSheetId="12">#REF!</definedName>
    <definedName name="KL">3+(ROW(OFFSET(#REF!,0,0,200,1))-1)*0.0301507538</definedName>
    <definedName name="kñy">#REF!</definedName>
    <definedName name="KO" localSheetId="13" hidden="1">#REF!</definedName>
    <definedName name="KO" localSheetId="17" hidden="1">#REF!</definedName>
    <definedName name="KO" localSheetId="18" hidden="1">#REF!</definedName>
    <definedName name="KO" localSheetId="12" hidden="1">#REF!</definedName>
    <definedName name="KO" hidden="1">#REF!</definedName>
    <definedName name="krtrk" localSheetId="39">{"via1",#N/A,TRUE,"general";"via2",#N/A,TRUE,"general";"via3",#N/A,TRUE,"general"}</definedName>
    <definedName name="krtrk" localSheetId="20">{"via1",#N/A,TRUE,"general";"via2",#N/A,TRUE,"general";"via3",#N/A,TRUE,"general"}</definedName>
    <definedName name="krtrk" localSheetId="21">{"via1",#N/A,TRUE,"general";"via2",#N/A,TRUE,"general";"via3",#N/A,TRUE,"general"}</definedName>
    <definedName name="krtrk" localSheetId="9">{"via1",#N/A,TRUE,"general";"via2",#N/A,TRUE,"general";"via3",#N/A,TRUE,"general"}</definedName>
    <definedName name="krtrk" localSheetId="19">{"via1",#N/A,TRUE,"general";"via2",#N/A,TRUE,"general";"via3",#N/A,TRUE,"general"}</definedName>
    <definedName name="krtrk" localSheetId="28">{"via1",#N/A,TRUE,"general";"via2",#N/A,TRUE,"general";"via3",#N/A,TRUE,"general"}</definedName>
    <definedName name="krtrk" localSheetId="29">{"via1",#N/A,TRUE,"general";"via2",#N/A,TRUE,"general";"via3",#N/A,TRUE,"general"}</definedName>
    <definedName name="krtrk">{"via1",#N/A,TRUE,"general";"via2",#N/A,TRUE,"general";"via3",#N/A,TRUE,"general"}</definedName>
    <definedName name="KTES_AL">#REF!</definedName>
    <definedName name="KU">[161]TABLAS!$D$252:$D$256</definedName>
    <definedName name="kuh">#REF!</definedName>
    <definedName name="kuy">#REF!</definedName>
    <definedName name="kyr" localSheetId="39">{"TAB1",#N/A,TRUE,"GENERAL";"TAB2",#N/A,TRUE,"GENERAL";"TAB3",#N/A,TRUE,"GENERAL";"TAB4",#N/A,TRUE,"GENERAL";"TAB5",#N/A,TRUE,"GENERAL"}</definedName>
    <definedName name="kyr" localSheetId="20">{"TAB1",#N/A,TRUE,"GENERAL";"TAB2",#N/A,TRUE,"GENERAL";"TAB3",#N/A,TRUE,"GENERAL";"TAB4",#N/A,TRUE,"GENERAL";"TAB5",#N/A,TRUE,"GENERAL"}</definedName>
    <definedName name="kyr" localSheetId="21">{"TAB1",#N/A,TRUE,"GENERAL";"TAB2",#N/A,TRUE,"GENERAL";"TAB3",#N/A,TRUE,"GENERAL";"TAB4",#N/A,TRUE,"GENERAL";"TAB5",#N/A,TRUE,"GENERAL"}</definedName>
    <definedName name="kyr" localSheetId="9">{"TAB1",#N/A,TRUE,"GENERAL";"TAB2",#N/A,TRUE,"GENERAL";"TAB3",#N/A,TRUE,"GENERAL";"TAB4",#N/A,TRUE,"GENERAL";"TAB5",#N/A,TRUE,"GENERAL"}</definedName>
    <definedName name="kyr" localSheetId="19">{"TAB1",#N/A,TRUE,"GENERAL";"TAB2",#N/A,TRUE,"GENERAL";"TAB3",#N/A,TRUE,"GENERAL";"TAB4",#N/A,TRUE,"GENERAL";"TAB5",#N/A,TRUE,"GENERAL"}</definedName>
    <definedName name="kyr" localSheetId="28">{"TAB1",#N/A,TRUE,"GENERAL";"TAB2",#N/A,TRUE,"GENERAL";"TAB3",#N/A,TRUE,"GENERAL";"TAB4",#N/A,TRUE,"GENERAL";"TAB5",#N/A,TRUE,"GENERAL"}</definedName>
    <definedName name="kyr" localSheetId="29">{"TAB1",#N/A,TRUE,"GENERAL";"TAB2",#N/A,TRUE,"GENERAL";"TAB3",#N/A,TRUE,"GENERAL";"TAB4",#N/A,TRUE,"GENERAL";"TAB5",#N/A,TRUE,"GENERAL"}</definedName>
    <definedName name="kyr">{"TAB1",#N/A,TRUE,"GENERAL";"TAB2",#N/A,TRUE,"GENERAL";"TAB3",#N/A,TRUE,"GENERAL";"TAB4",#N/A,TRUE,"GENERAL";"TAB5",#N/A,TRUE,"GENERAL"}</definedName>
    <definedName name="KYRFH">#REF!</definedName>
    <definedName name="l" comment="Codigo Insumo">[198]Insumos!$A$4:$A$1761</definedName>
    <definedName name="L.L.L.L" localSheetId="9">#REF!</definedName>
    <definedName name="L.L.L.L">#REF!</definedName>
    <definedName name="L_L">#N/A</definedName>
    <definedName name="L21_001">[199]APUs!$G$31</definedName>
    <definedName name="l21_002">[199]APUs!$G$63</definedName>
    <definedName name="l21_003">[199]APUs!$G$123</definedName>
    <definedName name="l21_004">[199]APUs!$G$93</definedName>
    <definedName name="l21_005">[199]APUs!$G$183</definedName>
    <definedName name="l21_006">[199]APUs!$G$213</definedName>
    <definedName name="l21_007">[199]APUs!$G$243</definedName>
    <definedName name="l21_008">[199]APUs!$G$273</definedName>
    <definedName name="l21_009">[199]APUs!$G$303</definedName>
    <definedName name="l21_011">[199]APUs!$G$363</definedName>
    <definedName name="l21_012">[199]APUs!$G$393</definedName>
    <definedName name="l21_013">[199]APUs!$G$423</definedName>
    <definedName name="l21_014">[199]APUs!$G$513</definedName>
    <definedName name="l21_015">[199]APUs!$G$483</definedName>
    <definedName name="l21_016">[199]APUs!$G$543</definedName>
    <definedName name="l21_017">[199]APUs!$G$753</definedName>
    <definedName name="l21_018">[199]APUs!$G$573</definedName>
    <definedName name="l21_019">[199]APUs!$G$693</definedName>
    <definedName name="l21_020">[199]APUs!$G$723</definedName>
    <definedName name="l21_021">[199]APUs!$G$633</definedName>
    <definedName name="L21_022">[199]APUs!$G$663</definedName>
    <definedName name="l21_023">[199]APUs!$G$783</definedName>
    <definedName name="l21_024">[199]APUs!$G$813</definedName>
    <definedName name="l21_025">[199]APUs!$G$843</definedName>
    <definedName name="l21_026">[199]APUs!$G$1263</definedName>
    <definedName name="l21_027">[199]APUs!$G$873</definedName>
    <definedName name="l21_028">[199]APUs!$G$963</definedName>
    <definedName name="l21_029">[199]APUs!$G$903</definedName>
    <definedName name="l21_030">[199]APUs!$G$933</definedName>
    <definedName name="l21_032">[199]APUs!$G$993</definedName>
    <definedName name="l21_033">[199]APUs!$G$1023</definedName>
    <definedName name="l21_034">[199]APUs!$G$1053</definedName>
    <definedName name="l21_035">[199]APUs!$G$1083</definedName>
    <definedName name="l21_036">[199]APUs!$G$1113</definedName>
    <definedName name="l21_038">[199]APUs!$G$1143</definedName>
    <definedName name="l21_039">[199]APUs!$G$1173</definedName>
    <definedName name="l21_040">[199]APUs!$G$1203</definedName>
    <definedName name="l21_042">[199]APUs!$G$1233</definedName>
    <definedName name="La">#REF!</definedName>
    <definedName name="Labour">[131]Constants!$B$10</definedName>
    <definedName name="LADRILLO_COMUN">[31]Materiales!#REF!</definedName>
    <definedName name="Lamparas_2_48">'[40]LISTADO '!$F$107</definedName>
    <definedName name="Last_Row" localSheetId="17">IF(FIDUCIA!Values_Entered,Header_Row+FIDUCIA!Number_of_Payments,Header_Row)</definedName>
    <definedName name="Last_Row" localSheetId="28">IF(PGS!Values_Entered,Header_Row+PGS!Number_of_Payments,Header_Row)</definedName>
    <definedName name="Last_Row" localSheetId="29">IF(PMA!Values_Entered,Header_Row+PMA!Number_of_Payments,Header_Row)</definedName>
    <definedName name="Last_Row" localSheetId="12">IF('Presupuesto Interventoría'!Values_Entered,Header_Row+'Presupuesto Interventoría'!Number_of_Payments,Header_Row)</definedName>
    <definedName name="Last_Row">IF(Values_Entered,Header_Row+Number_of_Payments,Header_Row)</definedName>
    <definedName name="Lavamanos">#REF!</definedName>
    <definedName name="Lb">#REF!</definedName>
    <definedName name="Ld">#REF!</definedName>
    <definedName name="Le">#REF!</definedName>
    <definedName name="Left_Header" localSheetId="13" hidden="1">#REF!</definedName>
    <definedName name="Left_Header" hidden="1">#REF!</definedName>
    <definedName name="lev0.1">#REF!</definedName>
    <definedName name="Lf">#REF!</definedName>
    <definedName name="Lh">#REF!</definedName>
    <definedName name="Li">#REF!</definedName>
    <definedName name="LICITACION" localSheetId="39">#REF!</definedName>
    <definedName name="LICITACION">#REF!</definedName>
    <definedName name="LIGBOQ">#REF!</definedName>
    <definedName name="LIGGARDE">#REF!</definedName>
    <definedName name="LIGRECAP">#REF!</definedName>
    <definedName name="LIGTITRE">#REF!</definedName>
    <definedName name="LIGUERO">#REF!</definedName>
    <definedName name="LIJOIJOI">#REF!</definedName>
    <definedName name="LIMATESA">#REF!</definedName>
    <definedName name="Limatesa_thermo">'[40]LISTADO '!$F$104</definedName>
    <definedName name="limcount" hidden="1">1</definedName>
    <definedName name="LINA">#REF!</definedName>
    <definedName name="line">#REF!</definedName>
    <definedName name="LINEA">[90]DATOS!$B$16</definedName>
    <definedName name="Liner_Bolts">'[177]Fixed Plant Maintenance'!$C$12:$AA$32</definedName>
    <definedName name="liq" localSheetId="13">SUM([41]Resumen!$G$38:$G$41)</definedName>
    <definedName name="liq" localSheetId="28">[43]Resumen!$G$53</definedName>
    <definedName name="liq" localSheetId="29">[43]Resumen!$G$53</definedName>
    <definedName name="liq">[44]Resumen!$G$53</definedName>
    <definedName name="Liquor.SG">#REF!</definedName>
    <definedName name="LISBASE1">'[200]Lista Base'!$A$4:$C$2691</definedName>
    <definedName name="LISBASE2">'[201]Lista Base'!$A$4:$D$1999</definedName>
    <definedName name="LIST">#REF!</definedName>
    <definedName name="List_cuadrillas">[126]Salarios!$D$8:$P$8</definedName>
    <definedName name="LIST1" localSheetId="28">OFFSET([202]Hoja1!$A$6,0,0,COUNTA([202]Hoja1!$B:$B),COUNTA([202]Hoja1!$6:$6)-1)</definedName>
    <definedName name="LIST1" localSheetId="29">OFFSET([202]Hoja1!$A$6,0,0,COUNTA([202]Hoja1!$B:$B),COUNTA([202]Hoja1!$6:$6)-1)</definedName>
    <definedName name="LIST1">OFFSET([203]Hoja1!$A$6,0,0,COUNTA([203]Hoja1!$B:$B),COUNTA([203]Hoja1!$6:$6)-1)</definedName>
    <definedName name="LIST2" localSheetId="28">OFFSET([202]Hoja1!$A$6,0,0,COUNTA([202]Hoja1!$A:$A))</definedName>
    <definedName name="LIST2" localSheetId="29">OFFSET([202]Hoja1!$A$6,0,0,COUNTA([202]Hoja1!$A:$A))</definedName>
    <definedName name="LIST2">OFFSET([203]Hoja1!$A$6,0,0,COUNTA([203]Hoja1!$A:$A))</definedName>
    <definedName name="lista">'[204]HISTORICOS FUEL OIL EXP'!$B$2:$F$89</definedName>
    <definedName name="Lista_Mater">#REF!</definedName>
    <definedName name="Lista_MO">#REF!</definedName>
    <definedName name="LISTA1" localSheetId="28">[205]Lista1!$C$10:$F$448</definedName>
    <definedName name="LISTA1" localSheetId="29">[205]Lista1!$C$10:$F$448</definedName>
    <definedName name="LISTA1">[206]Lista1!$C$10:$F$448</definedName>
    <definedName name="LISTA2">'[207]LISTA DE PRECIOS'!$A$4:$A$26</definedName>
    <definedName name="lista3">[208]Hoja2!$C$2:$C$5</definedName>
    <definedName name="LISTAACT">[36]aactividad!$A$3:$A$15</definedName>
    <definedName name="ListaCantidad">#REF!</definedName>
    <definedName name="listadeprueba">#REF!</definedName>
    <definedName name="LISTADO_ACTIVIDADES">#REF!</definedName>
    <definedName name="LISTADOEQUIPOS">[32]Equipo!$A$16:$A$80</definedName>
    <definedName name="LISTADOMATERIALES">[32]Material!$A$11:$A$1009</definedName>
    <definedName name="LISTADOMO">[32]M.Obra!$A$21:$A$50</definedName>
    <definedName name="LISTADOTRANSPORTES">[32]Transp.!$A$16:$A$50</definedName>
    <definedName name="ListaItem">#REF!</definedName>
    <definedName name="listas">#REF!</definedName>
    <definedName name="ListaUni">[209]TOTALES!$D$7:$D$654</definedName>
    <definedName name="LISTON_2_2">'[33]LISTADO '!$F$22</definedName>
    <definedName name="LISTON_2_4">'[33]LISTADO '!$F$21</definedName>
    <definedName name="LISTON_DE_2X4X15">#REF!</definedName>
    <definedName name="LISTON2">[210]PRECIOS!$B$90</definedName>
    <definedName name="LISTON2x4x15">[210]PRECIOS!$B$45</definedName>
    <definedName name="liuoo" localSheetId="39">{"TAB1",#N/A,TRUE,"GENERAL";"TAB2",#N/A,TRUE,"GENERAL";"TAB3",#N/A,TRUE,"GENERAL";"TAB4",#N/A,TRUE,"GENERAL";"TAB5",#N/A,TRUE,"GENERAL"}</definedName>
    <definedName name="liuoo" localSheetId="20">{"TAB1",#N/A,TRUE,"GENERAL";"TAB2",#N/A,TRUE,"GENERAL";"TAB3",#N/A,TRUE,"GENERAL";"TAB4",#N/A,TRUE,"GENERAL";"TAB5",#N/A,TRUE,"GENERAL"}</definedName>
    <definedName name="liuoo" localSheetId="21">{"TAB1",#N/A,TRUE,"GENERAL";"TAB2",#N/A,TRUE,"GENERAL";"TAB3",#N/A,TRUE,"GENERAL";"TAB4",#N/A,TRUE,"GENERAL";"TAB5",#N/A,TRUE,"GENERAL"}</definedName>
    <definedName name="liuoo" localSheetId="9">{"TAB1",#N/A,TRUE,"GENERAL";"TAB2",#N/A,TRUE,"GENERAL";"TAB3",#N/A,TRUE,"GENERAL";"TAB4",#N/A,TRUE,"GENERAL";"TAB5",#N/A,TRUE,"GENERAL"}</definedName>
    <definedName name="liuoo" localSheetId="19">{"TAB1",#N/A,TRUE,"GENERAL";"TAB2",#N/A,TRUE,"GENERAL";"TAB3",#N/A,TRUE,"GENERAL";"TAB4",#N/A,TRUE,"GENERAL";"TAB5",#N/A,TRUE,"GENERAL"}</definedName>
    <definedName name="liuoo" localSheetId="28">{"TAB1",#N/A,TRUE,"GENERAL";"TAB2",#N/A,TRUE,"GENERAL";"TAB3",#N/A,TRUE,"GENERAL";"TAB4",#N/A,TRUE,"GENERAL";"TAB5",#N/A,TRUE,"GENERAL"}</definedName>
    <definedName name="liuoo" localSheetId="29">{"TAB1",#N/A,TRUE,"GENERAL";"TAB2",#N/A,TRUE,"GENERAL";"TAB3",#N/A,TRUE,"GENERAL";"TAB4",#N/A,TRUE,"GENERAL";"TAB5",#N/A,TRUE,"GENERAL"}</definedName>
    <definedName name="liuoo">{"TAB1",#N/A,TRUE,"GENERAL";"TAB2",#N/A,TRUE,"GENERAL";"TAB3",#N/A,TRUE,"GENERAL";"TAB4",#N/A,TRUE,"GENERAL";"TAB5",#N/A,TRUE,"GENERAL"}</definedName>
    <definedName name="Lj">#REF!</definedName>
    <definedName name="lk">#REF!</definedName>
    <definedName name="lkj" localSheetId="39">{"via1",#N/A,TRUE,"general";"via2",#N/A,TRUE,"general";"via3",#N/A,TRUE,"general"}</definedName>
    <definedName name="lkj" localSheetId="20">{"via1",#N/A,TRUE,"general";"via2",#N/A,TRUE,"general";"via3",#N/A,TRUE,"general"}</definedName>
    <definedName name="lkj" localSheetId="21">{"via1",#N/A,TRUE,"general";"via2",#N/A,TRUE,"general";"via3",#N/A,TRUE,"general"}</definedName>
    <definedName name="lkj" localSheetId="9">{"via1",#N/A,TRUE,"general";"via2",#N/A,TRUE,"general";"via3",#N/A,TRUE,"general"}</definedName>
    <definedName name="lkj" localSheetId="19">{"via1",#N/A,TRUE,"general";"via2",#N/A,TRUE,"general";"via3",#N/A,TRUE,"general"}</definedName>
    <definedName name="lkj" localSheetId="28">{"via1",#N/A,TRUE,"general";"via2",#N/A,TRUE,"general";"via3",#N/A,TRUE,"general"}</definedName>
    <definedName name="lkj" localSheetId="29">{"via1",#N/A,TRUE,"general";"via2",#N/A,TRUE,"general";"via3",#N/A,TRUE,"general"}</definedName>
    <definedName name="lkj">{"via1",#N/A,TRUE,"general";"via2",#N/A,TRUE,"general";"via3",#N/A,TRUE,"general"}</definedName>
    <definedName name="LKJLJK" localSheetId="39">{"TAB1",#N/A,TRUE,"GENERAL";"TAB2",#N/A,TRUE,"GENERAL";"TAB3",#N/A,TRUE,"GENERAL";"TAB4",#N/A,TRUE,"GENERAL";"TAB5",#N/A,TRUE,"GENERAL"}</definedName>
    <definedName name="LKJLJK" localSheetId="20">{"TAB1",#N/A,TRUE,"GENERAL";"TAB2",#N/A,TRUE,"GENERAL";"TAB3",#N/A,TRUE,"GENERAL";"TAB4",#N/A,TRUE,"GENERAL";"TAB5",#N/A,TRUE,"GENERAL"}</definedName>
    <definedName name="LKJLJK" localSheetId="21">{"TAB1",#N/A,TRUE,"GENERAL";"TAB2",#N/A,TRUE,"GENERAL";"TAB3",#N/A,TRUE,"GENERAL";"TAB4",#N/A,TRUE,"GENERAL";"TAB5",#N/A,TRUE,"GENERAL"}</definedName>
    <definedName name="LKJLJK" localSheetId="9">{"TAB1",#N/A,TRUE,"GENERAL";"TAB2",#N/A,TRUE,"GENERAL";"TAB3",#N/A,TRUE,"GENERAL";"TAB4",#N/A,TRUE,"GENERAL";"TAB5",#N/A,TRUE,"GENERAL"}</definedName>
    <definedName name="LKJLJK" localSheetId="19">{"TAB1",#N/A,TRUE,"GENERAL";"TAB2",#N/A,TRUE,"GENERAL";"TAB3",#N/A,TRUE,"GENERAL";"TAB4",#N/A,TRUE,"GENERAL";"TAB5",#N/A,TRUE,"GENERAL"}</definedName>
    <definedName name="LKJLJK" localSheetId="28">{"TAB1",#N/A,TRUE,"GENERAL";"TAB2",#N/A,TRUE,"GENERAL";"TAB3",#N/A,TRUE,"GENERAL";"TAB4",#N/A,TRUE,"GENERAL";"TAB5",#N/A,TRUE,"GENERAL"}</definedName>
    <definedName name="LKJLJK" localSheetId="29">{"TAB1",#N/A,TRUE,"GENERAL";"TAB2",#N/A,TRUE,"GENERAL";"TAB3",#N/A,TRUE,"GENERAL";"TAB4",#N/A,TRUE,"GENERAL";"TAB5",#N/A,TRUE,"GENERAL"}</definedName>
    <definedName name="LKJLJK">{"TAB1",#N/A,TRUE,"GENERAL";"TAB2",#N/A,TRUE,"GENERAL";"TAB3",#N/A,TRUE,"GENERAL";"TAB4",#N/A,TRUE,"GENERAL";"TAB5",#N/A,TRUE,"GENERAL"}</definedName>
    <definedName name="lkkl">#REF!</definedName>
    <definedName name="LL" localSheetId="9">#REF!</definedName>
    <definedName name="ll" localSheetId="17">[126]PRESUPUESTO!#REF!</definedName>
    <definedName name="ll" localSheetId="18">[126]PRESUPUESTO!#REF!</definedName>
    <definedName name="ll" localSheetId="12">[126]PRESUPUESTO!#REF!</definedName>
    <definedName name="LL">#REF!</definedName>
    <definedName name="LLANTAS" localSheetId="9">#REF!</definedName>
    <definedName name="LLANTAS">#REF!</definedName>
    <definedName name="LLAVE_DE_CHORRO_1_2">#REF!</definedName>
    <definedName name="LLAVE_DE_PASO_1_2">#REF!</definedName>
    <definedName name="LLC_north_perc">50</definedName>
    <definedName name="LLC_south_perc">100</definedName>
    <definedName name="Lll">#REF!</definedName>
    <definedName name="llll">#REF!</definedName>
    <definedName name="lllllh" localSheetId="39">{"via1",#N/A,TRUE,"general";"via2",#N/A,TRUE,"general";"via3",#N/A,TRUE,"general"}</definedName>
    <definedName name="lllllh" localSheetId="20">{"via1",#N/A,TRUE,"general";"via2",#N/A,TRUE,"general";"via3",#N/A,TRUE,"general"}</definedName>
    <definedName name="lllllh" localSheetId="21">{"via1",#N/A,TRUE,"general";"via2",#N/A,TRUE,"general";"via3",#N/A,TRUE,"general"}</definedName>
    <definedName name="lllllh" localSheetId="9">{"via1",#N/A,TRUE,"general";"via2",#N/A,TRUE,"general";"via3",#N/A,TRUE,"general"}</definedName>
    <definedName name="lllllh" localSheetId="19">{"via1",#N/A,TRUE,"general";"via2",#N/A,TRUE,"general";"via3",#N/A,TRUE,"general"}</definedName>
    <definedName name="lllllh" localSheetId="28">{"via1",#N/A,TRUE,"general";"via2",#N/A,TRUE,"general";"via3",#N/A,TRUE,"general"}</definedName>
    <definedName name="lllllh" localSheetId="29">{"via1",#N/A,TRUE,"general";"via2",#N/A,TRUE,"general";"via3",#N/A,TRUE,"general"}</definedName>
    <definedName name="lllllh">{"via1",#N/A,TRUE,"general";"via2",#N/A,TRUE,"general";"via3",#N/A,TRUE,"general"}</definedName>
    <definedName name="LLLLLL" localSheetId="28">[211]MAT!$C$231</definedName>
    <definedName name="LLLLLL" localSheetId="29">[211]MAT!$C$231</definedName>
    <definedName name="LLLLLL">[212]MAT!$C$231</definedName>
    <definedName name="lllllllllll">#REF!</definedName>
    <definedName name="lllllllo" localSheetId="39">{"via1",#N/A,TRUE,"general";"via2",#N/A,TRUE,"general";"via3",#N/A,TRUE,"general"}</definedName>
    <definedName name="lllllllo" localSheetId="20">{"via1",#N/A,TRUE,"general";"via2",#N/A,TRUE,"general";"via3",#N/A,TRUE,"general"}</definedName>
    <definedName name="lllllllo" localSheetId="21">{"via1",#N/A,TRUE,"general";"via2",#N/A,TRUE,"general";"via3",#N/A,TRUE,"general"}</definedName>
    <definedName name="lllllllo" localSheetId="9">{"via1",#N/A,TRUE,"general";"via2",#N/A,TRUE,"general";"via3",#N/A,TRUE,"general"}</definedName>
    <definedName name="lllllllo" localSheetId="19">{"via1",#N/A,TRUE,"general";"via2",#N/A,TRUE,"general";"via3",#N/A,TRUE,"general"}</definedName>
    <definedName name="lllllllo" localSheetId="28">{"via1",#N/A,TRUE,"general";"via2",#N/A,TRUE,"general";"via3",#N/A,TRUE,"general"}</definedName>
    <definedName name="lllllllo" localSheetId="29">{"via1",#N/A,TRUE,"general";"via2",#N/A,TRUE,"general";"via3",#N/A,TRUE,"general"}</definedName>
    <definedName name="lllllllo">{"via1",#N/A,TRUE,"general";"via2",#N/A,TRUE,"general";"via3",#N/A,TRUE,"general"}</definedName>
    <definedName name="LLUVIA">#REF!</definedName>
    <definedName name="LM">#REF!</definedName>
    <definedName name="lmf">'[213]BASE DE DATOS ORIG'!#REF!</definedName>
    <definedName name="LMO">[214]MO!$A$2:$A$188</definedName>
    <definedName name="Ln">#REF!</definedName>
    <definedName name="LngCantVehic">#REF!</definedName>
    <definedName name="LngKilometrajeAnno">#REF!</definedName>
    <definedName name="LngKilometrajeAno">#REF!</definedName>
    <definedName name="LngNumPeriodosGracia">#REF!</definedName>
    <definedName name="LngPickupKilometros">#REF!</definedName>
    <definedName name="LngPlazoRenting">#REF!</definedName>
    <definedName name="LngTiempoDepreciarMeses">#REF!</definedName>
    <definedName name="Lñ">#REF!</definedName>
    <definedName name="LÑP">#REF!</definedName>
    <definedName name="LO">#REF!</definedName>
    <definedName name="Loan_Amount">#REF!</definedName>
    <definedName name="Loan_Start">#REF!</definedName>
    <definedName name="Loan_Years">#REF!</definedName>
    <definedName name="LOCA" localSheetId="35">[30]!absc</definedName>
    <definedName name="LOCA" localSheetId="38">[30]!absc</definedName>
    <definedName name="LOCA" localSheetId="56">[30]!absc</definedName>
    <definedName name="LOCA" localSheetId="77">[30]!absc</definedName>
    <definedName name="LOCA" localSheetId="78">[30]!absc</definedName>
    <definedName name="LOCA" localSheetId="72">[30]!absc</definedName>
    <definedName name="LOCA" localSheetId="73">[30]!absc</definedName>
    <definedName name="LOCA" localSheetId="74">[30]!absc</definedName>
    <definedName name="LOCA" localSheetId="75">[30]!absc</definedName>
    <definedName name="LOCA" localSheetId="76">[30]!absc</definedName>
    <definedName name="LOCA" localSheetId="79">[30]!absc</definedName>
    <definedName name="LOCA" localSheetId="22">[30]!absc</definedName>
    <definedName name="LOCA" localSheetId="21">[30]!absc</definedName>
    <definedName name="LOCA" localSheetId="17">[215]!absc</definedName>
    <definedName name="LOCA" localSheetId="18">[215]!absc</definedName>
    <definedName name="LOCA" localSheetId="23">[30]!absc</definedName>
    <definedName name="LOCA" localSheetId="26">[30]!absc</definedName>
    <definedName name="LOCA" localSheetId="24">[30]!absc</definedName>
    <definedName name="LOCA" localSheetId="12">[215]!absc</definedName>
    <definedName name="LOCA">[30]!absc</definedName>
    <definedName name="LOCA1" localSheetId="22">[66]!absc</definedName>
    <definedName name="LOCA1" localSheetId="21">[66]!absc</definedName>
    <definedName name="LOCA1">[66]!absc</definedName>
    <definedName name="LOCALIZACION">#REF!</definedName>
    <definedName name="LOCALIZACIÓN_Y_REPLANTEO._ESTRUCTURAS">[127]INDICE!#REF!</definedName>
    <definedName name="location">'[136]REF - Listas'!$B$41:$B$47</definedName>
    <definedName name="location1">#REF!</definedName>
    <definedName name="logLiquida">#REF!</definedName>
    <definedName name="LOI">#REF!</definedName>
    <definedName name="LOLA">#REF!</definedName>
    <definedName name="lolol" localSheetId="39">{"TAB1",#N/A,TRUE,"GENERAL";"TAB2",#N/A,TRUE,"GENERAL";"TAB3",#N/A,TRUE,"GENERAL";"TAB4",#N/A,TRUE,"GENERAL";"TAB5",#N/A,TRUE,"GENERAL"}</definedName>
    <definedName name="lolol" localSheetId="20">{"TAB1",#N/A,TRUE,"GENERAL";"TAB2",#N/A,TRUE,"GENERAL";"TAB3",#N/A,TRUE,"GENERAL";"TAB4",#N/A,TRUE,"GENERAL";"TAB5",#N/A,TRUE,"GENERAL"}</definedName>
    <definedName name="lolol" localSheetId="21">{"TAB1",#N/A,TRUE,"GENERAL";"TAB2",#N/A,TRUE,"GENERAL";"TAB3",#N/A,TRUE,"GENERAL";"TAB4",#N/A,TRUE,"GENERAL";"TAB5",#N/A,TRUE,"GENERAL"}</definedName>
    <definedName name="lolol" localSheetId="9">{"TAB1",#N/A,TRUE,"GENERAL";"TAB2",#N/A,TRUE,"GENERAL";"TAB3",#N/A,TRUE,"GENERAL";"TAB4",#N/A,TRUE,"GENERAL";"TAB5",#N/A,TRUE,"GENERAL"}</definedName>
    <definedName name="lolol" localSheetId="19">{"TAB1",#N/A,TRUE,"GENERAL";"TAB2",#N/A,TRUE,"GENERAL";"TAB3",#N/A,TRUE,"GENERAL";"TAB4",#N/A,TRUE,"GENERAL";"TAB5",#N/A,TRUE,"GENERAL"}</definedName>
    <definedName name="lolol" localSheetId="28">{"TAB1",#N/A,TRUE,"GENERAL";"TAB2",#N/A,TRUE,"GENERAL";"TAB3",#N/A,TRUE,"GENERAL";"TAB4",#N/A,TRUE,"GENERAL";"TAB5",#N/A,TRUE,"GENERAL"}</definedName>
    <definedName name="lolol" localSheetId="29">{"TAB1",#N/A,TRUE,"GENERAL";"TAB2",#N/A,TRUE,"GENERAL";"TAB3",#N/A,TRUE,"GENERAL";"TAB4",#N/A,TRUE,"GENERAL";"TAB5",#N/A,TRUE,"GENERAL"}</definedName>
    <definedName name="lolol">{"TAB1",#N/A,TRUE,"GENERAL";"TAB2",#N/A,TRUE,"GENERAL";"TAB3",#N/A,TRUE,"GENERAL";"TAB4",#N/A,TRUE,"GENERAL";"TAB5",#N/A,TRUE,"GENERAL"}</definedName>
    <definedName name="Longitud" localSheetId="9">#REF!</definedName>
    <definedName name="Longitud" localSheetId="17">#REF!</definedName>
    <definedName name="Longitud" localSheetId="18">#REF!</definedName>
    <definedName name="Longitud" localSheetId="12">#REF!</definedName>
    <definedName name="Longitud">#REF!</definedName>
    <definedName name="Longitud1" localSheetId="9">#REF!</definedName>
    <definedName name="Longitud1" localSheetId="17">#REF!</definedName>
    <definedName name="Longitud1" localSheetId="18">#REF!</definedName>
    <definedName name="Longitud1" localSheetId="12">#REF!</definedName>
    <definedName name="Longitud1">#REF!</definedName>
    <definedName name="Longitud2" localSheetId="9">#REF!</definedName>
    <definedName name="Longitud2" localSheetId="17">#REF!</definedName>
    <definedName name="Longitud2" localSheetId="18">#REF!</definedName>
    <definedName name="Longitud2" localSheetId="12">#REF!</definedName>
    <definedName name="Longitud2">#REF!</definedName>
    <definedName name="LOPE">#REF!</definedName>
    <definedName name="lote">#REF!</definedName>
    <definedName name="LP">'[74]CIRCUITOS CODENSA'!#REF!</definedName>
    <definedName name="lplpl" localSheetId="39">{"via1",#N/A,TRUE,"general";"via2",#N/A,TRUE,"general";"via3",#N/A,TRUE,"general"}</definedName>
    <definedName name="lplpl" localSheetId="20">{"via1",#N/A,TRUE,"general";"via2",#N/A,TRUE,"general";"via3",#N/A,TRUE,"general"}</definedName>
    <definedName name="lplpl" localSheetId="21">{"via1",#N/A,TRUE,"general";"via2",#N/A,TRUE,"general";"via3",#N/A,TRUE,"general"}</definedName>
    <definedName name="lplpl" localSheetId="9">{"via1",#N/A,TRUE,"general";"via2",#N/A,TRUE,"general";"via3",#N/A,TRUE,"general"}</definedName>
    <definedName name="lplpl" localSheetId="19">{"via1",#N/A,TRUE,"general";"via2",#N/A,TRUE,"general";"via3",#N/A,TRUE,"general"}</definedName>
    <definedName name="lplpl" localSheetId="28">{"via1",#N/A,TRUE,"general";"via2",#N/A,TRUE,"general";"via3",#N/A,TRUE,"general"}</definedName>
    <definedName name="lplpl" localSheetId="29">{"via1",#N/A,TRUE,"general";"via2",#N/A,TRUE,"general";"via3",#N/A,TRUE,"general"}</definedName>
    <definedName name="lplpl">{"via1",#N/A,TRUE,"general";"via2",#N/A,TRUE,"general";"via3",#N/A,TRUE,"general"}</definedName>
    <definedName name="Lq">#REF!</definedName>
    <definedName name="Lr">#REF!</definedName>
    <definedName name="Ls">#REF!</definedName>
    <definedName name="Lt">#REF!</definedName>
    <definedName name="Lu">#REF!</definedName>
    <definedName name="LubeCostOutput">#REF!</definedName>
    <definedName name="LUBRICANTE">[31]Materiales!#REF!</definedName>
    <definedName name="LUCY">#N/A</definedName>
    <definedName name="Lw">[14]Cálculo!$B$130</definedName>
    <definedName name="Lz">#REF!</definedName>
    <definedName name="m">#REF!</definedName>
    <definedName name="M.O" comment="Mano de obra" localSheetId="28">[85]M.Obra!$B$35:$B$42</definedName>
    <definedName name="M.O" comment="Mano de obra" localSheetId="29">[85]M.Obra!$B$35:$B$42</definedName>
    <definedName name="M.O" comment="Mano de obra">[86]M.Obra!$B$35:$B$42</definedName>
    <definedName name="Ma">#REF!</definedName>
    <definedName name="mac">#REF!</definedName>
    <definedName name="MACROMEDIDOR__3__B_x_B">#REF!</definedName>
    <definedName name="MACROMEDIDOR_4__B_x_B">#REF!</definedName>
    <definedName name="MACROMEDIDORES">#REF!</definedName>
    <definedName name="Maestro">'[33]M.O.'!$F$16</definedName>
    <definedName name="mafdsf" localSheetId="39">{"via1",#N/A,TRUE,"general";"via2",#N/A,TRUE,"general";"via3",#N/A,TRUE,"general"}</definedName>
    <definedName name="mafdsf" localSheetId="20">{"via1",#N/A,TRUE,"general";"via2",#N/A,TRUE,"general";"via3",#N/A,TRUE,"general"}</definedName>
    <definedName name="mafdsf" localSheetId="21">{"via1",#N/A,TRUE,"general";"via2",#N/A,TRUE,"general";"via3",#N/A,TRUE,"general"}</definedName>
    <definedName name="mafdsf" localSheetId="9">{"via1",#N/A,TRUE,"general";"via2",#N/A,TRUE,"general";"via3",#N/A,TRUE,"general"}</definedName>
    <definedName name="mafdsf" localSheetId="19">{"via1",#N/A,TRUE,"general";"via2",#N/A,TRUE,"general";"via3",#N/A,TRUE,"general"}</definedName>
    <definedName name="mafdsf" localSheetId="28">{"via1",#N/A,TRUE,"general";"via2",#N/A,TRUE,"general";"via3",#N/A,TRUE,"general"}</definedName>
    <definedName name="mafdsf" localSheetId="29">{"via1",#N/A,TRUE,"general";"via2",#N/A,TRUE,"general";"via3",#N/A,TRUE,"general"}</definedName>
    <definedName name="mafdsf">{"via1",#N/A,TRUE,"general";"via2",#N/A,TRUE,"general";"via3",#N/A,TRUE,"general"}</definedName>
    <definedName name="Maint_Labour_Factor">[216]Index!$U$62</definedName>
    <definedName name="MaintManHours">[77]Parameters!$R$19</definedName>
    <definedName name="MAL">'[217]Estado Resumen'!#REF!&lt;2.5</definedName>
    <definedName name="MALLA">#REF!</definedName>
    <definedName name="MALO">'[218]ESTADO VÍA-CRIT.TECNICO'!#REF!&lt;2.5</definedName>
    <definedName name="MALO4006">#REF!</definedName>
    <definedName name="MALO4006A">#REF!</definedName>
    <definedName name="MALO40CN01">#REF!</definedName>
    <definedName name="MALO40CNA">#REF!</definedName>
    <definedName name="MALO40CNB">#REF!</definedName>
    <definedName name="MALO55CN01">#REF!</definedName>
    <definedName name="MALO55CN03">#REF!</definedName>
    <definedName name="MALO5607">#REF!</definedName>
    <definedName name="MALOAFIR5607">#REF!</definedName>
    <definedName name="mama" localSheetId="20" hidden="1">#REF!</definedName>
    <definedName name="mama" localSheetId="21" hidden="1">#REF!</definedName>
    <definedName name="mama" localSheetId="9" hidden="1">#REF!</definedName>
    <definedName name="mama" localSheetId="19" hidden="1">#REF!</definedName>
    <definedName name="mama" localSheetId="13" hidden="1">'[219]Datos-Gráfica-Apartada'!#REF!</definedName>
    <definedName name="mama" localSheetId="17" hidden="1">'[219]Datos-Gráfica-Apartada'!#REF!</definedName>
    <definedName name="mama" localSheetId="18" hidden="1">'[219]Datos-Gráfica-Apartada'!#REF!</definedName>
    <definedName name="mama" localSheetId="12" hidden="1">'[219]Datos-Gráfica-Apartada'!#REF!</definedName>
    <definedName name="mama" hidden="1">#REF!</definedName>
    <definedName name="MANGLE">#REF!</definedName>
    <definedName name="MANO" localSheetId="28">'[220]MANO '!$A$1:$IV$65536</definedName>
    <definedName name="MANO" localSheetId="29">'[220]MANO '!$A$1:$IV$65536</definedName>
    <definedName name="MANO">'[221]MANO '!$A$1:$IV$65536</definedName>
    <definedName name="MANODEOBRA">[32]M.Obra!$A$21:$I$50</definedName>
    <definedName name="mantenimiento">'[222]COSTOS OFICINA'!#REF!</definedName>
    <definedName name="MANTO">'[81]BASE DE DATOS ORIG'!#REF!</definedName>
    <definedName name="manufactures_lead_time">#REF!</definedName>
    <definedName name="mao" localSheetId="39">{"TAB1",#N/A,TRUE,"GENERAL";"TAB2",#N/A,TRUE,"GENERAL";"TAB3",#N/A,TRUE,"GENERAL";"TAB4",#N/A,TRUE,"GENERAL";"TAB5",#N/A,TRUE,"GENERAL"}</definedName>
    <definedName name="mao" localSheetId="20">{"TAB1",#N/A,TRUE,"GENERAL";"TAB2",#N/A,TRUE,"GENERAL";"TAB3",#N/A,TRUE,"GENERAL";"TAB4",#N/A,TRUE,"GENERAL";"TAB5",#N/A,TRUE,"GENERAL"}</definedName>
    <definedName name="mao" localSheetId="21">{"TAB1",#N/A,TRUE,"GENERAL";"TAB2",#N/A,TRUE,"GENERAL";"TAB3",#N/A,TRUE,"GENERAL";"TAB4",#N/A,TRUE,"GENERAL";"TAB5",#N/A,TRUE,"GENERAL"}</definedName>
    <definedName name="mao" localSheetId="9">{"TAB1",#N/A,TRUE,"GENERAL";"TAB2",#N/A,TRUE,"GENERAL";"TAB3",#N/A,TRUE,"GENERAL";"TAB4",#N/A,TRUE,"GENERAL";"TAB5",#N/A,TRUE,"GENERAL"}</definedName>
    <definedName name="mao" localSheetId="19">{"TAB1",#N/A,TRUE,"GENERAL";"TAB2",#N/A,TRUE,"GENERAL";"TAB3",#N/A,TRUE,"GENERAL";"TAB4",#N/A,TRUE,"GENERAL";"TAB5",#N/A,TRUE,"GENERAL"}</definedName>
    <definedName name="mao" localSheetId="28">{"TAB1",#N/A,TRUE,"GENERAL";"TAB2",#N/A,TRUE,"GENERAL";"TAB3",#N/A,TRUE,"GENERAL";"TAB4",#N/A,TRUE,"GENERAL";"TAB5",#N/A,TRUE,"GENERAL"}</definedName>
    <definedName name="mao" localSheetId="29">{"TAB1",#N/A,TRUE,"GENERAL";"TAB2",#N/A,TRUE,"GENERAL";"TAB3",#N/A,TRUE,"GENERAL";"TAB4",#N/A,TRUE,"GENERAL";"TAB5",#N/A,TRUE,"GENERAL"}</definedName>
    <definedName name="mao">{"TAB1",#N/A,TRUE,"GENERAL";"TAB2",#N/A,TRUE,"GENERAL";"TAB3",#N/A,TRUE,"GENERAL";"TAB4",#N/A,TRUE,"GENERAL";"TAB5",#N/A,TRUE,"GENERAL"}</definedName>
    <definedName name="maow" localSheetId="39">{"via1",#N/A,TRUE,"general";"via2",#N/A,TRUE,"general";"via3",#N/A,TRUE,"general"}</definedName>
    <definedName name="maow" localSheetId="20">{"via1",#N/A,TRUE,"general";"via2",#N/A,TRUE,"general";"via3",#N/A,TRUE,"general"}</definedName>
    <definedName name="maow" localSheetId="21">{"via1",#N/A,TRUE,"general";"via2",#N/A,TRUE,"general";"via3",#N/A,TRUE,"general"}</definedName>
    <definedName name="maow" localSheetId="9">{"via1",#N/A,TRUE,"general";"via2",#N/A,TRUE,"general";"via3",#N/A,TRUE,"general"}</definedName>
    <definedName name="maow" localSheetId="19">{"via1",#N/A,TRUE,"general";"via2",#N/A,TRUE,"general";"via3",#N/A,TRUE,"general"}</definedName>
    <definedName name="maow" localSheetId="28">{"via1",#N/A,TRUE,"general";"via2",#N/A,TRUE,"general";"via3",#N/A,TRUE,"general"}</definedName>
    <definedName name="maow" localSheetId="29">{"via1",#N/A,TRUE,"general";"via2",#N/A,TRUE,"general";"via3",#N/A,TRUE,"general"}</definedName>
    <definedName name="maow">{"via1",#N/A,TRUE,"general";"via2",#N/A,TRUE,"general";"via3",#N/A,TRUE,"general"}</definedName>
    <definedName name="maq">[223]insumos!$G$8:$G$40</definedName>
    <definedName name="MAQUINAR">[224]Insum!$A$68:$H$98</definedName>
    <definedName name="Maquinaria">[225]Insum!$A$76:$E$99</definedName>
    <definedName name="MAR">#REF!</definedName>
    <definedName name="mar00">[17]Dólar!#REF!</definedName>
    <definedName name="marc06">[17]Gastos!#REF!</definedName>
    <definedName name="marcolegal">[37]Listado!$T$2:$T$12</definedName>
    <definedName name="MargenComercial">#REF!</definedName>
    <definedName name="MargenFinanciero">#REF!</definedName>
    <definedName name="marol">#REF!</definedName>
    <definedName name="marol1">#REF!</definedName>
    <definedName name="MARTA">#N/A</definedName>
    <definedName name="MARTHA">[90]DATOS!$A$9</definedName>
    <definedName name="masor" localSheetId="39">{"via1",#N/A,TRUE,"general";"via2",#N/A,TRUE,"general";"via3",#N/A,TRUE,"general"}</definedName>
    <definedName name="masor" localSheetId="20">{"via1",#N/A,TRUE,"general";"via2",#N/A,TRUE,"general";"via3",#N/A,TRUE,"general"}</definedName>
    <definedName name="masor" localSheetId="21">{"via1",#N/A,TRUE,"general";"via2",#N/A,TRUE,"general";"via3",#N/A,TRUE,"general"}</definedName>
    <definedName name="masor" localSheetId="9">{"via1",#N/A,TRUE,"general";"via2",#N/A,TRUE,"general";"via3",#N/A,TRUE,"general"}</definedName>
    <definedName name="masor" localSheetId="19">{"via1",#N/A,TRUE,"general";"via2",#N/A,TRUE,"general";"via3",#N/A,TRUE,"general"}</definedName>
    <definedName name="masor" localSheetId="28">{"via1",#N/A,TRUE,"general";"via2",#N/A,TRUE,"general";"via3",#N/A,TRUE,"general"}</definedName>
    <definedName name="masor" localSheetId="29">{"via1",#N/A,TRUE,"general";"via2",#N/A,TRUE,"general";"via3",#N/A,TRUE,"general"}</definedName>
    <definedName name="masor">{"via1",#N/A,TRUE,"general";"via2",#N/A,TRUE,"general";"via3",#N/A,TRUE,"general"}</definedName>
    <definedName name="MastDetail">#REF!</definedName>
    <definedName name="MastHeading">#REF!</definedName>
    <definedName name="MAT" localSheetId="9">#REF!</definedName>
    <definedName name="MAT" localSheetId="17">#REF!</definedName>
    <definedName name="MAT" localSheetId="18">#REF!</definedName>
    <definedName name="MAT" localSheetId="12">#REF!</definedName>
    <definedName name="MAT">#REF!</definedName>
    <definedName name="MATE">[127]Materiales!$A:$IV</definedName>
    <definedName name="MATER">[153]MATERIAL!$B$3:$B$580</definedName>
    <definedName name="MATERIAL_AMARILLO_SELECCIONADO">[31]Materiales!#REF!</definedName>
    <definedName name="MATERIAL_FILTRANTE">#REF!</definedName>
    <definedName name="Material_seleccionado">'[33]LISTADO '!$F$11</definedName>
    <definedName name="MaterialesNombre" localSheetId="28">[226]materiales!$A$3:$A$348</definedName>
    <definedName name="MaterialesNombre" localSheetId="29">[226]materiales!$A$3:$A$348</definedName>
    <definedName name="MaterialesNombre">[227]materiales!$A$3:$A$348</definedName>
    <definedName name="MaterialSeleccionado">#REF!</definedName>
    <definedName name="MaterialTub">#REF!</definedName>
    <definedName name="matgranular">[55]lisprecios!#REF!</definedName>
    <definedName name="MATRIZ_UNITARIOS">[228]unitarios!$A$2:$G$146</definedName>
    <definedName name="MATRIZRICS">'[229]RICS NUEVA HOJA DIARIA'!$A$1:$AB$42</definedName>
    <definedName name="maxcosto">[65]ctb!$D$1</definedName>
    <definedName name="maxdeficit">#REF!</definedName>
    <definedName name="MAY">#REF!</definedName>
    <definedName name="may00">[17]Dólar!#REF!</definedName>
    <definedName name="Mb">#REF!</definedName>
    <definedName name="mcb" localSheetId="39">'[26]Gabinetes ctrol, prot. y med. '!#REF!</definedName>
    <definedName name="mcb" localSheetId="20">'[26]Gabinetes ctrol, prot. y med. '!#REF!</definedName>
    <definedName name="mcb" localSheetId="21">'[26]Gabinetes ctrol, prot. y med. '!#REF!</definedName>
    <definedName name="mcb" localSheetId="9">'[26]Gabinetes ctrol, prot. y med. '!#REF!</definedName>
    <definedName name="mcb">'[26]Gabinetes ctrol, prot. y med. '!#REF!</definedName>
    <definedName name="mcbb" localSheetId="39">'[26]Gabinetes ctrol, prot. y med. '!#REF!</definedName>
    <definedName name="mcbb" localSheetId="20">'[26]Gabinetes ctrol, prot. y med. '!#REF!</definedName>
    <definedName name="mcbb" localSheetId="21">'[26]Gabinetes ctrol, prot. y med. '!#REF!</definedName>
    <definedName name="mcbb">'[26]Gabinetes ctrol, prot. y med. '!#REF!</definedName>
    <definedName name="mColumna">[230]MATRIZ1!$A$2</definedName>
    <definedName name="mdd" localSheetId="39">{"via1",#N/A,TRUE,"general";"via2",#N/A,TRUE,"general";"via3",#N/A,TRUE,"general"}</definedName>
    <definedName name="mdd" localSheetId="20">{"via1",#N/A,TRUE,"general";"via2",#N/A,TRUE,"general";"via3",#N/A,TRUE,"general"}</definedName>
    <definedName name="mdd" localSheetId="21">{"via1",#N/A,TRUE,"general";"via2",#N/A,TRUE,"general";"via3",#N/A,TRUE,"general"}</definedName>
    <definedName name="mdd" localSheetId="9">{"via1",#N/A,TRUE,"general";"via2",#N/A,TRUE,"general";"via3",#N/A,TRUE,"general"}</definedName>
    <definedName name="mdd" localSheetId="19">{"via1",#N/A,TRUE,"general";"via2",#N/A,TRUE,"general";"via3",#N/A,TRUE,"general"}</definedName>
    <definedName name="mdd" localSheetId="28">{"via1",#N/A,TRUE,"general";"via2",#N/A,TRUE,"general";"via3",#N/A,TRUE,"general"}</definedName>
    <definedName name="mdd" localSheetId="29">{"via1",#N/A,TRUE,"general";"via2",#N/A,TRUE,"general";"via3",#N/A,TRUE,"general"}</definedName>
    <definedName name="mdd">{"via1",#N/A,TRUE,"general";"via2",#N/A,TRUE,"general";"via3",#N/A,TRUE,"general"}</definedName>
    <definedName name="MDEO">#N/A</definedName>
    <definedName name="mdo">'[90]precios-básicos2002'!$C$131:$C$140</definedName>
    <definedName name="ME">#REF!</definedName>
    <definedName name="meg" localSheetId="39">{"TAB1",#N/A,TRUE,"GENERAL";"TAB2",#N/A,TRUE,"GENERAL";"TAB3",#N/A,TRUE,"GENERAL";"TAB4",#N/A,TRUE,"GENERAL";"TAB5",#N/A,TRUE,"GENERAL"}</definedName>
    <definedName name="meg" localSheetId="20">{"TAB1",#N/A,TRUE,"GENERAL";"TAB2",#N/A,TRUE,"GENERAL";"TAB3",#N/A,TRUE,"GENERAL";"TAB4",#N/A,TRUE,"GENERAL";"TAB5",#N/A,TRUE,"GENERAL"}</definedName>
    <definedName name="meg" localSheetId="21">{"TAB1",#N/A,TRUE,"GENERAL";"TAB2",#N/A,TRUE,"GENERAL";"TAB3",#N/A,TRUE,"GENERAL";"TAB4",#N/A,TRUE,"GENERAL";"TAB5",#N/A,TRUE,"GENERAL"}</definedName>
    <definedName name="meg" localSheetId="9">{"TAB1",#N/A,TRUE,"GENERAL";"TAB2",#N/A,TRUE,"GENERAL";"TAB3",#N/A,TRUE,"GENERAL";"TAB4",#N/A,TRUE,"GENERAL";"TAB5",#N/A,TRUE,"GENERAL"}</definedName>
    <definedName name="meg" localSheetId="19">{"TAB1",#N/A,TRUE,"GENERAL";"TAB2",#N/A,TRUE,"GENERAL";"TAB3",#N/A,TRUE,"GENERAL";"TAB4",#N/A,TRUE,"GENERAL";"TAB5",#N/A,TRUE,"GENERAL"}</definedName>
    <definedName name="meg" localSheetId="28">{"TAB1",#N/A,TRUE,"GENERAL";"TAB2",#N/A,TRUE,"GENERAL";"TAB3",#N/A,TRUE,"GENERAL";"TAB4",#N/A,TRUE,"GENERAL";"TAB5",#N/A,TRUE,"GENERAL"}</definedName>
    <definedName name="meg" localSheetId="29">{"TAB1",#N/A,TRUE,"GENERAL";"TAB2",#N/A,TRUE,"GENERAL";"TAB3",#N/A,TRUE,"GENERAL";"TAB4",#N/A,TRUE,"GENERAL";"TAB5",#N/A,TRUE,"GENERAL"}</definedName>
    <definedName name="meg">{"TAB1",#N/A,TRUE,"GENERAL";"TAB2",#N/A,TRUE,"GENERAL";"TAB3",#N/A,TRUE,"GENERAL";"TAB4",#N/A,TRUE,"GENERAL";"TAB5",#N/A,TRUE,"GENERAL"}</definedName>
    <definedName name="MEJORA">#REF!</definedName>
    <definedName name="mejoramientosubrasante">#REF!</definedName>
    <definedName name="merchandCostos">#REF!</definedName>
    <definedName name="Merchandisig">#REF!</definedName>
    <definedName name="MES">#REF!</definedName>
    <definedName name="meses">#REF!</definedName>
    <definedName name="met_dep">[37]Listado!$AA$2:$AA$4</definedName>
    <definedName name="MetalsDetail">#REF!</definedName>
    <definedName name="MetalsFundsFlow">#REF!</definedName>
    <definedName name="MetalsFundsFlowHeading">#REF!</definedName>
    <definedName name="MetalsFundsFlowPA">#REF!</definedName>
    <definedName name="MetalsFundsFlowPAHeading">#REF!</definedName>
    <definedName name="MetalsHeading">#REF!</definedName>
    <definedName name="MetalsPostDetail">#REF!</definedName>
    <definedName name="MetalsPostHeading">#REF!</definedName>
    <definedName name="MetDetail">#REF!</definedName>
    <definedName name="MetElimDetail">#REF!</definedName>
    <definedName name="MetElimHeading">#REF!</definedName>
    <definedName name="MetHeading">#REF!</definedName>
    <definedName name="MetSumDetail">#REF!</definedName>
    <definedName name="MetSumHeading">#REF!</definedName>
    <definedName name="Mezcladora">'[33]LISTADO '!$L$4</definedName>
    <definedName name="MEZCLADORA_DE_CONCRETO">[52]Equipo!$F$10</definedName>
    <definedName name="mf">#REF!</definedName>
    <definedName name="mfgjrdt" localSheetId="39">{"TAB1",#N/A,TRUE,"GENERAL";"TAB2",#N/A,TRUE,"GENERAL";"TAB3",#N/A,TRUE,"GENERAL";"TAB4",#N/A,TRUE,"GENERAL";"TAB5",#N/A,TRUE,"GENERAL"}</definedName>
    <definedName name="mfgjrdt" localSheetId="20">{"TAB1",#N/A,TRUE,"GENERAL";"TAB2",#N/A,TRUE,"GENERAL";"TAB3",#N/A,TRUE,"GENERAL";"TAB4",#N/A,TRUE,"GENERAL";"TAB5",#N/A,TRUE,"GENERAL"}</definedName>
    <definedName name="mfgjrdt" localSheetId="21">{"TAB1",#N/A,TRUE,"GENERAL";"TAB2",#N/A,TRUE,"GENERAL";"TAB3",#N/A,TRUE,"GENERAL";"TAB4",#N/A,TRUE,"GENERAL";"TAB5",#N/A,TRUE,"GENERAL"}</definedName>
    <definedName name="mfgjrdt" localSheetId="9">{"TAB1",#N/A,TRUE,"GENERAL";"TAB2",#N/A,TRUE,"GENERAL";"TAB3",#N/A,TRUE,"GENERAL";"TAB4",#N/A,TRUE,"GENERAL";"TAB5",#N/A,TRUE,"GENERAL"}</definedName>
    <definedName name="mfgjrdt" localSheetId="19">{"TAB1",#N/A,TRUE,"GENERAL";"TAB2",#N/A,TRUE,"GENERAL";"TAB3",#N/A,TRUE,"GENERAL";"TAB4",#N/A,TRUE,"GENERAL";"TAB5",#N/A,TRUE,"GENERAL"}</definedName>
    <definedName name="mfgjrdt" localSheetId="28">{"TAB1",#N/A,TRUE,"GENERAL";"TAB2",#N/A,TRUE,"GENERAL";"TAB3",#N/A,TRUE,"GENERAL";"TAB4",#N/A,TRUE,"GENERAL";"TAB5",#N/A,TRUE,"GENERAL"}</definedName>
    <definedName name="mfgjrdt" localSheetId="29">{"TAB1",#N/A,TRUE,"GENERAL";"TAB2",#N/A,TRUE,"GENERAL";"TAB3",#N/A,TRUE,"GENERAL";"TAB4",#N/A,TRUE,"GENERAL";"TAB5",#N/A,TRUE,"GENERAL"}</definedName>
    <definedName name="mfgjrdt">{"TAB1",#N/A,TRUE,"GENERAL";"TAB2",#N/A,TRUE,"GENERAL";"TAB3",#N/A,TRUE,"GENERAL";"TAB4",#N/A,TRUE,"GENERAL";"TAB5",#N/A,TRUE,"GENERAL"}</definedName>
    <definedName name="mFila">[230]MATRIZ1!$A$1</definedName>
    <definedName name="mghm" localSheetId="39">{"via1",#N/A,TRUE,"general";"via2",#N/A,TRUE,"general";"via3",#N/A,TRUE,"general"}</definedName>
    <definedName name="mghm" localSheetId="20">{"via1",#N/A,TRUE,"general";"via2",#N/A,TRUE,"general";"via3",#N/A,TRUE,"general"}</definedName>
    <definedName name="mghm" localSheetId="21">{"via1",#N/A,TRUE,"general";"via2",#N/A,TRUE,"general";"via3",#N/A,TRUE,"general"}</definedName>
    <definedName name="mghm" localSheetId="9">{"via1",#N/A,TRUE,"general";"via2",#N/A,TRUE,"general";"via3",#N/A,TRUE,"general"}</definedName>
    <definedName name="mghm" localSheetId="19">{"via1",#N/A,TRUE,"general";"via2",#N/A,TRUE,"general";"via3",#N/A,TRUE,"general"}</definedName>
    <definedName name="mghm" localSheetId="28">{"via1",#N/A,TRUE,"general";"via2",#N/A,TRUE,"general";"via3",#N/A,TRUE,"general"}</definedName>
    <definedName name="mghm" localSheetId="29">{"via1",#N/A,TRUE,"general";"via2",#N/A,TRUE,"general";"via3",#N/A,TRUE,"general"}</definedName>
    <definedName name="mghm">{"via1",#N/A,TRUE,"general";"via2",#N/A,TRUE,"general";"via3",#N/A,TRUE,"general"}</definedName>
    <definedName name="MH_1">#REF!</definedName>
    <definedName name="MH_2">#REF!</definedName>
    <definedName name="MH_3">#REF!</definedName>
    <definedName name="MH_4">#REF!</definedName>
    <definedName name="MH_5">#REF!</definedName>
    <definedName name="mhg">#REF!</definedName>
    <definedName name="mht">#REF!</definedName>
    <definedName name="mhy">#REF!</definedName>
    <definedName name="MI">#REF!,#REF!,#REF!,#REF!,#REF!,#REF!,#REF!</definedName>
    <definedName name="miFila">[231]RENDIMIENTOS!$O$2</definedName>
    <definedName name="Mill_Head_H2O.Total_Volume">#REF!</definedName>
    <definedName name="Mill_Screen_H2O.Total_Volume">#REF!</definedName>
    <definedName name="Mill_Weight">#REF!</definedName>
    <definedName name="min">#REF!</definedName>
    <definedName name="Mine_Equip_Hrs">'[108]Mine Hours'!$A$11:$BX$30</definedName>
    <definedName name="Mine_Equip_Hrs_MARC">'[108]Mine Hours'!$A$94:$BX$112</definedName>
    <definedName name="Mine_Equip_Hrs_Remaining">'[232]Equipment Hours TODOS'!#REF!</definedName>
    <definedName name="MineUsed">[130]Sheet1!$M$18:$M$977</definedName>
    <definedName name="Mínimo">#REF!</definedName>
    <definedName name="ministerios">[38]Listado!$M$2:$M$15</definedName>
    <definedName name="Minutos">#REF!</definedName>
    <definedName name="mjmj" localSheetId="39">{"via1",#N/A,TRUE,"general";"via2",#N/A,TRUE,"general";"via3",#N/A,TRUE,"general"}</definedName>
    <definedName name="mjmj" localSheetId="20">{"via1",#N/A,TRUE,"general";"via2",#N/A,TRUE,"general";"via3",#N/A,TRUE,"general"}</definedName>
    <definedName name="mjmj" localSheetId="21">{"via1",#N/A,TRUE,"general";"via2",#N/A,TRUE,"general";"via3",#N/A,TRUE,"general"}</definedName>
    <definedName name="mjmj" localSheetId="9">{"via1",#N/A,TRUE,"general";"via2",#N/A,TRUE,"general";"via3",#N/A,TRUE,"general"}</definedName>
    <definedName name="mjmj" localSheetId="19">{"via1",#N/A,TRUE,"general";"via2",#N/A,TRUE,"general";"via3",#N/A,TRUE,"general"}</definedName>
    <definedName name="mjmj" localSheetId="28">{"via1",#N/A,TRUE,"general";"via2",#N/A,TRUE,"general";"via3",#N/A,TRUE,"general"}</definedName>
    <definedName name="mjmj" localSheetId="29">{"via1",#N/A,TRUE,"general";"via2",#N/A,TRUE,"general";"via3",#N/A,TRUE,"general"}</definedName>
    <definedName name="mjmj">{"via1",#N/A,TRUE,"general";"via2",#N/A,TRUE,"general";"via3",#N/A,TRUE,"general"}</definedName>
    <definedName name="mjmjmn" localSheetId="39">{"via1",#N/A,TRUE,"general";"via2",#N/A,TRUE,"general";"via3",#N/A,TRUE,"general"}</definedName>
    <definedName name="mjmjmn" localSheetId="20">{"via1",#N/A,TRUE,"general";"via2",#N/A,TRUE,"general";"via3",#N/A,TRUE,"general"}</definedName>
    <definedName name="mjmjmn" localSheetId="21">{"via1",#N/A,TRUE,"general";"via2",#N/A,TRUE,"general";"via3",#N/A,TRUE,"general"}</definedName>
    <definedName name="mjmjmn" localSheetId="9">{"via1",#N/A,TRUE,"general";"via2",#N/A,TRUE,"general";"via3",#N/A,TRUE,"general"}</definedName>
    <definedName name="mjmjmn" localSheetId="19">{"via1",#N/A,TRUE,"general";"via2",#N/A,TRUE,"general";"via3",#N/A,TRUE,"general"}</definedName>
    <definedName name="mjmjmn" localSheetId="28">{"via1",#N/A,TRUE,"general";"via2",#N/A,TRUE,"general";"via3",#N/A,TRUE,"general"}</definedName>
    <definedName name="mjmjmn" localSheetId="29">{"via1",#N/A,TRUE,"general";"via2",#N/A,TRUE,"general";"via3",#N/A,TRUE,"general"}</definedName>
    <definedName name="mjmjmn">{"via1",#N/A,TRUE,"general";"via2",#N/A,TRUE,"general";"via3",#N/A,TRUE,"general"}</definedName>
    <definedName name="mjnhgkio" localSheetId="39">{"via1",#N/A,TRUE,"general";"via2",#N/A,TRUE,"general";"via3",#N/A,TRUE,"general"}</definedName>
    <definedName name="mjnhgkio" localSheetId="20">{"via1",#N/A,TRUE,"general";"via2",#N/A,TRUE,"general";"via3",#N/A,TRUE,"general"}</definedName>
    <definedName name="mjnhgkio" localSheetId="21">{"via1",#N/A,TRUE,"general";"via2",#N/A,TRUE,"general";"via3",#N/A,TRUE,"general"}</definedName>
    <definedName name="mjnhgkio" localSheetId="9">{"via1",#N/A,TRUE,"general";"via2",#N/A,TRUE,"general";"via3",#N/A,TRUE,"general"}</definedName>
    <definedName name="mjnhgkio" localSheetId="19">{"via1",#N/A,TRUE,"general";"via2",#N/A,TRUE,"general";"via3",#N/A,TRUE,"general"}</definedName>
    <definedName name="mjnhgkio" localSheetId="28">{"via1",#N/A,TRUE,"general";"via2",#N/A,TRUE,"general";"via3",#N/A,TRUE,"general"}</definedName>
    <definedName name="mjnhgkio" localSheetId="29">{"via1",#N/A,TRUE,"general";"via2",#N/A,TRUE,"general";"via3",#N/A,TRUE,"general"}</definedName>
    <definedName name="mjnhgkio">{"via1",#N/A,TRUE,"general";"via2",#N/A,TRUE,"general";"via3",#N/A,TRUE,"general"}</definedName>
    <definedName name="mju">#REF!</definedName>
    <definedName name="mku">#REF!</definedName>
    <definedName name="ML">#REF!,#REF!,#REF!,#REF!,#REF!,#REF!,#REF!</definedName>
    <definedName name="mm">#REF!</definedName>
    <definedName name="MMH">'[233]MMH WORKINGS'!$A$1:$A$65536</definedName>
    <definedName name="MMHBS">#REF!</definedName>
    <definedName name="mmhcosts">'[234]Cost Ledger 30-6-99'!$A$1:$C$84</definedName>
    <definedName name="MMHJUN02">#REF!</definedName>
    <definedName name="mmhmarch2000">#REF!</definedName>
    <definedName name="mmjmjh" localSheetId="39">{"TAB1",#N/A,TRUE,"GENERAL";"TAB2",#N/A,TRUE,"GENERAL";"TAB3",#N/A,TRUE,"GENERAL";"TAB4",#N/A,TRUE,"GENERAL";"TAB5",#N/A,TRUE,"GENERAL"}</definedName>
    <definedName name="mmjmjh" localSheetId="20">{"TAB1",#N/A,TRUE,"GENERAL";"TAB2",#N/A,TRUE,"GENERAL";"TAB3",#N/A,TRUE,"GENERAL";"TAB4",#N/A,TRUE,"GENERAL";"TAB5",#N/A,TRUE,"GENERAL"}</definedName>
    <definedName name="mmjmjh" localSheetId="21">{"TAB1",#N/A,TRUE,"GENERAL";"TAB2",#N/A,TRUE,"GENERAL";"TAB3",#N/A,TRUE,"GENERAL";"TAB4",#N/A,TRUE,"GENERAL";"TAB5",#N/A,TRUE,"GENERAL"}</definedName>
    <definedName name="mmjmjh" localSheetId="9">{"TAB1",#N/A,TRUE,"GENERAL";"TAB2",#N/A,TRUE,"GENERAL";"TAB3",#N/A,TRUE,"GENERAL";"TAB4",#N/A,TRUE,"GENERAL";"TAB5",#N/A,TRUE,"GENERAL"}</definedName>
    <definedName name="mmjmjh" localSheetId="19">{"TAB1",#N/A,TRUE,"GENERAL";"TAB2",#N/A,TRUE,"GENERAL";"TAB3",#N/A,TRUE,"GENERAL";"TAB4",#N/A,TRUE,"GENERAL";"TAB5",#N/A,TRUE,"GENERAL"}</definedName>
    <definedName name="mmjmjh" localSheetId="28">{"TAB1",#N/A,TRUE,"GENERAL";"TAB2",#N/A,TRUE,"GENERAL";"TAB3",#N/A,TRUE,"GENERAL";"TAB4",#N/A,TRUE,"GENERAL";"TAB5",#N/A,TRUE,"GENERAL"}</definedName>
    <definedName name="mmjmjh" localSheetId="29">{"TAB1",#N/A,TRUE,"GENERAL";"TAB2",#N/A,TRUE,"GENERAL";"TAB3",#N/A,TRUE,"GENERAL";"TAB4",#N/A,TRUE,"GENERAL";"TAB5",#N/A,TRUE,"GENERAL"}</definedName>
    <definedName name="mmjmjh">{"TAB1",#N/A,TRUE,"GENERAL";"TAB2",#N/A,TRUE,"GENERAL";"TAB3",#N/A,TRUE,"GENERAL";"TAB4",#N/A,TRUE,"GENERAL";"TAB5",#N/A,TRUE,"GENERAL"}</definedName>
    <definedName name="MMJV">#REF!</definedName>
    <definedName name="mmm" localSheetId="39">{"TAB1",#N/A,TRUE,"GENERAL";"TAB2",#N/A,TRUE,"GENERAL";"TAB3",#N/A,TRUE,"GENERAL";"TAB4",#N/A,TRUE,"GENERAL";"TAB5",#N/A,TRUE,"GENERAL"}</definedName>
    <definedName name="mmm" localSheetId="20">{"TAB1",#N/A,TRUE,"GENERAL";"TAB2",#N/A,TRUE,"GENERAL";"TAB3",#N/A,TRUE,"GENERAL";"TAB4",#N/A,TRUE,"GENERAL";"TAB5",#N/A,TRUE,"GENERAL"}</definedName>
    <definedName name="mmm" localSheetId="21">{"TAB1",#N/A,TRUE,"GENERAL";"TAB2",#N/A,TRUE,"GENERAL";"TAB3",#N/A,TRUE,"GENERAL";"TAB4",#N/A,TRUE,"GENERAL";"TAB5",#N/A,TRUE,"GENERAL"}</definedName>
    <definedName name="mmm" localSheetId="9">{"TAB1",#N/A,TRUE,"GENERAL";"TAB2",#N/A,TRUE,"GENERAL";"TAB3",#N/A,TRUE,"GENERAL";"TAB4",#N/A,TRUE,"GENERAL";"TAB5",#N/A,TRUE,"GENERAL"}</definedName>
    <definedName name="mmm" localSheetId="19">{"TAB1",#N/A,TRUE,"GENERAL";"TAB2",#N/A,TRUE,"GENERAL";"TAB3",#N/A,TRUE,"GENERAL";"TAB4",#N/A,TRUE,"GENERAL";"TAB5",#N/A,TRUE,"GENERAL"}</definedName>
    <definedName name="MMM" localSheetId="17">'[28]A.P.U'!#REF!</definedName>
    <definedName name="MMM" localSheetId="18">'[28]A.P.U'!#REF!</definedName>
    <definedName name="mmm" localSheetId="28">{"TAB1",#N/A,TRUE,"GENERAL";"TAB2",#N/A,TRUE,"GENERAL";"TAB3",#N/A,TRUE,"GENERAL";"TAB4",#N/A,TRUE,"GENERAL";"TAB5",#N/A,TRUE,"GENERAL"}</definedName>
    <definedName name="mmm" localSheetId="29">{"TAB1",#N/A,TRUE,"GENERAL";"TAB2",#N/A,TRUE,"GENERAL";"TAB3",#N/A,TRUE,"GENERAL";"TAB4",#N/A,TRUE,"GENERAL";"TAB5",#N/A,TRUE,"GENERAL"}</definedName>
    <definedName name="MMM" localSheetId="12">'[28]A.P.U'!#REF!</definedName>
    <definedName name="mmm">{"TAB1",#N/A,TRUE,"GENERAL";"TAB2",#N/A,TRUE,"GENERAL";"TAB3",#N/A,TRUE,"GENERAL";"TAB4",#N/A,TRUE,"GENERAL";"TAB5",#N/A,TRUE,"GENERAL"}</definedName>
    <definedName name="mmmh" localSheetId="39">{"via1",#N/A,TRUE,"general";"via2",#N/A,TRUE,"general";"via3",#N/A,TRUE,"general"}</definedName>
    <definedName name="mmmh" localSheetId="20">{"via1",#N/A,TRUE,"general";"via2",#N/A,TRUE,"general";"via3",#N/A,TRUE,"general"}</definedName>
    <definedName name="mmmh" localSheetId="21">{"via1",#N/A,TRUE,"general";"via2",#N/A,TRUE,"general";"via3",#N/A,TRUE,"general"}</definedName>
    <definedName name="mmmh" localSheetId="9">{"via1",#N/A,TRUE,"general";"via2",#N/A,TRUE,"general";"via3",#N/A,TRUE,"general"}</definedName>
    <definedName name="mmmh" localSheetId="19">{"via1",#N/A,TRUE,"general";"via2",#N/A,TRUE,"general";"via3",#N/A,TRUE,"general"}</definedName>
    <definedName name="mmmh" localSheetId="28">{"via1",#N/A,TRUE,"general";"via2",#N/A,TRUE,"general";"via3",#N/A,TRUE,"general"}</definedName>
    <definedName name="mmmh" localSheetId="29">{"via1",#N/A,TRUE,"general";"via2",#N/A,TRUE,"general";"via3",#N/A,TRUE,"general"}</definedName>
    <definedName name="mmmh">{"via1",#N/A,TRUE,"general";"via2",#N/A,TRUE,"general";"via3",#N/A,TRUE,"general"}</definedName>
    <definedName name="mmmmmjyt" localSheetId="39">{"TAB1",#N/A,TRUE,"GENERAL";"TAB2",#N/A,TRUE,"GENERAL";"TAB3",#N/A,TRUE,"GENERAL";"TAB4",#N/A,TRUE,"GENERAL";"TAB5",#N/A,TRUE,"GENERAL"}</definedName>
    <definedName name="mmmmmjyt" localSheetId="20">{"TAB1",#N/A,TRUE,"GENERAL";"TAB2",#N/A,TRUE,"GENERAL";"TAB3",#N/A,TRUE,"GENERAL";"TAB4",#N/A,TRUE,"GENERAL";"TAB5",#N/A,TRUE,"GENERAL"}</definedName>
    <definedName name="mmmmmjyt" localSheetId="21">{"TAB1",#N/A,TRUE,"GENERAL";"TAB2",#N/A,TRUE,"GENERAL";"TAB3",#N/A,TRUE,"GENERAL";"TAB4",#N/A,TRUE,"GENERAL";"TAB5",#N/A,TRUE,"GENERAL"}</definedName>
    <definedName name="mmmmmjyt" localSheetId="9">{"TAB1",#N/A,TRUE,"GENERAL";"TAB2",#N/A,TRUE,"GENERAL";"TAB3",#N/A,TRUE,"GENERAL";"TAB4",#N/A,TRUE,"GENERAL";"TAB5",#N/A,TRUE,"GENERAL"}</definedName>
    <definedName name="mmmmmjyt" localSheetId="19">{"TAB1",#N/A,TRUE,"GENERAL";"TAB2",#N/A,TRUE,"GENERAL";"TAB3",#N/A,TRUE,"GENERAL";"TAB4",#N/A,TRUE,"GENERAL";"TAB5",#N/A,TRUE,"GENERAL"}</definedName>
    <definedName name="mmmmmjyt" localSheetId="28">{"TAB1",#N/A,TRUE,"GENERAL";"TAB2",#N/A,TRUE,"GENERAL";"TAB3",#N/A,TRUE,"GENERAL";"TAB4",#N/A,TRUE,"GENERAL";"TAB5",#N/A,TRUE,"GENERAL"}</definedName>
    <definedName name="mmmmmjyt" localSheetId="29">{"TAB1",#N/A,TRUE,"GENERAL";"TAB2",#N/A,TRUE,"GENERAL";"TAB3",#N/A,TRUE,"GENERAL";"TAB4",#N/A,TRUE,"GENERAL";"TAB5",#N/A,TRUE,"GENERAL"}</definedName>
    <definedName name="mmmmmjyt">{"TAB1",#N/A,TRUE,"GENERAL";"TAB2",#N/A,TRUE,"GENERAL";"TAB3",#N/A,TRUE,"GENERAL";"TAB4",#N/A,TRUE,"GENERAL";"TAB5",#N/A,TRUE,"GENERAL"}</definedName>
    <definedName name="mmmmmmg" localSheetId="39">{"via1",#N/A,TRUE,"general";"via2",#N/A,TRUE,"general";"via3",#N/A,TRUE,"general"}</definedName>
    <definedName name="mmmmmmg" localSheetId="20">{"via1",#N/A,TRUE,"general";"via2",#N/A,TRUE,"general";"via3",#N/A,TRUE,"general"}</definedName>
    <definedName name="mmmmmmg" localSheetId="21">{"via1",#N/A,TRUE,"general";"via2",#N/A,TRUE,"general";"via3",#N/A,TRUE,"general"}</definedName>
    <definedName name="mmmmmmg" localSheetId="9">{"via1",#N/A,TRUE,"general";"via2",#N/A,TRUE,"general";"via3",#N/A,TRUE,"general"}</definedName>
    <definedName name="mmmmmmg" localSheetId="19">{"via1",#N/A,TRUE,"general";"via2",#N/A,TRUE,"general";"via3",#N/A,TRUE,"general"}</definedName>
    <definedName name="mmmmmmg" localSheetId="28">{"via1",#N/A,TRUE,"general";"via2",#N/A,TRUE,"general";"via3",#N/A,TRUE,"general"}</definedName>
    <definedName name="mmmmmmg" localSheetId="29">{"via1",#N/A,TRUE,"general";"via2",#N/A,TRUE,"general";"via3",#N/A,TRUE,"general"}</definedName>
    <definedName name="mmmmmmg">{"via1",#N/A,TRUE,"general";"via2",#N/A,TRUE,"general";"via3",#N/A,TRUE,"general"}</definedName>
    <definedName name="Mmto">#REF!</definedName>
    <definedName name="MN" localSheetId="39">{"via1",#N/A,TRUE,"general";"via2",#N/A,TRUE,"general";"via3",#N/A,TRUE,"general"}</definedName>
    <definedName name="MN" localSheetId="20">{"via1",#N/A,TRUE,"general";"via2",#N/A,TRUE,"general";"via3",#N/A,TRUE,"general"}</definedName>
    <definedName name="MN" localSheetId="21">{"via1",#N/A,TRUE,"general";"via2",#N/A,TRUE,"general";"via3",#N/A,TRUE,"general"}</definedName>
    <definedName name="MN" localSheetId="9">{"via1",#N/A,TRUE,"general";"via2",#N/A,TRUE,"general";"via3",#N/A,TRUE,"general"}</definedName>
    <definedName name="MN" localSheetId="19">{"via1",#N/A,TRUE,"general";"via2",#N/A,TRUE,"general";"via3",#N/A,TRUE,"general"}</definedName>
    <definedName name="MN" localSheetId="28">{"via1",#N/A,TRUE,"general";"via2",#N/A,TRUE,"general";"via3",#N/A,TRUE,"general"}</definedName>
    <definedName name="MN" localSheetId="29">{"via1",#N/A,TRUE,"general";"via2",#N/A,TRUE,"general";"via3",#N/A,TRUE,"general"}</definedName>
    <definedName name="MN">{"via1",#N/A,TRUE,"general";"via2",#N/A,TRUE,"general";"via3",#N/A,TRUE,"general"}</definedName>
    <definedName name="MNO">#REF!</definedName>
    <definedName name="MO">'[74]CIRCUITOS CODENSA'!#REF!</definedName>
    <definedName name="mobil06">[17]Gastos!#REF!</definedName>
    <definedName name="mobra">'[90]precios-básicos2002'!$C$131:$E$140</definedName>
    <definedName name="Modf7" localSheetId="9">#REF!</definedName>
    <definedName name="Modf7">#REF!</definedName>
    <definedName name="MODIF">[65]dts!$B$20</definedName>
    <definedName name="MODIFICACION" localSheetId="9">#REF!</definedName>
    <definedName name="MODIFICACION">#REF!</definedName>
    <definedName name="MOMATECA">#REF!</definedName>
    <definedName name="MONETARY">#REF!</definedName>
    <definedName name="MOR1_4">#REF!</definedName>
    <definedName name="MORTE12">#REF!</definedName>
    <definedName name="MORTE14">#REF!</definedName>
    <definedName name="morte15">#REF!</definedName>
    <definedName name="MORTE16">#REF!</definedName>
    <definedName name="mortero">#REF!</definedName>
    <definedName name="Mortero_1_3">'[33]Apu Basicos'!$F$74</definedName>
    <definedName name="mortero14">'[113]APU''s'!#REF!</definedName>
    <definedName name="mortero15">'[113]APU''s'!#REF!</definedName>
    <definedName name="MOTO">'[179]Actual Data (STX)'!$A$1:$B$8</definedName>
    <definedName name="MOTO3">'[179]Actual Data (STX)'!$A$10:$B$17</definedName>
    <definedName name="motobomba">'[55]PRESTACIONES SOCIALES'!#REF!</definedName>
    <definedName name="Motor">'[179]Actual Data (MAP)'!$B$1:$C$8</definedName>
    <definedName name="MPMDetail">#REF!</definedName>
    <definedName name="MPMHeading">#REF!</definedName>
    <definedName name="MPsc" localSheetId="10">#REF!</definedName>
    <definedName name="MPsc" localSheetId="20">#REF!</definedName>
    <definedName name="MPsc" localSheetId="21">#REF!</definedName>
    <definedName name="MPsc">#REF!</definedName>
    <definedName name="mr">#REF!</definedName>
    <definedName name="MR_DESCRIPTION">#REF!</definedName>
    <definedName name="MRNumber">#REF!</definedName>
    <definedName name="MTD.ROM1_PercentFed">#REF!</definedName>
    <definedName name="MTD.ROM2_PercentFed">#REF!</definedName>
    <definedName name="MTD.ROM3_PercentFed">#REF!</definedName>
    <definedName name="MTD.ROM4_PercentFed">#REF!</definedName>
    <definedName name="MTD.ROM5_PercentFed">#REF!</definedName>
    <definedName name="MTD_Days">#REF!</definedName>
    <definedName name="MU">'[74]CIRCUITOS CODENSA'!#REF!</definedName>
    <definedName name="MunicipioPrestacion" localSheetId="10">#REF!</definedName>
    <definedName name="MunicipioPrestacion" localSheetId="20">#REF!</definedName>
    <definedName name="MunicipioPrestacion" localSheetId="21">#REF!</definedName>
    <definedName name="MunicipioPrestacion" localSheetId="17">#REF!</definedName>
    <definedName name="MunicipioPrestacion" localSheetId="18">#REF!</definedName>
    <definedName name="MunicipioPrestacion" localSheetId="12">#REF!</definedName>
    <definedName name="MunicipioPrestacion">#REF!</definedName>
    <definedName name="MUNICIPIOS" localSheetId="20">'[235]Transporte de Materiales'!#REF!</definedName>
    <definedName name="MUNICIPIOS" localSheetId="21">'[235]Transporte de Materiales'!#REF!</definedName>
    <definedName name="MUNICIPIOS" localSheetId="9">#REF!</definedName>
    <definedName name="MUNICIPIOS" localSheetId="19">#REF!</definedName>
    <definedName name="MUNICIPIOS">#REF!</definedName>
    <definedName name="municipios1" localSheetId="28">[236]Hoja1!$B$2:$B$1120</definedName>
    <definedName name="municipios1" localSheetId="29">[236]Hoja1!$B$2:$B$1120</definedName>
    <definedName name="municipios1">[237]Hoja1!$B$2:$B$1120</definedName>
    <definedName name="muro">#REF!</definedName>
    <definedName name="murocontencion">#REF!</definedName>
    <definedName name="MXSMAR">#REF!</definedName>
    <definedName name="MZ">'[74]CIRCUITOS CODENSA'!#REF!</definedName>
    <definedName name="N" localSheetId="39">#REF!</definedName>
    <definedName name="N" localSheetId="20">#REF!</definedName>
    <definedName name="N" localSheetId="21">#REF!</definedName>
    <definedName name="N" localSheetId="9">#REF!</definedName>
    <definedName name="N" localSheetId="17">IF(ISERROR(NA),"",NA)</definedName>
    <definedName name="N" localSheetId="18">IF(ISERROR(NA),"",NA)</definedName>
    <definedName name="N" localSheetId="12">IF(ISERROR(NA),"",NA)</definedName>
    <definedName name="N">#REF!</definedName>
    <definedName name="N_metal">[24]D_AWG!$C$25</definedName>
    <definedName name="N11.4">#REF!</definedName>
    <definedName name="N115KV">#REF!</definedName>
    <definedName name="N220V">#REF!</definedName>
    <definedName name="N34.5">#REF!</definedName>
    <definedName name="NA">#REF!</definedName>
    <definedName name="Nb">#REF!</definedName>
    <definedName name="nbnbv">#REF!</definedName>
    <definedName name="nbv">#REF!</definedName>
    <definedName name="nbvnv" localSheetId="39">{"via1",#N/A,TRUE,"general";"via2",#N/A,TRUE,"general";"via3",#N/A,TRUE,"general"}</definedName>
    <definedName name="nbvnv" localSheetId="20">{"via1",#N/A,TRUE,"general";"via2",#N/A,TRUE,"general";"via3",#N/A,TRUE,"general"}</definedName>
    <definedName name="nbvnv" localSheetId="21">{"via1",#N/A,TRUE,"general";"via2",#N/A,TRUE,"general";"via3",#N/A,TRUE,"general"}</definedName>
    <definedName name="nbvnv" localSheetId="9">{"via1",#N/A,TRUE,"general";"via2",#N/A,TRUE,"general";"via3",#N/A,TRUE,"general"}</definedName>
    <definedName name="nbvnv" localSheetId="19">{"via1",#N/A,TRUE,"general";"via2",#N/A,TRUE,"general";"via3",#N/A,TRUE,"general"}</definedName>
    <definedName name="nbvnv" localSheetId="28">{"via1",#N/A,TRUE,"general";"via2",#N/A,TRUE,"general";"via3",#N/A,TRUE,"general"}</definedName>
    <definedName name="nbvnv" localSheetId="29">{"via1",#N/A,TRUE,"general";"via2",#N/A,TRUE,"general";"via3",#N/A,TRUE,"general"}</definedName>
    <definedName name="nbvnv">{"via1",#N/A,TRUE,"general";"via2",#N/A,TRUE,"general";"via3",#N/A,TRUE,"general"}</definedName>
    <definedName name="Nc">#REF!</definedName>
    <definedName name="Nd">#REF!</definedName>
    <definedName name="NDHS" localSheetId="39">{"TAB1",#N/A,TRUE,"GENERAL";"TAB2",#N/A,TRUE,"GENERAL";"TAB3",#N/A,TRUE,"GENERAL";"TAB4",#N/A,TRUE,"GENERAL";"TAB5",#N/A,TRUE,"GENERAL"}</definedName>
    <definedName name="NDHS" localSheetId="20">{"TAB1",#N/A,TRUE,"GENERAL";"TAB2",#N/A,TRUE,"GENERAL";"TAB3",#N/A,TRUE,"GENERAL";"TAB4",#N/A,TRUE,"GENERAL";"TAB5",#N/A,TRUE,"GENERAL"}</definedName>
    <definedName name="NDHS" localSheetId="21">{"TAB1",#N/A,TRUE,"GENERAL";"TAB2",#N/A,TRUE,"GENERAL";"TAB3",#N/A,TRUE,"GENERAL";"TAB4",#N/A,TRUE,"GENERAL";"TAB5",#N/A,TRUE,"GENERAL"}</definedName>
    <definedName name="NDHS" localSheetId="9">{"TAB1",#N/A,TRUE,"GENERAL";"TAB2",#N/A,TRUE,"GENERAL";"TAB3",#N/A,TRUE,"GENERAL";"TAB4",#N/A,TRUE,"GENERAL";"TAB5",#N/A,TRUE,"GENERAL"}</definedName>
    <definedName name="NDHS" localSheetId="19">{"TAB1",#N/A,TRUE,"GENERAL";"TAB2",#N/A,TRUE,"GENERAL";"TAB3",#N/A,TRUE,"GENERAL";"TAB4",#N/A,TRUE,"GENERAL";"TAB5",#N/A,TRUE,"GENERAL"}</definedName>
    <definedName name="NDHS" localSheetId="28">{"TAB1",#N/A,TRUE,"GENERAL";"TAB2",#N/A,TRUE,"GENERAL";"TAB3",#N/A,TRUE,"GENERAL";"TAB4",#N/A,TRUE,"GENERAL";"TAB5",#N/A,TRUE,"GENERAL"}</definedName>
    <definedName name="NDHS" localSheetId="29">{"TAB1",#N/A,TRUE,"GENERAL";"TAB2",#N/A,TRUE,"GENERAL";"TAB3",#N/A,TRUE,"GENERAL";"TAB4",#N/A,TRUE,"GENERAL";"TAB5",#N/A,TRUE,"GENERAL"}</definedName>
    <definedName name="NDHS">{"TAB1",#N/A,TRUE,"GENERAL";"TAB2",#N/A,TRUE,"GENERAL";"TAB3",#N/A,TRUE,"GENERAL";"TAB4",#N/A,TRUE,"GENERAL";"TAB5",#N/A,TRUE,"GENERAL"}</definedName>
    <definedName name="Ne">#REF!</definedName>
    <definedName name="nece.cab">#REF!</definedName>
    <definedName name="Necesidad_entorchado_Zonas">#REF!</definedName>
    <definedName name="NEOLAI">#REF!</definedName>
    <definedName name="Nett_Rev_COL_Nom">[109]W_REV!$H$115:$AP$115</definedName>
    <definedName name="nf" localSheetId="39">{"TAB1",#N/A,TRUE,"GENERAL";"TAB2",#N/A,TRUE,"GENERAL";"TAB3",#N/A,TRUE,"GENERAL";"TAB4",#N/A,TRUE,"GENERAL";"TAB5",#N/A,TRUE,"GENERAL"}</definedName>
    <definedName name="nf" localSheetId="20">{"TAB1",#N/A,TRUE,"GENERAL";"TAB2",#N/A,TRUE,"GENERAL";"TAB3",#N/A,TRUE,"GENERAL";"TAB4",#N/A,TRUE,"GENERAL";"TAB5",#N/A,TRUE,"GENERAL"}</definedName>
    <definedName name="nf" localSheetId="21">{"TAB1",#N/A,TRUE,"GENERAL";"TAB2",#N/A,TRUE,"GENERAL";"TAB3",#N/A,TRUE,"GENERAL";"TAB4",#N/A,TRUE,"GENERAL";"TAB5",#N/A,TRUE,"GENERAL"}</definedName>
    <definedName name="nf" localSheetId="9">{"TAB1",#N/A,TRUE,"GENERAL";"TAB2",#N/A,TRUE,"GENERAL";"TAB3",#N/A,TRUE,"GENERAL";"TAB4",#N/A,TRUE,"GENERAL";"TAB5",#N/A,TRUE,"GENERAL"}</definedName>
    <definedName name="nf" localSheetId="19">{"TAB1",#N/A,TRUE,"GENERAL";"TAB2",#N/A,TRUE,"GENERAL";"TAB3",#N/A,TRUE,"GENERAL";"TAB4",#N/A,TRUE,"GENERAL";"TAB5",#N/A,TRUE,"GENERAL"}</definedName>
    <definedName name="nf" localSheetId="28">{"TAB1",#N/A,TRUE,"GENERAL";"TAB2",#N/A,TRUE,"GENERAL";"TAB3",#N/A,TRUE,"GENERAL";"TAB4",#N/A,TRUE,"GENERAL";"TAB5",#N/A,TRUE,"GENERAL"}</definedName>
    <definedName name="nf" localSheetId="29">{"TAB1",#N/A,TRUE,"GENERAL";"TAB2",#N/A,TRUE,"GENERAL";"TAB3",#N/A,TRUE,"GENERAL";"TAB4",#N/A,TRUE,"GENERAL";"TAB5",#N/A,TRUE,"GENERAL"}</definedName>
    <definedName name="nf">{"TAB1",#N/A,TRUE,"GENERAL";"TAB2",#N/A,TRUE,"GENERAL";"TAB3",#N/A,TRUE,"GENERAL";"TAB4",#N/A,TRUE,"GENERAL";"TAB5",#N/A,TRUE,"GENERAL"}</definedName>
    <definedName name="nfg" localSheetId="39">{"via1",#N/A,TRUE,"general";"via2",#N/A,TRUE,"general";"via3",#N/A,TRUE,"general"}</definedName>
    <definedName name="nfg" localSheetId="20">{"via1",#N/A,TRUE,"general";"via2",#N/A,TRUE,"general";"via3",#N/A,TRUE,"general"}</definedName>
    <definedName name="nfg" localSheetId="21">{"via1",#N/A,TRUE,"general";"via2",#N/A,TRUE,"general";"via3",#N/A,TRUE,"general"}</definedName>
    <definedName name="nfg" localSheetId="9">{"via1",#N/A,TRUE,"general";"via2",#N/A,TRUE,"general";"via3",#N/A,TRUE,"general"}</definedName>
    <definedName name="nfg" localSheetId="19">{"via1",#N/A,TRUE,"general";"via2",#N/A,TRUE,"general";"via3",#N/A,TRUE,"general"}</definedName>
    <definedName name="nfg" localSheetId="28">{"via1",#N/A,TRUE,"general";"via2",#N/A,TRUE,"general";"via3",#N/A,TRUE,"general"}</definedName>
    <definedName name="nfg" localSheetId="29">{"via1",#N/A,TRUE,"general";"via2",#N/A,TRUE,"general";"via3",#N/A,TRUE,"general"}</definedName>
    <definedName name="nfg">{"via1",#N/A,TRUE,"general";"via2",#N/A,TRUE,"general";"via3",#N/A,TRUE,"general"}</definedName>
    <definedName name="nfgn" localSheetId="39">{"via1",#N/A,TRUE,"general";"via2",#N/A,TRUE,"general";"via3",#N/A,TRUE,"general"}</definedName>
    <definedName name="nfgn" localSheetId="20">{"via1",#N/A,TRUE,"general";"via2",#N/A,TRUE,"general";"via3",#N/A,TRUE,"general"}</definedName>
    <definedName name="nfgn" localSheetId="21">{"via1",#N/A,TRUE,"general";"via2",#N/A,TRUE,"general";"via3",#N/A,TRUE,"general"}</definedName>
    <definedName name="nfgn" localSheetId="9">{"via1",#N/A,TRUE,"general";"via2",#N/A,TRUE,"general";"via3",#N/A,TRUE,"general"}</definedName>
    <definedName name="nfgn" localSheetId="19">{"via1",#N/A,TRUE,"general";"via2",#N/A,TRUE,"general";"via3",#N/A,TRUE,"general"}</definedName>
    <definedName name="nfgn" localSheetId="28">{"via1",#N/A,TRUE,"general";"via2",#N/A,TRUE,"general";"via3",#N/A,TRUE,"general"}</definedName>
    <definedName name="nfgn" localSheetId="29">{"via1",#N/A,TRUE,"general";"via2",#N/A,TRUE,"general";"via3",#N/A,TRUE,"general"}</definedName>
    <definedName name="nfgn">{"via1",#N/A,TRUE,"general";"via2",#N/A,TRUE,"general";"via3",#N/A,TRUE,"general"}</definedName>
    <definedName name="ngdn" localSheetId="39">{"TAB1",#N/A,TRUE,"GENERAL";"TAB2",#N/A,TRUE,"GENERAL";"TAB3",#N/A,TRUE,"GENERAL";"TAB4",#N/A,TRUE,"GENERAL";"TAB5",#N/A,TRUE,"GENERAL"}</definedName>
    <definedName name="ngdn" localSheetId="20">{"TAB1",#N/A,TRUE,"GENERAL";"TAB2",#N/A,TRUE,"GENERAL";"TAB3",#N/A,TRUE,"GENERAL";"TAB4",#N/A,TRUE,"GENERAL";"TAB5",#N/A,TRUE,"GENERAL"}</definedName>
    <definedName name="ngdn" localSheetId="21">{"TAB1",#N/A,TRUE,"GENERAL";"TAB2",#N/A,TRUE,"GENERAL";"TAB3",#N/A,TRUE,"GENERAL";"TAB4",#N/A,TRUE,"GENERAL";"TAB5",#N/A,TRUE,"GENERAL"}</definedName>
    <definedName name="ngdn" localSheetId="9">{"TAB1",#N/A,TRUE,"GENERAL";"TAB2",#N/A,TRUE,"GENERAL";"TAB3",#N/A,TRUE,"GENERAL";"TAB4",#N/A,TRUE,"GENERAL";"TAB5",#N/A,TRUE,"GENERAL"}</definedName>
    <definedName name="ngdn" localSheetId="19">{"TAB1",#N/A,TRUE,"GENERAL";"TAB2",#N/A,TRUE,"GENERAL";"TAB3",#N/A,TRUE,"GENERAL";"TAB4",#N/A,TRUE,"GENERAL";"TAB5",#N/A,TRUE,"GENERAL"}</definedName>
    <definedName name="ngdn" localSheetId="28">{"TAB1",#N/A,TRUE,"GENERAL";"TAB2",#N/A,TRUE,"GENERAL";"TAB3",#N/A,TRUE,"GENERAL";"TAB4",#N/A,TRUE,"GENERAL";"TAB5",#N/A,TRUE,"GENERAL"}</definedName>
    <definedName name="ngdn" localSheetId="29">{"TAB1",#N/A,TRUE,"GENERAL";"TAB2",#N/A,TRUE,"GENERAL";"TAB3",#N/A,TRUE,"GENERAL";"TAB4",#N/A,TRUE,"GENERAL";"TAB5",#N/A,TRUE,"GENERAL"}</definedName>
    <definedName name="ngdn">{"TAB1",#N/A,TRUE,"GENERAL";"TAB2",#N/A,TRUE,"GENERAL";"TAB3",#N/A,TRUE,"GENERAL";"TAB4",#N/A,TRUE,"GENERAL";"TAB5",#N/A,TRUE,"GENERAL"}</definedName>
    <definedName name="ngfh" localSheetId="39">{"via1",#N/A,TRUE,"general";"via2",#N/A,TRUE,"general";"via3",#N/A,TRUE,"general"}</definedName>
    <definedName name="ngfh" localSheetId="20">{"via1",#N/A,TRUE,"general";"via2",#N/A,TRUE,"general";"via3",#N/A,TRUE,"general"}</definedName>
    <definedName name="ngfh" localSheetId="21">{"via1",#N/A,TRUE,"general";"via2",#N/A,TRUE,"general";"via3",#N/A,TRUE,"general"}</definedName>
    <definedName name="ngfh" localSheetId="9">{"via1",#N/A,TRUE,"general";"via2",#N/A,TRUE,"general";"via3",#N/A,TRUE,"general"}</definedName>
    <definedName name="ngfh" localSheetId="19">{"via1",#N/A,TRUE,"general";"via2",#N/A,TRUE,"general";"via3",#N/A,TRUE,"general"}</definedName>
    <definedName name="ngfh" localSheetId="28">{"via1",#N/A,TRUE,"general";"via2",#N/A,TRUE,"general";"via3",#N/A,TRUE,"general"}</definedName>
    <definedName name="ngfh" localSheetId="29">{"via1",#N/A,TRUE,"general";"via2",#N/A,TRUE,"general";"via3",#N/A,TRUE,"general"}</definedName>
    <definedName name="ngfh">{"via1",#N/A,TRUE,"general";"via2",#N/A,TRUE,"general";"via3",#N/A,TRUE,"general"}</definedName>
    <definedName name="NHG">#REF!</definedName>
    <definedName name="nhn" localSheetId="39">{"via1",#N/A,TRUE,"general";"via2",#N/A,TRUE,"general";"via3",#N/A,TRUE,"general"}</definedName>
    <definedName name="nhn" localSheetId="20">{"via1",#N/A,TRUE,"general";"via2",#N/A,TRUE,"general";"via3",#N/A,TRUE,"general"}</definedName>
    <definedName name="nhn" localSheetId="21">{"via1",#N/A,TRUE,"general";"via2",#N/A,TRUE,"general";"via3",#N/A,TRUE,"general"}</definedName>
    <definedName name="nhn" localSheetId="9">{"via1",#N/A,TRUE,"general";"via2",#N/A,TRUE,"general";"via3",#N/A,TRUE,"general"}</definedName>
    <definedName name="nhn" localSheetId="19">{"via1",#N/A,TRUE,"general";"via2",#N/A,TRUE,"general";"via3",#N/A,TRUE,"general"}</definedName>
    <definedName name="nhn" localSheetId="28">{"via1",#N/A,TRUE,"general";"via2",#N/A,TRUE,"general";"via3",#N/A,TRUE,"general"}</definedName>
    <definedName name="nhn" localSheetId="29">{"via1",#N/A,TRUE,"general";"via2",#N/A,TRUE,"general";"via3",#N/A,TRUE,"general"}</definedName>
    <definedName name="nhn">{"via1",#N/A,TRUE,"general";"via2",#N/A,TRUE,"general";"via3",#N/A,TRUE,"general"}</definedName>
    <definedName name="nhncfgn" localSheetId="39">{"TAB1",#N/A,TRUE,"GENERAL";"TAB2",#N/A,TRUE,"GENERAL";"TAB3",#N/A,TRUE,"GENERAL";"TAB4",#N/A,TRUE,"GENERAL";"TAB5",#N/A,TRUE,"GENERAL"}</definedName>
    <definedName name="nhncfgn" localSheetId="20">{"TAB1",#N/A,TRUE,"GENERAL";"TAB2",#N/A,TRUE,"GENERAL";"TAB3",#N/A,TRUE,"GENERAL";"TAB4",#N/A,TRUE,"GENERAL";"TAB5",#N/A,TRUE,"GENERAL"}</definedName>
    <definedName name="nhncfgn" localSheetId="21">{"TAB1",#N/A,TRUE,"GENERAL";"TAB2",#N/A,TRUE,"GENERAL";"TAB3",#N/A,TRUE,"GENERAL";"TAB4",#N/A,TRUE,"GENERAL";"TAB5",#N/A,TRUE,"GENERAL"}</definedName>
    <definedName name="nhncfgn" localSheetId="9">{"TAB1",#N/A,TRUE,"GENERAL";"TAB2",#N/A,TRUE,"GENERAL";"TAB3",#N/A,TRUE,"GENERAL";"TAB4",#N/A,TRUE,"GENERAL";"TAB5",#N/A,TRUE,"GENERAL"}</definedName>
    <definedName name="nhncfgn" localSheetId="19">{"TAB1",#N/A,TRUE,"GENERAL";"TAB2",#N/A,TRUE,"GENERAL";"TAB3",#N/A,TRUE,"GENERAL";"TAB4",#N/A,TRUE,"GENERAL";"TAB5",#N/A,TRUE,"GENERAL"}</definedName>
    <definedName name="nhncfgn" localSheetId="28">{"TAB1",#N/A,TRUE,"GENERAL";"TAB2",#N/A,TRUE,"GENERAL";"TAB3",#N/A,TRUE,"GENERAL";"TAB4",#N/A,TRUE,"GENERAL";"TAB5",#N/A,TRUE,"GENERAL"}</definedName>
    <definedName name="nhncfgn" localSheetId="29">{"TAB1",#N/A,TRUE,"GENERAL";"TAB2",#N/A,TRUE,"GENERAL";"TAB3",#N/A,TRUE,"GENERAL";"TAB4",#N/A,TRUE,"GENERAL";"TAB5",#N/A,TRUE,"GENERAL"}</definedName>
    <definedName name="nhncfgn">{"TAB1",#N/A,TRUE,"GENERAL";"TAB2",#N/A,TRUE,"GENERAL";"TAB3",#N/A,TRUE,"GENERAL";"TAB4",#N/A,TRUE,"GENERAL";"TAB5",#N/A,TRUE,"GENERAL"}</definedName>
    <definedName name="nhndr" localSheetId="39">{"via1",#N/A,TRUE,"general";"via2",#N/A,TRUE,"general";"via3",#N/A,TRUE,"general"}</definedName>
    <definedName name="nhndr" localSheetId="20">{"via1",#N/A,TRUE,"general";"via2",#N/A,TRUE,"general";"via3",#N/A,TRUE,"general"}</definedName>
    <definedName name="nhndr" localSheetId="21">{"via1",#N/A,TRUE,"general";"via2",#N/A,TRUE,"general";"via3",#N/A,TRUE,"general"}</definedName>
    <definedName name="nhndr" localSheetId="9">{"via1",#N/A,TRUE,"general";"via2",#N/A,TRUE,"general";"via3",#N/A,TRUE,"general"}</definedName>
    <definedName name="nhndr" localSheetId="19">{"via1",#N/A,TRUE,"general";"via2",#N/A,TRUE,"general";"via3",#N/A,TRUE,"general"}</definedName>
    <definedName name="nhndr" localSheetId="28">{"via1",#N/A,TRUE,"general";"via2",#N/A,TRUE,"general";"via3",#N/A,TRUE,"general"}</definedName>
    <definedName name="nhndr" localSheetId="29">{"via1",#N/A,TRUE,"general";"via2",#N/A,TRUE,"general";"via3",#N/A,TRUE,"general"}</definedName>
    <definedName name="nhndr">{"via1",#N/A,TRUE,"general";"via2",#N/A,TRUE,"general";"via3",#N/A,TRUE,"general"}</definedName>
    <definedName name="nic_nis">[238]Hoja1!$A$1:$IV$65536</definedName>
    <definedName name="ninguno">#REF!</definedName>
    <definedName name="NIPLE_DE_1_2__ROSCADO_DE_HG_x_L__3_PULGADAS">#REF!</definedName>
    <definedName name="NIPLE_DE_3__B_x_EL_L__0.25_MTS">#REF!</definedName>
    <definedName name="NIPLE_DE_4__B_x_EL_L__0.25_MTS">#REF!</definedName>
    <definedName name="NIPLE_L__0.25">#REF!</definedName>
    <definedName name="NIVEL">'[81]BASE DE DATOS ORIG'!#REF!</definedName>
    <definedName name="Nivel1">#REF!</definedName>
    <definedName name="Nivel2">#REF!</definedName>
    <definedName name="Nivel3">#REF!</definedName>
    <definedName name="Nivel4">#REF!</definedName>
    <definedName name="nj">#REF!</definedName>
    <definedName name="NJH">#REF!</definedName>
    <definedName name="NM">#REF!</definedName>
    <definedName name="NMH" localSheetId="9">#REF!</definedName>
    <definedName name="NMH">#REF!</definedName>
    <definedName name="nmmmm" localSheetId="39">{"via1",#N/A,TRUE,"general";"via2",#N/A,TRUE,"general";"via3",#N/A,TRUE,"general"}</definedName>
    <definedName name="nmmmm" localSheetId="20">{"via1",#N/A,TRUE,"general";"via2",#N/A,TRUE,"general";"via3",#N/A,TRUE,"general"}</definedName>
    <definedName name="nmmmm" localSheetId="21">{"via1",#N/A,TRUE,"general";"via2",#N/A,TRUE,"general";"via3",#N/A,TRUE,"general"}</definedName>
    <definedName name="nmmmm" localSheetId="9">{"via1",#N/A,TRUE,"general";"via2",#N/A,TRUE,"general";"via3",#N/A,TRUE,"general"}</definedName>
    <definedName name="nmmmm" localSheetId="19">{"via1",#N/A,TRUE,"general";"via2",#N/A,TRUE,"general";"via3",#N/A,TRUE,"general"}</definedName>
    <definedName name="nmmmm" localSheetId="28">{"via1",#N/A,TRUE,"general";"via2",#N/A,TRUE,"general";"via3",#N/A,TRUE,"general"}</definedName>
    <definedName name="nmmmm" localSheetId="29">{"via1",#N/A,TRUE,"general";"via2",#N/A,TRUE,"general";"via3",#N/A,TRUE,"general"}</definedName>
    <definedName name="nmmmm">{"via1",#N/A,TRUE,"general";"via2",#N/A,TRUE,"general";"via3",#N/A,TRUE,"general"}</definedName>
    <definedName name="NN" localSheetId="39">{"TAB1",#N/A,TRUE,"GENERAL";"TAB2",#N/A,TRUE,"GENERAL";"TAB3",#N/A,TRUE,"GENERAL";"TAB4",#N/A,TRUE,"GENERAL";"TAB5",#N/A,TRUE,"GENERAL"}</definedName>
    <definedName name="NN" localSheetId="20">{"TAB1",#N/A,TRUE,"GENERAL";"TAB2",#N/A,TRUE,"GENERAL";"TAB3",#N/A,TRUE,"GENERAL";"TAB4",#N/A,TRUE,"GENERAL";"TAB5",#N/A,TRUE,"GENERAL"}</definedName>
    <definedName name="NN" localSheetId="21">{"TAB1",#N/A,TRUE,"GENERAL";"TAB2",#N/A,TRUE,"GENERAL";"TAB3",#N/A,TRUE,"GENERAL";"TAB4",#N/A,TRUE,"GENERAL";"TAB5",#N/A,TRUE,"GENERAL"}</definedName>
    <definedName name="NN" localSheetId="9">{"TAB1",#N/A,TRUE,"GENERAL";"TAB2",#N/A,TRUE,"GENERAL";"TAB3",#N/A,TRUE,"GENERAL";"TAB4",#N/A,TRUE,"GENERAL";"TAB5",#N/A,TRUE,"GENERAL"}</definedName>
    <definedName name="NN" localSheetId="19">{"TAB1",#N/A,TRUE,"GENERAL";"TAB2",#N/A,TRUE,"GENERAL";"TAB3",#N/A,TRUE,"GENERAL";"TAB4",#N/A,TRUE,"GENERAL";"TAB5",#N/A,TRUE,"GENERAL"}</definedName>
    <definedName name="NN" localSheetId="28">{"TAB1",#N/A,TRUE,"GENERAL";"TAB2",#N/A,TRUE,"GENERAL";"TAB3",#N/A,TRUE,"GENERAL";"TAB4",#N/A,TRUE,"GENERAL";"TAB5",#N/A,TRUE,"GENERAL"}</definedName>
    <definedName name="NN" localSheetId="29">{"TAB1",#N/A,TRUE,"GENERAL";"TAB2",#N/A,TRUE,"GENERAL";"TAB3",#N/A,TRUE,"GENERAL";"TAB4",#N/A,TRUE,"GENERAL";"TAB5",#N/A,TRUE,"GENERAL"}</definedName>
    <definedName name="NN">{"TAB1",#N/A,TRUE,"GENERAL";"TAB2",#N/A,TRUE,"GENERAL";"TAB3",#N/A,TRUE,"GENERAL";"TAB4",#N/A,TRUE,"GENERAL";"TAB5",#N/A,TRUE,"GENERAL"}</definedName>
    <definedName name="nndng" localSheetId="39">{"TAB1",#N/A,TRUE,"GENERAL";"TAB2",#N/A,TRUE,"GENERAL";"TAB3",#N/A,TRUE,"GENERAL";"TAB4",#N/A,TRUE,"GENERAL";"TAB5",#N/A,TRUE,"GENERAL"}</definedName>
    <definedName name="nndng" localSheetId="20">{"TAB1",#N/A,TRUE,"GENERAL";"TAB2",#N/A,TRUE,"GENERAL";"TAB3",#N/A,TRUE,"GENERAL";"TAB4",#N/A,TRUE,"GENERAL";"TAB5",#N/A,TRUE,"GENERAL"}</definedName>
    <definedName name="nndng" localSheetId="21">{"TAB1",#N/A,TRUE,"GENERAL";"TAB2",#N/A,TRUE,"GENERAL";"TAB3",#N/A,TRUE,"GENERAL";"TAB4",#N/A,TRUE,"GENERAL";"TAB5",#N/A,TRUE,"GENERAL"}</definedName>
    <definedName name="nndng" localSheetId="9">{"TAB1",#N/A,TRUE,"GENERAL";"TAB2",#N/A,TRUE,"GENERAL";"TAB3",#N/A,TRUE,"GENERAL";"TAB4",#N/A,TRUE,"GENERAL";"TAB5",#N/A,TRUE,"GENERAL"}</definedName>
    <definedName name="nndng" localSheetId="19">{"TAB1",#N/A,TRUE,"GENERAL";"TAB2",#N/A,TRUE,"GENERAL";"TAB3",#N/A,TRUE,"GENERAL";"TAB4",#N/A,TRUE,"GENERAL";"TAB5",#N/A,TRUE,"GENERAL"}</definedName>
    <definedName name="nndng" localSheetId="28">{"TAB1",#N/A,TRUE,"GENERAL";"TAB2",#N/A,TRUE,"GENERAL";"TAB3",#N/A,TRUE,"GENERAL";"TAB4",#N/A,TRUE,"GENERAL";"TAB5",#N/A,TRUE,"GENERAL"}</definedName>
    <definedName name="nndng" localSheetId="29">{"TAB1",#N/A,TRUE,"GENERAL";"TAB2",#N/A,TRUE,"GENERAL";"TAB3",#N/A,TRUE,"GENERAL";"TAB4",#N/A,TRUE,"GENERAL";"TAB5",#N/A,TRUE,"GENERAL"}</definedName>
    <definedName name="nndng">{"TAB1",#N/A,TRUE,"GENERAL";"TAB2",#N/A,TRUE,"GENERAL";"TAB3",#N/A,TRUE,"GENERAL";"TAB4",#N/A,TRUE,"GENERAL";"TAB5",#N/A,TRUE,"GENERAL"}</definedName>
    <definedName name="nnn" localSheetId="39">{"TAB1",#N/A,TRUE,"GENERAL";"TAB2",#N/A,TRUE,"GENERAL";"TAB3",#N/A,TRUE,"GENERAL";"TAB4",#N/A,TRUE,"GENERAL";"TAB5",#N/A,TRUE,"GENERAL"}</definedName>
    <definedName name="nnn" localSheetId="20">{"TAB1",#N/A,TRUE,"GENERAL";"TAB2",#N/A,TRUE,"GENERAL";"TAB3",#N/A,TRUE,"GENERAL";"TAB4",#N/A,TRUE,"GENERAL";"TAB5",#N/A,TRUE,"GENERAL"}</definedName>
    <definedName name="nnn" localSheetId="21">{"TAB1",#N/A,TRUE,"GENERAL";"TAB2",#N/A,TRUE,"GENERAL";"TAB3",#N/A,TRUE,"GENERAL";"TAB4",#N/A,TRUE,"GENERAL";"TAB5",#N/A,TRUE,"GENERAL"}</definedName>
    <definedName name="nnn" localSheetId="9">{"TAB1",#N/A,TRUE,"GENERAL";"TAB2",#N/A,TRUE,"GENERAL";"TAB3",#N/A,TRUE,"GENERAL";"TAB4",#N/A,TRUE,"GENERAL";"TAB5",#N/A,TRUE,"GENERAL"}</definedName>
    <definedName name="nnn" localSheetId="19">{"TAB1",#N/A,TRUE,"GENERAL";"TAB2",#N/A,TRUE,"GENERAL";"TAB3",#N/A,TRUE,"GENERAL";"TAB4",#N/A,TRUE,"GENERAL";"TAB5",#N/A,TRUE,"GENERAL"}</definedName>
    <definedName name="NNN" localSheetId="17">[22]!absc</definedName>
    <definedName name="NNN" localSheetId="18">[22]!absc</definedName>
    <definedName name="nnn" localSheetId="28">{"TAB1",#N/A,TRUE,"GENERAL";"TAB2",#N/A,TRUE,"GENERAL";"TAB3",#N/A,TRUE,"GENERAL";"TAB4",#N/A,TRUE,"GENERAL";"TAB5",#N/A,TRUE,"GENERAL"}</definedName>
    <definedName name="nnn" localSheetId="29">{"TAB1",#N/A,TRUE,"GENERAL";"TAB2",#N/A,TRUE,"GENERAL";"TAB3",#N/A,TRUE,"GENERAL";"TAB4",#N/A,TRUE,"GENERAL";"TAB5",#N/A,TRUE,"GENERAL"}</definedName>
    <definedName name="NNN" localSheetId="12">[22]!absc</definedName>
    <definedName name="nnn">{"TAB1",#N/A,TRUE,"GENERAL";"TAB2",#N/A,TRUE,"GENERAL";"TAB3",#N/A,TRUE,"GENERAL";"TAB4",#N/A,TRUE,"GENERAL";"TAB5",#N/A,TRUE,"GENERAL"}</definedName>
    <definedName name="nnnhd" localSheetId="39">{"via1",#N/A,TRUE,"general";"via2",#N/A,TRUE,"general";"via3",#N/A,TRUE,"general"}</definedName>
    <definedName name="nnnhd" localSheetId="20">{"via1",#N/A,TRUE,"general";"via2",#N/A,TRUE,"general";"via3",#N/A,TRUE,"general"}</definedName>
    <definedName name="nnnhd" localSheetId="21">{"via1",#N/A,TRUE,"general";"via2",#N/A,TRUE,"general";"via3",#N/A,TRUE,"general"}</definedName>
    <definedName name="nnnhd" localSheetId="9">{"via1",#N/A,TRUE,"general";"via2",#N/A,TRUE,"general";"via3",#N/A,TRUE,"general"}</definedName>
    <definedName name="nnnhd" localSheetId="19">{"via1",#N/A,TRUE,"general";"via2",#N/A,TRUE,"general";"via3",#N/A,TRUE,"general"}</definedName>
    <definedName name="nnnhd" localSheetId="28">{"via1",#N/A,TRUE,"general";"via2",#N/A,TRUE,"general";"via3",#N/A,TRUE,"general"}</definedName>
    <definedName name="nnnhd" localSheetId="29">{"via1",#N/A,TRUE,"general";"via2",#N/A,TRUE,"general";"via3",#N/A,TRUE,"general"}</definedName>
    <definedName name="nnnhd">{"via1",#N/A,TRUE,"general";"via2",#N/A,TRUE,"general";"via3",#N/A,TRUE,"general"}</definedName>
    <definedName name="nnnnn" localSheetId="39">{"via1",#N/A,TRUE,"general";"via2",#N/A,TRUE,"general";"via3",#N/A,TRUE,"general"}</definedName>
    <definedName name="nnnnn" localSheetId="20">{"via1",#N/A,TRUE,"general";"via2",#N/A,TRUE,"general";"via3",#N/A,TRUE,"general"}</definedName>
    <definedName name="nnnnn" localSheetId="21">{"via1",#N/A,TRUE,"general";"via2",#N/A,TRUE,"general";"via3",#N/A,TRUE,"general"}</definedName>
    <definedName name="nnnnn" localSheetId="9">{"via1",#N/A,TRUE,"general";"via2",#N/A,TRUE,"general";"via3",#N/A,TRUE,"general"}</definedName>
    <definedName name="nnnnn" localSheetId="19">{"via1",#N/A,TRUE,"general";"via2",#N/A,TRUE,"general";"via3",#N/A,TRUE,"general"}</definedName>
    <definedName name="nnnnn" localSheetId="28">{"via1",#N/A,TRUE,"general";"via2",#N/A,TRUE,"general";"via3",#N/A,TRUE,"general"}</definedName>
    <definedName name="nnnnn" localSheetId="29">{"via1",#N/A,TRUE,"general";"via2",#N/A,TRUE,"general";"via3",#N/A,TRUE,"general"}</definedName>
    <definedName name="nnnnn">{"via1",#N/A,TRUE,"general";"via2",#N/A,TRUE,"general";"via3",#N/A,TRUE,"general"}</definedName>
    <definedName name="nnnnnd" localSheetId="39">{"TAB1",#N/A,TRUE,"GENERAL";"TAB2",#N/A,TRUE,"GENERAL";"TAB3",#N/A,TRUE,"GENERAL";"TAB4",#N/A,TRUE,"GENERAL";"TAB5",#N/A,TRUE,"GENERAL"}</definedName>
    <definedName name="nnnnnd" localSheetId="20">{"TAB1",#N/A,TRUE,"GENERAL";"TAB2",#N/A,TRUE,"GENERAL";"TAB3",#N/A,TRUE,"GENERAL";"TAB4",#N/A,TRUE,"GENERAL";"TAB5",#N/A,TRUE,"GENERAL"}</definedName>
    <definedName name="nnnnnd" localSheetId="21">{"TAB1",#N/A,TRUE,"GENERAL";"TAB2",#N/A,TRUE,"GENERAL";"TAB3",#N/A,TRUE,"GENERAL";"TAB4",#N/A,TRUE,"GENERAL";"TAB5",#N/A,TRUE,"GENERAL"}</definedName>
    <definedName name="nnnnnd" localSheetId="9">{"TAB1",#N/A,TRUE,"GENERAL";"TAB2",#N/A,TRUE,"GENERAL";"TAB3",#N/A,TRUE,"GENERAL";"TAB4",#N/A,TRUE,"GENERAL";"TAB5",#N/A,TRUE,"GENERAL"}</definedName>
    <definedName name="nnnnnd" localSheetId="19">{"TAB1",#N/A,TRUE,"GENERAL";"TAB2",#N/A,TRUE,"GENERAL";"TAB3",#N/A,TRUE,"GENERAL";"TAB4",#N/A,TRUE,"GENERAL";"TAB5",#N/A,TRUE,"GENERAL"}</definedName>
    <definedName name="nnnnnd" localSheetId="28">{"TAB1",#N/A,TRUE,"GENERAL";"TAB2",#N/A,TRUE,"GENERAL";"TAB3",#N/A,TRUE,"GENERAL";"TAB4",#N/A,TRUE,"GENERAL";"TAB5",#N/A,TRUE,"GENERAL"}</definedName>
    <definedName name="nnnnnd" localSheetId="29">{"TAB1",#N/A,TRUE,"GENERAL";"TAB2",#N/A,TRUE,"GENERAL";"TAB3",#N/A,TRUE,"GENERAL";"TAB4",#N/A,TRUE,"GENERAL";"TAB5",#N/A,TRUE,"GENERAL"}</definedName>
    <definedName name="nnnnnd">{"TAB1",#N/A,TRUE,"GENERAL";"TAB2",#N/A,TRUE,"GENERAL";"TAB3",#N/A,TRUE,"GENERAL";"TAB4",#N/A,TRUE,"GENERAL";"TAB5",#N/A,TRUE,"GENERAL"}</definedName>
    <definedName name="nnnnnf" localSheetId="39">{"TAB1",#N/A,TRUE,"GENERAL";"TAB2",#N/A,TRUE,"GENERAL";"TAB3",#N/A,TRUE,"GENERAL";"TAB4",#N/A,TRUE,"GENERAL";"TAB5",#N/A,TRUE,"GENERAL"}</definedName>
    <definedName name="nnnnnf" localSheetId="20">{"TAB1",#N/A,TRUE,"GENERAL";"TAB2",#N/A,TRUE,"GENERAL";"TAB3",#N/A,TRUE,"GENERAL";"TAB4",#N/A,TRUE,"GENERAL";"TAB5",#N/A,TRUE,"GENERAL"}</definedName>
    <definedName name="nnnnnf" localSheetId="21">{"TAB1",#N/A,TRUE,"GENERAL";"TAB2",#N/A,TRUE,"GENERAL";"TAB3",#N/A,TRUE,"GENERAL";"TAB4",#N/A,TRUE,"GENERAL";"TAB5",#N/A,TRUE,"GENERAL"}</definedName>
    <definedName name="nnnnnf" localSheetId="9">{"TAB1",#N/A,TRUE,"GENERAL";"TAB2",#N/A,TRUE,"GENERAL";"TAB3",#N/A,TRUE,"GENERAL";"TAB4",#N/A,TRUE,"GENERAL";"TAB5",#N/A,TRUE,"GENERAL"}</definedName>
    <definedName name="nnnnnf" localSheetId="19">{"TAB1",#N/A,TRUE,"GENERAL";"TAB2",#N/A,TRUE,"GENERAL";"TAB3",#N/A,TRUE,"GENERAL";"TAB4",#N/A,TRUE,"GENERAL";"TAB5",#N/A,TRUE,"GENERAL"}</definedName>
    <definedName name="nnnnnf" localSheetId="28">{"TAB1",#N/A,TRUE,"GENERAL";"TAB2",#N/A,TRUE,"GENERAL";"TAB3",#N/A,TRUE,"GENERAL";"TAB4",#N/A,TRUE,"GENERAL";"TAB5",#N/A,TRUE,"GENERAL"}</definedName>
    <definedName name="nnnnnf" localSheetId="29">{"TAB1",#N/A,TRUE,"GENERAL";"TAB2",#N/A,TRUE,"GENERAL";"TAB3",#N/A,TRUE,"GENERAL";"TAB4",#N/A,TRUE,"GENERAL";"TAB5",#N/A,TRUE,"GENERAL"}</definedName>
    <definedName name="nnnnnf">{"TAB1",#N/A,TRUE,"GENERAL";"TAB2",#N/A,TRUE,"GENERAL";"TAB3",#N/A,TRUE,"GENERAL";"TAB4",#N/A,TRUE,"GENERAL";"TAB5",#N/A,TRUE,"GENERAL"}</definedName>
    <definedName name="nnnnnh" localSheetId="39">{"via1",#N/A,TRUE,"general";"via2",#N/A,TRUE,"general";"via3",#N/A,TRUE,"general"}</definedName>
    <definedName name="nnnnnh" localSheetId="20">{"via1",#N/A,TRUE,"general";"via2",#N/A,TRUE,"general";"via3",#N/A,TRUE,"general"}</definedName>
    <definedName name="nnnnnh" localSheetId="21">{"via1",#N/A,TRUE,"general";"via2",#N/A,TRUE,"general";"via3",#N/A,TRUE,"general"}</definedName>
    <definedName name="nnnnnh" localSheetId="9">{"via1",#N/A,TRUE,"general";"via2",#N/A,TRUE,"general";"via3",#N/A,TRUE,"general"}</definedName>
    <definedName name="nnnnnh" localSheetId="19">{"via1",#N/A,TRUE,"general";"via2",#N/A,TRUE,"general";"via3",#N/A,TRUE,"general"}</definedName>
    <definedName name="nnnnnh" localSheetId="28">{"via1",#N/A,TRUE,"general";"via2",#N/A,TRUE,"general";"via3",#N/A,TRUE,"general"}</definedName>
    <definedName name="nnnnnh" localSheetId="29">{"via1",#N/A,TRUE,"general";"via2",#N/A,TRUE,"general";"via3",#N/A,TRUE,"general"}</definedName>
    <definedName name="nnnnnh">{"via1",#N/A,TRUE,"general";"via2",#N/A,TRUE,"general";"via3",#N/A,TRUE,"general"}</definedName>
    <definedName name="no">#REF!</definedName>
    <definedName name="NOA_4">#REF!</definedName>
    <definedName name="NOA_7">#REF!</definedName>
    <definedName name="NoFacturable" localSheetId="9">'ENSAYOS DE LABORATORIO'!#REF!</definedName>
    <definedName name="NoFacturable">#REF!</definedName>
    <definedName name="Nombre" localSheetId="9">#REF!</definedName>
    <definedName name="NOMBRE" localSheetId="17">#REF!</definedName>
    <definedName name="NOMBRE" localSheetId="18">#REF!</definedName>
    <definedName name="NOMBRE" localSheetId="12">#REF!</definedName>
    <definedName name="Nombre">#REF!</definedName>
    <definedName name="NombrePrestador" localSheetId="10">#REF!</definedName>
    <definedName name="NombrePrestador" localSheetId="20">#REF!</definedName>
    <definedName name="NombrePrestador" localSheetId="21">#REF!</definedName>
    <definedName name="NombrePrestador">#REF!</definedName>
    <definedName name="NOMINA">#REF!</definedName>
    <definedName name="Nomina06">[17]Gastos!#REF!</definedName>
    <definedName name="NoRepAtEnd">#REF!</definedName>
    <definedName name="Norte">#REF!</definedName>
    <definedName name="NORTE_DE_SANTANDER" localSheetId="10">#REF!</definedName>
    <definedName name="NORTE_DE_SANTANDER" localSheetId="20">'CRONOGRAMA Y FLUJO (OXI)'!#REF!</definedName>
    <definedName name="NORTE_DE_SANTANDER" localSheetId="21">'CRONOGRAMA Y FLUJO .'!#REF!</definedName>
    <definedName name="NORTE_DE_SANTANDER" localSheetId="19">#REF!</definedName>
    <definedName name="NORTE_DE_SANTANDER" localSheetId="17">#REF!</definedName>
    <definedName name="NORTE_DE_SANTANDER" localSheetId="18">#REF!</definedName>
    <definedName name="NORTE_DE_SANTANDER" localSheetId="12">#REF!</definedName>
    <definedName name="NORTE_DE_SANTANDER">#REF!</definedName>
    <definedName name="North_sales">[93]Royalties!#REF!</definedName>
    <definedName name="NoSuscriptores" localSheetId="10">#REF!</definedName>
    <definedName name="NoSuscriptores" localSheetId="20">#REF!</definedName>
    <definedName name="NoSuscriptores" localSheetId="21">#REF!</definedName>
    <definedName name="NoSuscriptores" localSheetId="17">#REF!</definedName>
    <definedName name="NoSuscriptores" localSheetId="18">#REF!</definedName>
    <definedName name="NoSuscriptores" localSheetId="12">#REF!</definedName>
    <definedName name="NoSuscriptores">#REF!</definedName>
    <definedName name="NOV">#REF!</definedName>
    <definedName name="nov00">[17]Dólar!#REF!</definedName>
    <definedName name="nr">#REF!</definedName>
    <definedName name="NSEM">[65]dts!$B$16</definedName>
    <definedName name="nt">#REF!</definedName>
    <definedName name="nuevo" localSheetId="39">#REF!</definedName>
    <definedName name="nuevo" localSheetId="17">#REF!</definedName>
    <definedName name="nuevo" localSheetId="18">#REF!</definedName>
    <definedName name="nuevo" localSheetId="12">#REF!</definedName>
    <definedName name="nuevo">#REF!</definedName>
    <definedName name="Num_Pmt_Per_Year">#REF!</definedName>
    <definedName name="Number_of_Payments" localSheetId="17">MATCH(0.01,End_Bal,-1)+1</definedName>
    <definedName name="Number_of_Payments" localSheetId="28">MATCH(0.01,End_Bal,-1)+1</definedName>
    <definedName name="Number_of_Payments" localSheetId="29">MATCH(0.01,End_Bal,-1)+1</definedName>
    <definedName name="Number_of_Payments" localSheetId="12">MATCH(0.01,End_Bal,-1)+1</definedName>
    <definedName name="Number_of_Payments">MATCH(0.01,End_Bal,-1)+1</definedName>
    <definedName name="NUNI">#REF!</definedName>
    <definedName name="nxn" localSheetId="39">{"via1",#N/A,TRUE,"general";"via2",#N/A,TRUE,"general";"via3",#N/A,TRUE,"general"}</definedName>
    <definedName name="nxn" localSheetId="20">{"via1",#N/A,TRUE,"general";"via2",#N/A,TRUE,"general";"via3",#N/A,TRUE,"general"}</definedName>
    <definedName name="nxn" localSheetId="21">{"via1",#N/A,TRUE,"general";"via2",#N/A,TRUE,"general";"via3",#N/A,TRUE,"general"}</definedName>
    <definedName name="nxn" localSheetId="9">{"via1",#N/A,TRUE,"general";"via2",#N/A,TRUE,"general";"via3",#N/A,TRUE,"general"}</definedName>
    <definedName name="nxn" localSheetId="19">{"via1",#N/A,TRUE,"general";"via2",#N/A,TRUE,"general";"via3",#N/A,TRUE,"general"}</definedName>
    <definedName name="nxn" localSheetId="28">{"via1",#N/A,TRUE,"general";"via2",#N/A,TRUE,"general";"via3",#N/A,TRUE,"general"}</definedName>
    <definedName name="nxn" localSheetId="29">{"via1",#N/A,TRUE,"general";"via2",#N/A,TRUE,"general";"via3",#N/A,TRUE,"general"}</definedName>
    <definedName name="nxn">{"via1",#N/A,TRUE,"general";"via2",#N/A,TRUE,"general";"via3",#N/A,TRUE,"general"}</definedName>
    <definedName name="Ñ">#REF!</definedName>
    <definedName name="ñl">#REF!</definedName>
    <definedName name="ÑÑ" localSheetId="9">#REF!</definedName>
    <definedName name="ññ" localSheetId="17">#REF!</definedName>
    <definedName name="ññ" localSheetId="18">#REF!</definedName>
    <definedName name="ññ" localSheetId="12">#REF!</definedName>
    <definedName name="ÑÑ">#REF!</definedName>
    <definedName name="ÑÑÑ">#REF!</definedName>
    <definedName name="ñok">#REF!</definedName>
    <definedName name="ñp">#REF!</definedName>
    <definedName name="ñpñpñ" localSheetId="39">{"via1",#N/A,TRUE,"general";"via2",#N/A,TRUE,"general";"via3",#N/A,TRUE,"general"}</definedName>
    <definedName name="ñpñpñ" localSheetId="20">{"via1",#N/A,TRUE,"general";"via2",#N/A,TRUE,"general";"via3",#N/A,TRUE,"general"}</definedName>
    <definedName name="ñpñpñ" localSheetId="21">{"via1",#N/A,TRUE,"general";"via2",#N/A,TRUE,"general";"via3",#N/A,TRUE,"general"}</definedName>
    <definedName name="ñpñpñ" localSheetId="9">{"via1",#N/A,TRUE,"general";"via2",#N/A,TRUE,"general";"via3",#N/A,TRUE,"general"}</definedName>
    <definedName name="ñpñpñ" localSheetId="19">{"via1",#N/A,TRUE,"general";"via2",#N/A,TRUE,"general";"via3",#N/A,TRUE,"general"}</definedName>
    <definedName name="ñpñpñ" localSheetId="28">{"via1",#N/A,TRUE,"general";"via2",#N/A,TRUE,"general";"via3",#N/A,TRUE,"general"}</definedName>
    <definedName name="ñpñpñ" localSheetId="29">{"via1",#N/A,TRUE,"general";"via2",#N/A,TRUE,"general";"via3",#N/A,TRUE,"general"}</definedName>
    <definedName name="ñpñpñ">{"via1",#N/A,TRUE,"general";"via2",#N/A,TRUE,"general";"via3",#N/A,TRUE,"general"}</definedName>
    <definedName name="ñpo">#REF!</definedName>
    <definedName name="O">#REF!</definedName>
    <definedName name="o9o9" localSheetId="39">{"via1",#N/A,TRUE,"general";"via2",#N/A,TRUE,"general";"via3",#N/A,TRUE,"general"}</definedName>
    <definedName name="o9o9" localSheetId="20">{"via1",#N/A,TRUE,"general";"via2",#N/A,TRUE,"general";"via3",#N/A,TRUE,"general"}</definedName>
    <definedName name="o9o9" localSheetId="21">{"via1",#N/A,TRUE,"general";"via2",#N/A,TRUE,"general";"via3",#N/A,TRUE,"general"}</definedName>
    <definedName name="o9o9" localSheetId="9">{"via1",#N/A,TRUE,"general";"via2",#N/A,TRUE,"general";"via3",#N/A,TRUE,"general"}</definedName>
    <definedName name="o9o9" localSheetId="19">{"via1",#N/A,TRUE,"general";"via2",#N/A,TRUE,"general";"via3",#N/A,TRUE,"general"}</definedName>
    <definedName name="o9o9" localSheetId="28">{"via1",#N/A,TRUE,"general";"via2",#N/A,TRUE,"general";"via3",#N/A,TRUE,"general"}</definedName>
    <definedName name="o9o9" localSheetId="29">{"via1",#N/A,TRUE,"general";"via2",#N/A,TRUE,"general";"via3",#N/A,TRUE,"general"}</definedName>
    <definedName name="o9o9">{"via1",#N/A,TRUE,"general";"via2",#N/A,TRUE,"general";"via3",#N/A,TRUE,"general"}</definedName>
    <definedName name="objetivospolítica">'[38]Objetivos de Política'!$B$2:$B$214</definedName>
    <definedName name="OBJETO" localSheetId="17">[65]dts!$B$2</definedName>
    <definedName name="OBJETO" localSheetId="18">[65]dts!$B$2</definedName>
    <definedName name="OBJETO" localSheetId="12">[65]dts!$B$2</definedName>
    <definedName name="Objeto">'[116]Datos básicos'!$B$4</definedName>
    <definedName name="Obra">#REF!</definedName>
    <definedName name="OBS_Data_Col" localSheetId="20" hidden="1">#REF!</definedName>
    <definedName name="OBS_Data_Col" localSheetId="21" hidden="1">#REF!</definedName>
    <definedName name="OBS_Data_Col" localSheetId="13" hidden="1">#REF!</definedName>
    <definedName name="OBS_Data_Col" hidden="1">#REF!</definedName>
    <definedName name="OCEquipData">#REF!</definedName>
    <definedName name="OCT">#REF!</definedName>
    <definedName name="oct00">[17]Dólar!#REF!</definedName>
    <definedName name="OFFICE_ENTITY">#REF!</definedName>
    <definedName name="OFICIAL">[239]PRECIOS!$B$17</definedName>
    <definedName name="Oficina" localSheetId="9">'ENSAYOS DE LABORATORIO'!#REF!</definedName>
    <definedName name="Oficina">#REF!</definedName>
    <definedName name="OHaulCostOutput">#REF!</definedName>
    <definedName name="oiret" localSheetId="39">{"TAB1",#N/A,TRUE,"GENERAL";"TAB2",#N/A,TRUE,"GENERAL";"TAB3",#N/A,TRUE,"GENERAL";"TAB4",#N/A,TRUE,"GENERAL";"TAB5",#N/A,TRUE,"GENERAL"}</definedName>
    <definedName name="oiret" localSheetId="20">{"TAB1",#N/A,TRUE,"GENERAL";"TAB2",#N/A,TRUE,"GENERAL";"TAB3",#N/A,TRUE,"GENERAL";"TAB4",#N/A,TRUE,"GENERAL";"TAB5",#N/A,TRUE,"GENERAL"}</definedName>
    <definedName name="oiret" localSheetId="21">{"TAB1",#N/A,TRUE,"GENERAL";"TAB2",#N/A,TRUE,"GENERAL";"TAB3",#N/A,TRUE,"GENERAL";"TAB4",#N/A,TRUE,"GENERAL";"TAB5",#N/A,TRUE,"GENERAL"}</definedName>
    <definedName name="oiret" localSheetId="9">{"TAB1",#N/A,TRUE,"GENERAL";"TAB2",#N/A,TRUE,"GENERAL";"TAB3",#N/A,TRUE,"GENERAL";"TAB4",#N/A,TRUE,"GENERAL";"TAB5",#N/A,TRUE,"GENERAL"}</definedName>
    <definedName name="oiret" localSheetId="19">{"TAB1",#N/A,TRUE,"GENERAL";"TAB2",#N/A,TRUE,"GENERAL";"TAB3",#N/A,TRUE,"GENERAL";"TAB4",#N/A,TRUE,"GENERAL";"TAB5",#N/A,TRUE,"GENERAL"}</definedName>
    <definedName name="oiret" localSheetId="28">{"TAB1",#N/A,TRUE,"GENERAL";"TAB2",#N/A,TRUE,"GENERAL";"TAB3",#N/A,TRUE,"GENERAL";"TAB4",#N/A,TRUE,"GENERAL";"TAB5",#N/A,TRUE,"GENERAL"}</definedName>
    <definedName name="oiret" localSheetId="29">{"TAB1",#N/A,TRUE,"GENERAL";"TAB2",#N/A,TRUE,"GENERAL";"TAB3",#N/A,TRUE,"GENERAL";"TAB4",#N/A,TRUE,"GENERAL";"TAB5",#N/A,TRUE,"GENERAL"}</definedName>
    <definedName name="oiret">{"TAB1",#N/A,TRUE,"GENERAL";"TAB2",#N/A,TRUE,"GENERAL";"TAB3",#N/A,TRUE,"GENERAL";"TAB4",#N/A,TRUE,"GENERAL";"TAB5",#N/A,TRUE,"GENERAL"}</definedName>
    <definedName name="oirgrth" localSheetId="39">{"TAB1",#N/A,TRUE,"GENERAL";"TAB2",#N/A,TRUE,"GENERAL";"TAB3",#N/A,TRUE,"GENERAL";"TAB4",#N/A,TRUE,"GENERAL";"TAB5",#N/A,TRUE,"GENERAL"}</definedName>
    <definedName name="oirgrth" localSheetId="20">{"TAB1",#N/A,TRUE,"GENERAL";"TAB2",#N/A,TRUE,"GENERAL";"TAB3",#N/A,TRUE,"GENERAL";"TAB4",#N/A,TRUE,"GENERAL";"TAB5",#N/A,TRUE,"GENERAL"}</definedName>
    <definedName name="oirgrth" localSheetId="21">{"TAB1",#N/A,TRUE,"GENERAL";"TAB2",#N/A,TRUE,"GENERAL";"TAB3",#N/A,TRUE,"GENERAL";"TAB4",#N/A,TRUE,"GENERAL";"TAB5",#N/A,TRUE,"GENERAL"}</definedName>
    <definedName name="oirgrth" localSheetId="9">{"TAB1",#N/A,TRUE,"GENERAL";"TAB2",#N/A,TRUE,"GENERAL";"TAB3",#N/A,TRUE,"GENERAL";"TAB4",#N/A,TRUE,"GENERAL";"TAB5",#N/A,TRUE,"GENERAL"}</definedName>
    <definedName name="oirgrth" localSheetId="19">{"TAB1",#N/A,TRUE,"GENERAL";"TAB2",#N/A,TRUE,"GENERAL";"TAB3",#N/A,TRUE,"GENERAL";"TAB4",#N/A,TRUE,"GENERAL";"TAB5",#N/A,TRUE,"GENERAL"}</definedName>
    <definedName name="oirgrth" localSheetId="28">{"TAB1",#N/A,TRUE,"GENERAL";"TAB2",#N/A,TRUE,"GENERAL";"TAB3",#N/A,TRUE,"GENERAL";"TAB4",#N/A,TRUE,"GENERAL";"TAB5",#N/A,TRUE,"GENERAL"}</definedName>
    <definedName name="oirgrth" localSheetId="29">{"TAB1",#N/A,TRUE,"GENERAL";"TAB2",#N/A,TRUE,"GENERAL";"TAB3",#N/A,TRUE,"GENERAL";"TAB4",#N/A,TRUE,"GENERAL";"TAB5",#N/A,TRUE,"GENERAL"}</definedName>
    <definedName name="oirgrth">{"TAB1",#N/A,TRUE,"GENERAL";"TAB2",#N/A,TRUE,"GENERAL";"TAB3",#N/A,TRUE,"GENERAL";"TAB4",#N/A,TRUE,"GENERAL";"TAB5",#N/A,TRUE,"GENERAL"}</definedName>
    <definedName name="OIUOIU" localSheetId="39">{"via1",#N/A,TRUE,"general";"via2",#N/A,TRUE,"general";"via3",#N/A,TRUE,"general"}</definedName>
    <definedName name="OIUOIU" localSheetId="20">{"via1",#N/A,TRUE,"general";"via2",#N/A,TRUE,"general";"via3",#N/A,TRUE,"general"}</definedName>
    <definedName name="OIUOIU" localSheetId="21">{"via1",#N/A,TRUE,"general";"via2",#N/A,TRUE,"general";"via3",#N/A,TRUE,"general"}</definedName>
    <definedName name="OIUOIU" localSheetId="9">{"via1",#N/A,TRUE,"general";"via2",#N/A,TRUE,"general";"via3",#N/A,TRUE,"general"}</definedName>
    <definedName name="OIUOIU" localSheetId="19">{"via1",#N/A,TRUE,"general";"via2",#N/A,TRUE,"general";"via3",#N/A,TRUE,"general"}</definedName>
    <definedName name="OIUOIU" localSheetId="28">{"via1",#N/A,TRUE,"general";"via2",#N/A,TRUE,"general";"via3",#N/A,TRUE,"general"}</definedName>
    <definedName name="OIUOIU" localSheetId="29">{"via1",#N/A,TRUE,"general";"via2",#N/A,TRUE,"general";"via3",#N/A,TRUE,"general"}</definedName>
    <definedName name="OIUOIU">{"via1",#N/A,TRUE,"general";"via2",#N/A,TRUE,"general";"via3",#N/A,TRUE,"general"}</definedName>
    <definedName name="ojuojoijojoijdlf">#REF!</definedName>
    <definedName name="om">'[11]CALCULO POI'!$B$120:$C$154</definedName>
    <definedName name="OO">#REF!</definedName>
    <definedName name="ooo" localSheetId="39">{"via1",#N/A,TRUE,"general";"via2",#N/A,TRUE,"general";"via3",#N/A,TRUE,"general"}</definedName>
    <definedName name="ooo" localSheetId="20">{"via1",#N/A,TRUE,"general";"via2",#N/A,TRUE,"general";"via3",#N/A,TRUE,"general"}</definedName>
    <definedName name="ooo" localSheetId="21">{"via1",#N/A,TRUE,"general";"via2",#N/A,TRUE,"general";"via3",#N/A,TRUE,"general"}</definedName>
    <definedName name="ooo" localSheetId="9">{"via1",#N/A,TRUE,"general";"via2",#N/A,TRUE,"general";"via3",#N/A,TRUE,"general"}</definedName>
    <definedName name="ooo" localSheetId="19">{"via1",#N/A,TRUE,"general";"via2",#N/A,TRUE,"general";"via3",#N/A,TRUE,"general"}</definedName>
    <definedName name="ooo" localSheetId="17">#REF!</definedName>
    <definedName name="ooo" localSheetId="18">#REF!</definedName>
    <definedName name="ooo" localSheetId="28">{"via1",#N/A,TRUE,"general";"via2",#N/A,TRUE,"general";"via3",#N/A,TRUE,"general"}</definedName>
    <definedName name="ooo" localSheetId="29">{"via1",#N/A,TRUE,"general";"via2",#N/A,TRUE,"general";"via3",#N/A,TRUE,"general"}</definedName>
    <definedName name="ooo" localSheetId="12">#REF!</definedName>
    <definedName name="ooo">{"via1",#N/A,TRUE,"general";"via2",#N/A,TRUE,"general";"via3",#N/A,TRUE,"general"}</definedName>
    <definedName name="ooooiii" localSheetId="39">{"TAB1",#N/A,TRUE,"GENERAL";"TAB2",#N/A,TRUE,"GENERAL";"TAB3",#N/A,TRUE,"GENERAL";"TAB4",#N/A,TRUE,"GENERAL";"TAB5",#N/A,TRUE,"GENERAL"}</definedName>
    <definedName name="ooooiii" localSheetId="20">{"TAB1",#N/A,TRUE,"GENERAL";"TAB2",#N/A,TRUE,"GENERAL";"TAB3",#N/A,TRUE,"GENERAL";"TAB4",#N/A,TRUE,"GENERAL";"TAB5",#N/A,TRUE,"GENERAL"}</definedName>
    <definedName name="ooooiii" localSheetId="21">{"TAB1",#N/A,TRUE,"GENERAL";"TAB2",#N/A,TRUE,"GENERAL";"TAB3",#N/A,TRUE,"GENERAL";"TAB4",#N/A,TRUE,"GENERAL";"TAB5",#N/A,TRUE,"GENERAL"}</definedName>
    <definedName name="ooooiii" localSheetId="9">{"TAB1",#N/A,TRUE,"GENERAL";"TAB2",#N/A,TRUE,"GENERAL";"TAB3",#N/A,TRUE,"GENERAL";"TAB4",#N/A,TRUE,"GENERAL";"TAB5",#N/A,TRUE,"GENERAL"}</definedName>
    <definedName name="ooooiii" localSheetId="19">{"TAB1",#N/A,TRUE,"GENERAL";"TAB2",#N/A,TRUE,"GENERAL";"TAB3",#N/A,TRUE,"GENERAL";"TAB4",#N/A,TRUE,"GENERAL";"TAB5",#N/A,TRUE,"GENERAL"}</definedName>
    <definedName name="ooooiii" localSheetId="28">{"TAB1",#N/A,TRUE,"GENERAL";"TAB2",#N/A,TRUE,"GENERAL";"TAB3",#N/A,TRUE,"GENERAL";"TAB4",#N/A,TRUE,"GENERAL";"TAB5",#N/A,TRUE,"GENERAL"}</definedName>
    <definedName name="ooooiii" localSheetId="29">{"TAB1",#N/A,TRUE,"GENERAL";"TAB2",#N/A,TRUE,"GENERAL";"TAB3",#N/A,TRUE,"GENERAL";"TAB4",#N/A,TRUE,"GENERAL";"TAB5",#N/A,TRUE,"GENERAL"}</definedName>
    <definedName name="ooooiii">{"TAB1",#N/A,TRUE,"GENERAL";"TAB2",#N/A,TRUE,"GENERAL";"TAB3",#N/A,TRUE,"GENERAL";"TAB4",#N/A,TRUE,"GENERAL";"TAB5",#N/A,TRUE,"GENERAL"}</definedName>
    <definedName name="oooos" localSheetId="39">{"via1",#N/A,TRUE,"general";"via2",#N/A,TRUE,"general";"via3",#N/A,TRUE,"general"}</definedName>
    <definedName name="oooos" localSheetId="20">{"via1",#N/A,TRUE,"general";"via2",#N/A,TRUE,"general";"via3",#N/A,TRUE,"general"}</definedName>
    <definedName name="oooos" localSheetId="21">{"via1",#N/A,TRUE,"general";"via2",#N/A,TRUE,"general";"via3",#N/A,TRUE,"general"}</definedName>
    <definedName name="oooos" localSheetId="9">{"via1",#N/A,TRUE,"general";"via2",#N/A,TRUE,"general";"via3",#N/A,TRUE,"general"}</definedName>
    <definedName name="oooos" localSheetId="19">{"via1",#N/A,TRUE,"general";"via2",#N/A,TRUE,"general";"via3",#N/A,TRUE,"general"}</definedName>
    <definedName name="oooos" localSheetId="28">{"via1",#N/A,TRUE,"general";"via2",#N/A,TRUE,"general";"via3",#N/A,TRUE,"general"}</definedName>
    <definedName name="oooos" localSheetId="29">{"via1",#N/A,TRUE,"general";"via2",#N/A,TRUE,"general";"via3",#N/A,TRUE,"general"}</definedName>
    <definedName name="oooos">{"via1",#N/A,TRUE,"general";"via2",#N/A,TRUE,"general";"via3",#N/A,TRUE,"general"}</definedName>
    <definedName name="OP">#REF!</definedName>
    <definedName name="Openingpb" localSheetId="20" hidden="1">#REF!</definedName>
    <definedName name="Openingpb" localSheetId="21" hidden="1">#REF!</definedName>
    <definedName name="Openingpb" localSheetId="13" hidden="1">#REF!</definedName>
    <definedName name="Openingpb" hidden="1">#REF!</definedName>
    <definedName name="OpEquip">#REF!</definedName>
    <definedName name="OpexFac">[77]Sensitivities!$I$12</definedName>
    <definedName name="Option">[93]Title!$L$28</definedName>
    <definedName name="Orden">[240]Hoja2!$C$2:$C$6</definedName>
    <definedName name="OreToStorage.Check_tonne_error">#REF!</definedName>
    <definedName name="OreToStorage.Check_Tonnes">#REF!</definedName>
    <definedName name="OreToStorage.Check_Volume">#REF!</definedName>
    <definedName name="OreToStorage.Pulp_Density">#REF!</definedName>
    <definedName name="OrigenConsultoria">#REF!</definedName>
    <definedName name="OrigenObra" localSheetId="9">'[73]IMPUESTOS Y VR TOTAL'!$F$27</definedName>
    <definedName name="OrigenObra">#REF!</definedName>
    <definedName name="ORO">#REF!</definedName>
    <definedName name="os">#REF!</definedName>
    <definedName name="OSCAR" localSheetId="39">#REF!</definedName>
    <definedName name="OSCAR" localSheetId="20">#REF!</definedName>
    <definedName name="OSCAR" localSheetId="21">#REF!</definedName>
    <definedName name="OSCAR" localSheetId="9">#REF!</definedName>
    <definedName name="OSCAR">#REF!</definedName>
    <definedName name="OSL">#REF!</definedName>
    <definedName name="OtherCosts">#REF!</definedName>
    <definedName name="OTR">[241]Otros!$A:$IV</definedName>
    <definedName name="OTRO">[127]Otros!$A:$IV</definedName>
    <definedName name="otro2">[154]Otros!$A:$IV</definedName>
    <definedName name="otros" localSheetId="17">'[242]Datos del 2005 CONTRATO'!#REF!</definedName>
    <definedName name="otros" localSheetId="18">'[242]Datos del 2005 CONTRATO'!#REF!</definedName>
    <definedName name="otros" localSheetId="12">'[242]Datos del 2005 CONTRATO'!#REF!</definedName>
    <definedName name="otros">[155]otros!$A$6:$A$1235</definedName>
    <definedName name="OtrosServicios">#REF!</definedName>
    <definedName name="OtrosServiciosCostos">#REF!</definedName>
    <definedName name="OU_1">#REF!</definedName>
    <definedName name="OU_2">#REF!</definedName>
    <definedName name="OU_3">#REF!</definedName>
    <definedName name="OU_4">#REF!</definedName>
    <definedName name="OU_5">#REF!</definedName>
    <definedName name="ØuRn1v">[243]Cálculo!#REF!</definedName>
    <definedName name="ØuRn2v">[243]Cálculo!#REF!</definedName>
    <definedName name="OVER">#REF!</definedName>
    <definedName name="OWNER" localSheetId="20" hidden="1">#REF!</definedName>
    <definedName name="OWNER" localSheetId="21" hidden="1">#REF!</definedName>
    <definedName name="OWNER" localSheetId="13" hidden="1">#REF!</definedName>
    <definedName name="OWNER" hidden="1">#REF!</definedName>
    <definedName name="OxidoZn">#REF!</definedName>
    <definedName name="p" localSheetId="10">#REF!</definedName>
    <definedName name="p" localSheetId="20">#REF!</definedName>
    <definedName name="p" localSheetId="21">#REF!</definedName>
    <definedName name="p" localSheetId="17">#REF!</definedName>
    <definedName name="p" localSheetId="18">#REF!</definedName>
    <definedName name="p" localSheetId="12">#REF!</definedName>
    <definedName name="p">#REF!</definedName>
    <definedName name="p.BS" localSheetId="20" hidden="1">#REF!</definedName>
    <definedName name="p.BS" localSheetId="21" hidden="1">#REF!</definedName>
    <definedName name="p.BS" localSheetId="13" hidden="1">#REF!</definedName>
    <definedName name="p.BS" hidden="1">#REF!</definedName>
    <definedName name="p.BSAssumptions" localSheetId="13" hidden="1">#REF!</definedName>
    <definedName name="p.BSAssumptions" hidden="1">#REF!</definedName>
    <definedName name="p.CapStructure" localSheetId="13" hidden="1">#REF!</definedName>
    <definedName name="p.CapStructure" hidden="1">#REF!</definedName>
    <definedName name="p.CashFlow" localSheetId="13" hidden="1">#REF!</definedName>
    <definedName name="p.CashFlow" hidden="1">#REF!</definedName>
    <definedName name="p.Cover" localSheetId="13" hidden="1">#REF!</definedName>
    <definedName name="p.Cover" hidden="1">#REF!</definedName>
    <definedName name="p.Depreciation" localSheetId="13" hidden="1">#REF!</definedName>
    <definedName name="p.Depreciation" hidden="1">#REF!</definedName>
    <definedName name="p.Executive" localSheetId="13" hidden="1">#REF!</definedName>
    <definedName name="p.Executive" hidden="1">#REF!</definedName>
    <definedName name="p.FactSheet" localSheetId="13" hidden="1">#REF!</definedName>
    <definedName name="p.FactSheet" hidden="1">#REF!</definedName>
    <definedName name="p.IS" localSheetId="13" hidden="1">#REF!</definedName>
    <definedName name="p.IS" hidden="1">#REF!</definedName>
    <definedName name="p.ISAssumptions" localSheetId="13" hidden="1">#REF!</definedName>
    <definedName name="p.ISAssumptions" hidden="1">#REF!</definedName>
    <definedName name="p.OpeningBS" localSheetId="13" hidden="1">#REF!</definedName>
    <definedName name="p.OpeningBS" hidden="1">#REF!</definedName>
    <definedName name="p.TaxCalculation" localSheetId="13" hidden="1">#REF!</definedName>
    <definedName name="p.TaxCalculation" hidden="1">#REF!</definedName>
    <definedName name="p0p0" localSheetId="39">{"via1",#N/A,TRUE,"general";"via2",#N/A,TRUE,"general";"via3",#N/A,TRUE,"general"}</definedName>
    <definedName name="p0p0" localSheetId="20">{"via1",#N/A,TRUE,"general";"via2",#N/A,TRUE,"general";"via3",#N/A,TRUE,"general"}</definedName>
    <definedName name="p0p0" localSheetId="21">{"via1",#N/A,TRUE,"general";"via2",#N/A,TRUE,"general";"via3",#N/A,TRUE,"general"}</definedName>
    <definedName name="p0p0" localSheetId="9">{"via1",#N/A,TRUE,"general";"via2",#N/A,TRUE,"general";"via3",#N/A,TRUE,"general"}</definedName>
    <definedName name="p0p0" localSheetId="19">{"via1",#N/A,TRUE,"general";"via2",#N/A,TRUE,"general";"via3",#N/A,TRUE,"general"}</definedName>
    <definedName name="p0p0" localSheetId="28">{"via1",#N/A,TRUE,"general";"via2",#N/A,TRUE,"general";"via3",#N/A,TRUE,"general"}</definedName>
    <definedName name="p0p0" localSheetId="29">{"via1",#N/A,TRUE,"general";"via2",#N/A,TRUE,"general";"via3",#N/A,TRUE,"general"}</definedName>
    <definedName name="p0p0">{"via1",#N/A,TRUE,"general";"via2",#N/A,TRUE,"general";"via3",#N/A,TRUE,"general"}</definedName>
    <definedName name="PA">[126]PRESUPUESTO!#REF!</definedName>
    <definedName name="PAG">#N/A</definedName>
    <definedName name="PagoFinanciero">#REF!</definedName>
    <definedName name="pagos">#REF!</definedName>
    <definedName name="Pal_Workbook_GUID" hidden="1">"MZ13F7WREF2M259BRMK8ILZK"</definedName>
    <definedName name="PALERO" localSheetId="39">#REF!</definedName>
    <definedName name="PALERO" localSheetId="20">#REF!</definedName>
    <definedName name="PALERO" localSheetId="21">#REF!</definedName>
    <definedName name="PALERO" localSheetId="9">#REF!</definedName>
    <definedName name="PALERO" localSheetId="19">#REF!</definedName>
    <definedName name="PALERO">#REF!</definedName>
    <definedName name="PANEL">'[81]BASE DE DATOS ORIG'!#REF!</definedName>
    <definedName name="Pant_NC">[24]T_Cu_ASTM!$T$8:$AJ$33</definedName>
    <definedName name="pañet">#REF!</definedName>
    <definedName name="PARAMETROS">#REF!</definedName>
    <definedName name="pasamanos">#REF!</definedName>
    <definedName name="pasamuro">[55]lisprecios!#REF!</definedName>
    <definedName name="PASAMURO_B_x_EL_L_0.25_Z_0.125_M">#REF!</definedName>
    <definedName name="PASO" localSheetId="20" hidden="1">{#N/A,#N/A,TRUE,"INGENIERIA";#N/A,#N/A,TRUE,"COMPRAS";#N/A,#N/A,TRUE,"DIRECCION";#N/A,#N/A,TRUE,"RESUMEN"}</definedName>
    <definedName name="PASO" localSheetId="21" hidden="1">{#N/A,#N/A,TRUE,"INGENIERIA";#N/A,#N/A,TRUE,"COMPRAS";#N/A,#N/A,TRUE,"DIRECCION";#N/A,#N/A,TRUE,"RESUMEN"}</definedName>
    <definedName name="PASO" localSheetId="9" hidden="1">{#N/A,#N/A,TRUE,"INGENIERIA";#N/A,#N/A,TRUE,"COMPRAS";#N/A,#N/A,TRUE,"DIRECCION";#N/A,#N/A,TRUE,"RESUMEN"}</definedName>
    <definedName name="PASO" localSheetId="19" hidden="1">{#N/A,#N/A,TRUE,"INGENIERIA";#N/A,#N/A,TRUE,"COMPRAS";#N/A,#N/A,TRUE,"DIRECCION";#N/A,#N/A,TRUE,"RESUMEN"}</definedName>
    <definedName name="PASO" localSheetId="13" hidden="1">{#N/A,#N/A,TRUE,"INGENIERIA";#N/A,#N/A,TRUE,"COMPRAS";#N/A,#N/A,TRUE,"DIRECCION";#N/A,#N/A,TRUE,"RESUMEN"}</definedName>
    <definedName name="PASO" localSheetId="17" hidden="1">{#N/A,#N/A,TRUE,"INGENIERIA";#N/A,#N/A,TRUE,"COMPRAS";#N/A,#N/A,TRUE,"DIRECCION";#N/A,#N/A,TRUE,"RESUMEN"}</definedName>
    <definedName name="PASO" localSheetId="18" hidden="1">{#N/A,#N/A,TRUE,"INGENIERIA";#N/A,#N/A,TRUE,"COMPRAS";#N/A,#N/A,TRUE,"DIRECCION";#N/A,#N/A,TRUE,"RESUMEN"}</definedName>
    <definedName name="PASO" localSheetId="28" hidden="1">{#N/A,#N/A,TRUE,"INGENIERIA";#N/A,#N/A,TRUE,"COMPRAS";#N/A,#N/A,TRUE,"DIRECCION";#N/A,#N/A,TRUE,"RESUMEN"}</definedName>
    <definedName name="PASO" localSheetId="29" hidden="1">{#N/A,#N/A,TRUE,"INGENIERIA";#N/A,#N/A,TRUE,"COMPRAS";#N/A,#N/A,TRUE,"DIRECCION";#N/A,#N/A,TRUE,"RESUMEN"}</definedName>
    <definedName name="PASO" localSheetId="12" hidden="1">{#N/A,#N/A,TRUE,"INGENIERIA";#N/A,#N/A,TRUE,"COMPRAS";#N/A,#N/A,TRUE,"DIRECCION";#N/A,#N/A,TRUE,"RESUMEN"}</definedName>
    <definedName name="PASO" hidden="1">{#N/A,#N/A,TRUE,"INGENIERIA";#N/A,#N/A,TRUE,"COMPRAS";#N/A,#N/A,TRUE,"DIRECCION";#N/A,#N/A,TRUE,"RESUMEN"}</definedName>
    <definedName name="PASS" localSheetId="20" hidden="1">{#N/A,#N/A,TRUE,"INGENIERIA";#N/A,#N/A,TRUE,"COMPRAS";#N/A,#N/A,TRUE,"DIRECCION";#N/A,#N/A,TRUE,"RESUMEN"}</definedName>
    <definedName name="PASS" localSheetId="21" hidden="1">{#N/A,#N/A,TRUE,"INGENIERIA";#N/A,#N/A,TRUE,"COMPRAS";#N/A,#N/A,TRUE,"DIRECCION";#N/A,#N/A,TRUE,"RESUMEN"}</definedName>
    <definedName name="PASS" localSheetId="9" hidden="1">{#N/A,#N/A,TRUE,"INGENIERIA";#N/A,#N/A,TRUE,"COMPRAS";#N/A,#N/A,TRUE,"DIRECCION";#N/A,#N/A,TRUE,"RESUMEN"}</definedName>
    <definedName name="PASS" localSheetId="19" hidden="1">{#N/A,#N/A,TRUE,"INGENIERIA";#N/A,#N/A,TRUE,"COMPRAS";#N/A,#N/A,TRUE,"DIRECCION";#N/A,#N/A,TRUE,"RESUMEN"}</definedName>
    <definedName name="PASS" localSheetId="13" hidden="1">{#N/A,#N/A,TRUE,"INGENIERIA";#N/A,#N/A,TRUE,"COMPRAS";#N/A,#N/A,TRUE,"DIRECCION";#N/A,#N/A,TRUE,"RESUMEN"}</definedName>
    <definedName name="PASS" localSheetId="17" hidden="1">{#N/A,#N/A,TRUE,"INGENIERIA";#N/A,#N/A,TRUE,"COMPRAS";#N/A,#N/A,TRUE,"DIRECCION";#N/A,#N/A,TRUE,"RESUMEN"}</definedName>
    <definedName name="PASS" localSheetId="18" hidden="1">{#N/A,#N/A,TRUE,"INGENIERIA";#N/A,#N/A,TRUE,"COMPRAS";#N/A,#N/A,TRUE,"DIRECCION";#N/A,#N/A,TRUE,"RESUMEN"}</definedName>
    <definedName name="PASS" localSheetId="28" hidden="1">{#N/A,#N/A,TRUE,"INGENIERIA";#N/A,#N/A,TRUE,"COMPRAS";#N/A,#N/A,TRUE,"DIRECCION";#N/A,#N/A,TRUE,"RESUMEN"}</definedName>
    <definedName name="PASS" localSheetId="29" hidden="1">{#N/A,#N/A,TRUE,"INGENIERIA";#N/A,#N/A,TRUE,"COMPRAS";#N/A,#N/A,TRUE,"DIRECCION";#N/A,#N/A,TRUE,"RESUMEN"}</definedName>
    <definedName name="PASS" localSheetId="12" hidden="1">{#N/A,#N/A,TRUE,"INGENIERIA";#N/A,#N/A,TRUE,"COMPRAS";#N/A,#N/A,TRUE,"DIRECCION";#N/A,#N/A,TRUE,"RESUMEN"}</definedName>
    <definedName name="PASS" hidden="1">{#N/A,#N/A,TRUE,"INGENIERIA";#N/A,#N/A,TRUE,"COMPRAS";#N/A,#N/A,TRUE,"DIRECCION";#N/A,#N/A,TRUE,"RESUMEN"}</definedName>
    <definedName name="Pay_Date">#REF!</definedName>
    <definedName name="Pay_Num">#REF!</definedName>
    <definedName name="Payment_Date" localSheetId="22">DATE(YEAR([0]!Loan_Start),MONTH([0]!Loan_Start)+Payment_Number,DAY([0]!Loan_Start))</definedName>
    <definedName name="Payment_Date" localSheetId="21">DATE(YEAR([0]!Loan_Start),MONTH([0]!Loan_Start)+Payment_Number,DAY([0]!Loan_Start))</definedName>
    <definedName name="Payment_Date" localSheetId="17">DATE(YEAR([0]!Loan_Start),MONTH([0]!Loan_Start)+Payment_Number,DAY([0]!Loan_Start))</definedName>
    <definedName name="Payment_Date" localSheetId="28">DATE(YEAR([0]!Loan_Start),MONTH([0]!Loan_Start)+Payment_Number,DAY([0]!Loan_Start))</definedName>
    <definedName name="Payment_Date" localSheetId="29">DATE(YEAR([0]!Loan_Start),MONTH([0]!Loan_Start)+Payment_Number,DAY([0]!Loan_Start))</definedName>
    <definedName name="Payment_Date" localSheetId="12">DATE(YEAR([0]!Loan_Start),MONTH([0]!Loan_Start)+Payment_Number,DAY([0]!Loan_Start))</definedName>
    <definedName name="Payment_Date">DATE(YEAR([0]!Loan_Start),MONTH([0]!Loan_Start)+Payment_Number,DAY([0]!Loan_Start))</definedName>
    <definedName name="payment_terms">#REF!</definedName>
    <definedName name="PAZ">#REF!</definedName>
    <definedName name="PB">[126]PRESUPUESTO!#REF!</definedName>
    <definedName name="PC">[126]PRESUPUESTO!#REF!</definedName>
    <definedName name="Pd">#REF!</definedName>
    <definedName name="PE">[126]PRESUPUESTO!#REF!</definedName>
    <definedName name="pedro">#REF!</definedName>
    <definedName name="Pega_plus">'[40]LISTADO '!$F$27</definedName>
    <definedName name="Pegacor">#REF!</definedName>
    <definedName name="PEGANTE_P.V.C">#REF!</definedName>
    <definedName name="Pegante_PVC">'[57]L. MAT.'!#REF!</definedName>
    <definedName name="PegantePVC">#REF!</definedName>
    <definedName name="PegantePVCgr">#REF!</definedName>
    <definedName name="perDate">[178]Parameters!$E$9:$E$38</definedName>
    <definedName name="Perfil">'[33]LISTADO '!$F$28</definedName>
    <definedName name="Perfil_16_6">'[40]LISTADO '!$F$105</definedName>
    <definedName name="PERFIL_DEL_TRAMO">#REF!</definedName>
    <definedName name="PeriodInc">[93]Index!$L$57</definedName>
    <definedName name="PERIODO">[45]CUMPLIMIENTO!$M$5</definedName>
    <definedName name="PeriodoD">#REF!</definedName>
    <definedName name="perLabel">[178]Parameters!$C$9:$C$38</definedName>
    <definedName name="PersonalProfesional" localSheetId="9">'ENSAYOS DE LABORATORIO'!#REF!</definedName>
    <definedName name="PersonalProfesional">#REF!</definedName>
    <definedName name="PERSONALTABLA1.1.1">'[11]CALCULO COSTOS DE OPERACIÓN'!$B$50:$AJ$85</definedName>
    <definedName name="PERSONALTABLA1.2">'[11]INFORMACIÓN REFERENCIA'!$B$477:$F$489</definedName>
    <definedName name="PERSONALTABLA1.3">'[11]INFORMACIÓN REFERENCIA'!$B$494:$F$506</definedName>
    <definedName name="PersonalTecnico" localSheetId="9">'ENSAYOS DE LABORATORIO'!#REF!</definedName>
    <definedName name="PersonalTecnico">#REF!</definedName>
    <definedName name="PESO14.2">#REF!</definedName>
    <definedName name="PESO14.3">#REF!</definedName>
    <definedName name="PESO14.4">#REF!</definedName>
    <definedName name="PetSumDetail">#REF!</definedName>
    <definedName name="PetSumHeading">#REF!</definedName>
    <definedName name="PetTotalDetail">#REF!</definedName>
    <definedName name="PetTotalHeading">#REF!</definedName>
    <definedName name="pg" localSheetId="13">'[41]Presupuesto General'!$L$24</definedName>
    <definedName name="pg" localSheetId="17">'[42]Presupuesto General'!$L$24</definedName>
    <definedName name="pg" localSheetId="18">'[42]Presupuesto General'!$L$24</definedName>
    <definedName name="pg" localSheetId="28">'[43]Presupuesto General'!$U$25</definedName>
    <definedName name="pg" localSheetId="29">'[43]Presupuesto General'!$U$25</definedName>
    <definedName name="pg" localSheetId="12">'[42]Presupuesto General'!$L$24</definedName>
    <definedName name="pg">'[44]Presupuesto General'!$U$25</definedName>
    <definedName name="pgt" localSheetId="13">'[41]Presupuesto General'!$L$30</definedName>
    <definedName name="pgt" localSheetId="17">'[42]Presupuesto General'!$L$30</definedName>
    <definedName name="pgt" localSheetId="18">'[42]Presupuesto General'!$L$30</definedName>
    <definedName name="pgt" localSheetId="28">'[43]Presupuesto General'!$U$30</definedName>
    <definedName name="pgt" localSheetId="29">'[43]Presupuesto General'!$U$30</definedName>
    <definedName name="pgt" localSheetId="12">'[42]Presupuesto General'!$L$30</definedName>
    <definedName name="pgt">'[44]Presupuesto General'!$U$30</definedName>
    <definedName name="PIA" localSheetId="20" hidden="1">#REF!</definedName>
    <definedName name="PIA" localSheetId="21" hidden="1">#REF!</definedName>
    <definedName name="PIA" localSheetId="13" hidden="1">#REF!</definedName>
    <definedName name="PIA" localSheetId="17" hidden="1">#REF!</definedName>
    <definedName name="PIA" localSheetId="18" hidden="1">#REF!</definedName>
    <definedName name="PIA" localSheetId="12" hidden="1">#REF!</definedName>
    <definedName name="PIA" hidden="1">#REF!</definedName>
    <definedName name="PIEDRA" localSheetId="39">#REF!</definedName>
    <definedName name="PIEDRA" localSheetId="20">#REF!</definedName>
    <definedName name="PIEDRA" localSheetId="21">#REF!</definedName>
    <definedName name="PIEDRA">#REF!</definedName>
    <definedName name="PILOTE">#REF!</definedName>
    <definedName name="Pintor">'[33]M.O.'!$F$17</definedName>
    <definedName name="Pintura_exteriores">'[40]LISTADO '!$F$95</definedName>
    <definedName name="PinturaVinilo">#REF!</definedName>
    <definedName name="PIPE_1">#REF!</definedName>
    <definedName name="PIPE_2">#REF!</definedName>
    <definedName name="PIPE_3">#REF!</definedName>
    <definedName name="PIPE_4">#REF!</definedName>
    <definedName name="PIPE_5">#REF!</definedName>
    <definedName name="PKHK" localSheetId="39">{"TAB1",#N/A,TRUE,"GENERAL";"TAB2",#N/A,TRUE,"GENERAL";"TAB3",#N/A,TRUE,"GENERAL";"TAB4",#N/A,TRUE,"GENERAL";"TAB5",#N/A,TRUE,"GENERAL"}</definedName>
    <definedName name="PKHK" localSheetId="20">{"TAB1",#N/A,TRUE,"GENERAL";"TAB2",#N/A,TRUE,"GENERAL";"TAB3",#N/A,TRUE,"GENERAL";"TAB4",#N/A,TRUE,"GENERAL";"TAB5",#N/A,TRUE,"GENERAL"}</definedName>
    <definedName name="PKHK" localSheetId="21">{"TAB1",#N/A,TRUE,"GENERAL";"TAB2",#N/A,TRUE,"GENERAL";"TAB3",#N/A,TRUE,"GENERAL";"TAB4",#N/A,TRUE,"GENERAL";"TAB5",#N/A,TRUE,"GENERAL"}</definedName>
    <definedName name="PKHK" localSheetId="9">{"TAB1",#N/A,TRUE,"GENERAL";"TAB2",#N/A,TRUE,"GENERAL";"TAB3",#N/A,TRUE,"GENERAL";"TAB4",#N/A,TRUE,"GENERAL";"TAB5",#N/A,TRUE,"GENERAL"}</definedName>
    <definedName name="PKHK" localSheetId="19">{"TAB1",#N/A,TRUE,"GENERAL";"TAB2",#N/A,TRUE,"GENERAL";"TAB3",#N/A,TRUE,"GENERAL";"TAB4",#N/A,TRUE,"GENERAL";"TAB5",#N/A,TRUE,"GENERAL"}</definedName>
    <definedName name="PKHK" localSheetId="28">{"TAB1",#N/A,TRUE,"GENERAL";"TAB2",#N/A,TRUE,"GENERAL";"TAB3",#N/A,TRUE,"GENERAL";"TAB4",#N/A,TRUE,"GENERAL";"TAB5",#N/A,TRUE,"GENERAL"}</definedName>
    <definedName name="PKHK" localSheetId="29">{"TAB1",#N/A,TRUE,"GENERAL";"TAB2",#N/A,TRUE,"GENERAL";"TAB3",#N/A,TRUE,"GENERAL";"TAB4",#N/A,TRUE,"GENERAL";"TAB5",#N/A,TRUE,"GENERAL"}</definedName>
    <definedName name="PKHK">{"TAB1",#N/A,TRUE,"GENERAL";"TAB2",#N/A,TRUE,"GENERAL";"TAB3",#N/A,TRUE,"GENERAL";"TAB4",#N/A,TRUE,"GENERAL";"TAB5",#N/A,TRUE,"GENERAL"}</definedName>
    <definedName name="pkj" localSheetId="39">{"TAB1",#N/A,TRUE,"GENERAL";"TAB2",#N/A,TRUE,"GENERAL";"TAB3",#N/A,TRUE,"GENERAL";"TAB4",#N/A,TRUE,"GENERAL";"TAB5",#N/A,TRUE,"GENERAL"}</definedName>
    <definedName name="pkj" localSheetId="20">{"TAB1",#N/A,TRUE,"GENERAL";"TAB2",#N/A,TRUE,"GENERAL";"TAB3",#N/A,TRUE,"GENERAL";"TAB4",#N/A,TRUE,"GENERAL";"TAB5",#N/A,TRUE,"GENERAL"}</definedName>
    <definedName name="pkj" localSheetId="21">{"TAB1",#N/A,TRUE,"GENERAL";"TAB2",#N/A,TRUE,"GENERAL";"TAB3",#N/A,TRUE,"GENERAL";"TAB4",#N/A,TRUE,"GENERAL";"TAB5",#N/A,TRUE,"GENERAL"}</definedName>
    <definedName name="pkj" localSheetId="9">{"TAB1",#N/A,TRUE,"GENERAL";"TAB2",#N/A,TRUE,"GENERAL";"TAB3",#N/A,TRUE,"GENERAL";"TAB4",#N/A,TRUE,"GENERAL";"TAB5",#N/A,TRUE,"GENERAL"}</definedName>
    <definedName name="pkj" localSheetId="19">{"TAB1",#N/A,TRUE,"GENERAL";"TAB2",#N/A,TRUE,"GENERAL";"TAB3",#N/A,TRUE,"GENERAL";"TAB4",#N/A,TRUE,"GENERAL";"TAB5",#N/A,TRUE,"GENERAL"}</definedName>
    <definedName name="pkj" localSheetId="28">{"TAB1",#N/A,TRUE,"GENERAL";"TAB2",#N/A,TRUE,"GENERAL";"TAB3",#N/A,TRUE,"GENERAL";"TAB4",#N/A,TRUE,"GENERAL";"TAB5",#N/A,TRUE,"GENERAL"}</definedName>
    <definedName name="pkj" localSheetId="29">{"TAB1",#N/A,TRUE,"GENERAL";"TAB2",#N/A,TRUE,"GENERAL";"TAB3",#N/A,TRUE,"GENERAL";"TAB4",#N/A,TRUE,"GENERAL";"TAB5",#N/A,TRUE,"GENERAL"}</definedName>
    <definedName name="pkj">{"TAB1",#N/A,TRUE,"GENERAL";"TAB2",#N/A,TRUE,"GENERAL";"TAB3",#N/A,TRUE,"GENERAL";"TAB4",#N/A,TRUE,"GENERAL";"TAB5",#N/A,TRUE,"GENERAL"}</definedName>
    <definedName name="PL">[126]PRESUPUESTO!#REF!</definedName>
    <definedName name="Placas_.9x.9_Azul_labrador">'[57]L. MAT.'!#REF!</definedName>
    <definedName name="PLAD" localSheetId="39">{"TAB1",#N/A,TRUE,"GENERAL";"TAB2",#N/A,TRUE,"GENERAL";"TAB3",#N/A,TRUE,"GENERAL";"TAB4",#N/A,TRUE,"GENERAL";"TAB5",#N/A,TRUE,"GENERAL"}</definedName>
    <definedName name="PLAD" localSheetId="20">{"TAB1",#N/A,TRUE,"GENERAL";"TAB2",#N/A,TRUE,"GENERAL";"TAB3",#N/A,TRUE,"GENERAL";"TAB4",#N/A,TRUE,"GENERAL";"TAB5",#N/A,TRUE,"GENERAL"}</definedName>
    <definedName name="PLAD" localSheetId="21">{"TAB1",#N/A,TRUE,"GENERAL";"TAB2",#N/A,TRUE,"GENERAL";"TAB3",#N/A,TRUE,"GENERAL";"TAB4",#N/A,TRUE,"GENERAL";"TAB5",#N/A,TRUE,"GENERAL"}</definedName>
    <definedName name="PLAD" localSheetId="9">{"TAB1",#N/A,TRUE,"GENERAL";"TAB2",#N/A,TRUE,"GENERAL";"TAB3",#N/A,TRUE,"GENERAL";"TAB4",#N/A,TRUE,"GENERAL";"TAB5",#N/A,TRUE,"GENERAL"}</definedName>
    <definedName name="PLAD" localSheetId="19">{"TAB1",#N/A,TRUE,"GENERAL";"TAB2",#N/A,TRUE,"GENERAL";"TAB3",#N/A,TRUE,"GENERAL";"TAB4",#N/A,TRUE,"GENERAL";"TAB5",#N/A,TRUE,"GENERAL"}</definedName>
    <definedName name="PLAD" localSheetId="28">{"TAB1",#N/A,TRUE,"GENERAL";"TAB2",#N/A,TRUE,"GENERAL";"TAB3",#N/A,TRUE,"GENERAL";"TAB4",#N/A,TRUE,"GENERAL";"TAB5",#N/A,TRUE,"GENERAL"}</definedName>
    <definedName name="PLAD" localSheetId="29">{"TAB1",#N/A,TRUE,"GENERAL";"TAB2",#N/A,TRUE,"GENERAL";"TAB3",#N/A,TRUE,"GENERAL";"TAB4",#N/A,TRUE,"GENERAL";"TAB5",#N/A,TRUE,"GENERAL"}</definedName>
    <definedName name="PLAD">{"TAB1",#N/A,TRUE,"GENERAL";"TAB2",#N/A,TRUE,"GENERAL";"TAB3",#N/A,TRUE,"GENERAL";"TAB4",#N/A,TRUE,"GENERAL";"TAB5",#N/A,TRUE,"GENERAL"}</definedName>
    <definedName name="plan">#REF!</definedName>
    <definedName name="Plan_Vallejo_Sens">'[100]Inputs-SUMMARY'!$H$279:$BR$279</definedName>
    <definedName name="PLANT7">#REF!</definedName>
    <definedName name="PLANTA">[244]Listas!$F$3:$F$33</definedName>
    <definedName name="PLANTASALCANTARILLADO1.1">'[11]INFORMACIÓN REFERENCIA'!$B$313:$I$324</definedName>
    <definedName name="PLANTASALCANTARILLADOTABLA1.7">'[11]INFORMACIÓN REFERENCIA'!$B$393:$C$404</definedName>
    <definedName name="PLANTASTRATAMIENTOTABLA5.1">'[11]INFORMACIÓN REFERENCIA'!$B$216:$F$220</definedName>
    <definedName name="PLANTASTRATAMIENTOTABLA5.2">#REF!</definedName>
    <definedName name="PlanVallejo">#REF!</definedName>
    <definedName name="plastocrete">[55]lisprecios!#REF!</definedName>
    <definedName name="PLASTROCRETE_DM">#REF!</definedName>
    <definedName name="PlatinaAcero">#REF!</definedName>
    <definedName name="Plazo" localSheetId="17">[58]BASES!$E$27</definedName>
    <definedName name="Plazo" localSheetId="18">[58]BASES!$E$27</definedName>
    <definedName name="Plazo" localSheetId="12">[58]BASES!$E$27</definedName>
    <definedName name="Plazo">[59]BASES!$E$27</definedName>
    <definedName name="PlazoAIU" localSheetId="39">#REF!</definedName>
    <definedName name="PlazoAIU" localSheetId="20">#REF!</definedName>
    <definedName name="PlazoAIU" localSheetId="21">#REF!</definedName>
    <definedName name="PlazoAIU" localSheetId="9">#REF!</definedName>
    <definedName name="PlazoAIU" localSheetId="19">#REF!</definedName>
    <definedName name="PlazoAIU" localSheetId="17">#REF!</definedName>
    <definedName name="PlazoAIU" localSheetId="18">#REF!</definedName>
    <definedName name="PlazoAIU" localSheetId="12">#REF!</definedName>
    <definedName name="PlazoAIU">#REF!</definedName>
    <definedName name="PlazoEnMeses" localSheetId="9">'ENSAYOS DE LABORATORIO'!#REF!</definedName>
    <definedName name="PlazoEnMeses">#REF!</definedName>
    <definedName name="Plegable">#REF!</definedName>
    <definedName name="PLOMERO">[34]PRECIOS!$B$15</definedName>
    <definedName name="PLPLUNN" localSheetId="39">{"TAB1",#N/A,TRUE,"GENERAL";"TAB2",#N/A,TRUE,"GENERAL";"TAB3",#N/A,TRUE,"GENERAL";"TAB4",#N/A,TRUE,"GENERAL";"TAB5",#N/A,TRUE,"GENERAL"}</definedName>
    <definedName name="PLPLUNN" localSheetId="20">{"TAB1",#N/A,TRUE,"GENERAL";"TAB2",#N/A,TRUE,"GENERAL";"TAB3",#N/A,TRUE,"GENERAL";"TAB4",#N/A,TRUE,"GENERAL";"TAB5",#N/A,TRUE,"GENERAL"}</definedName>
    <definedName name="PLPLUNN" localSheetId="21">{"TAB1",#N/A,TRUE,"GENERAL";"TAB2",#N/A,TRUE,"GENERAL";"TAB3",#N/A,TRUE,"GENERAL";"TAB4",#N/A,TRUE,"GENERAL";"TAB5",#N/A,TRUE,"GENERAL"}</definedName>
    <definedName name="PLPLUNN" localSheetId="9">{"TAB1",#N/A,TRUE,"GENERAL";"TAB2",#N/A,TRUE,"GENERAL";"TAB3",#N/A,TRUE,"GENERAL";"TAB4",#N/A,TRUE,"GENERAL";"TAB5",#N/A,TRUE,"GENERAL"}</definedName>
    <definedName name="PLPLUNN" localSheetId="19">{"TAB1",#N/A,TRUE,"GENERAL";"TAB2",#N/A,TRUE,"GENERAL";"TAB3",#N/A,TRUE,"GENERAL";"TAB4",#N/A,TRUE,"GENERAL";"TAB5",#N/A,TRUE,"GENERAL"}</definedName>
    <definedName name="PLPLUNN" localSheetId="28">{"TAB1",#N/A,TRUE,"GENERAL";"TAB2",#N/A,TRUE,"GENERAL";"TAB3",#N/A,TRUE,"GENERAL";"TAB4",#N/A,TRUE,"GENERAL";"TAB5",#N/A,TRUE,"GENERAL"}</definedName>
    <definedName name="PLPLUNN" localSheetId="29">{"TAB1",#N/A,TRUE,"GENERAL";"TAB2",#N/A,TRUE,"GENERAL";"TAB3",#N/A,TRUE,"GENERAL";"TAB4",#N/A,TRUE,"GENERAL";"TAB5",#N/A,TRUE,"GENERAL"}</definedName>
    <definedName name="PLPLUNN">{"TAB1",#N/A,TRUE,"GENERAL";"TAB2",#N/A,TRUE,"GENERAL";"TAB3",#N/A,TRUE,"GENERAL";"TAB4",#N/A,TRUE,"GENERAL";"TAB5",#N/A,TRUE,"GENERAL"}</definedName>
    <definedName name="PLUG" localSheetId="20" hidden="1">#REF!</definedName>
    <definedName name="PLUG" localSheetId="21" hidden="1">#REF!</definedName>
    <definedName name="PLUG" localSheetId="13" hidden="1">#REF!</definedName>
    <definedName name="PLUG" localSheetId="17" hidden="1">#REF!</definedName>
    <definedName name="PLUG" localSheetId="18" hidden="1">#REF!</definedName>
    <definedName name="PLUG" localSheetId="12" hidden="1">#REF!</definedName>
    <definedName name="PLUG" hidden="1">#REF!</definedName>
    <definedName name="pma" localSheetId="20">#REF!</definedName>
    <definedName name="pma" localSheetId="21">#REF!</definedName>
    <definedName name="pma" localSheetId="9">#REF!</definedName>
    <definedName name="pma" localSheetId="19">#REF!</definedName>
    <definedName name="pma" localSheetId="13">[41]MPMA!#REF!</definedName>
    <definedName name="pma" localSheetId="17">#REF!</definedName>
    <definedName name="pma" localSheetId="18">#REF!</definedName>
    <definedName name="pma" localSheetId="12">#REF!</definedName>
    <definedName name="pma">#REF!</definedName>
    <definedName name="PMT">#REF!</definedName>
    <definedName name="pñ">#REF!</definedName>
    <definedName name="po">#REF!</definedName>
    <definedName name="Poblacion">#REF!</definedName>
    <definedName name="poblado">[37]Listado!$G$2:$G$8</definedName>
    <definedName name="poi">#REF!</definedName>
    <definedName name="POIL">#REF!</definedName>
    <definedName name="POIPOZOS">'[11]CALCULO POI'!$B$118:$I$154</definedName>
    <definedName name="POIUP" localSheetId="39">{"via1",#N/A,TRUE,"general";"via2",#N/A,TRUE,"general";"via3",#N/A,TRUE,"general"}</definedName>
    <definedName name="POIUP" localSheetId="20">{"via1",#N/A,TRUE,"general";"via2",#N/A,TRUE,"general";"via3",#N/A,TRUE,"general"}</definedName>
    <definedName name="POIUP" localSheetId="21">{"via1",#N/A,TRUE,"general";"via2",#N/A,TRUE,"general";"via3",#N/A,TRUE,"general"}</definedName>
    <definedName name="POIUP" localSheetId="9">{"via1",#N/A,TRUE,"general";"via2",#N/A,TRUE,"general";"via3",#N/A,TRUE,"general"}</definedName>
    <definedName name="POIUP" localSheetId="19">{"via1",#N/A,TRUE,"general";"via2",#N/A,TRUE,"general";"via3",#N/A,TRUE,"general"}</definedName>
    <definedName name="POIUP" localSheetId="28">{"via1",#N/A,TRUE,"general";"via2",#N/A,TRUE,"general";"via3",#N/A,TRUE,"general"}</definedName>
    <definedName name="POIUP" localSheetId="29">{"via1",#N/A,TRUE,"general";"via2",#N/A,TRUE,"general";"via3",#N/A,TRUE,"general"}</definedName>
    <definedName name="POIUP">{"via1",#N/A,TRUE,"general";"via2",#N/A,TRUE,"general";"via3",#N/A,TRUE,"general"}</definedName>
    <definedName name="Polynomial">#REF!</definedName>
    <definedName name="POO">#REF!</definedName>
    <definedName name="popop" localSheetId="39">{"via1",#N/A,TRUE,"general";"via2",#N/A,TRUE,"general";"via3",#N/A,TRUE,"general"}</definedName>
    <definedName name="popop" localSheetId="20">{"via1",#N/A,TRUE,"general";"via2",#N/A,TRUE,"general";"via3",#N/A,TRUE,"general"}</definedName>
    <definedName name="popop" localSheetId="21">{"via1",#N/A,TRUE,"general";"via2",#N/A,TRUE,"general";"via3",#N/A,TRUE,"general"}</definedName>
    <definedName name="popop" localSheetId="9">{"via1",#N/A,TRUE,"general";"via2",#N/A,TRUE,"general";"via3",#N/A,TRUE,"general"}</definedName>
    <definedName name="popop" localSheetId="19">{"via1",#N/A,TRUE,"general";"via2",#N/A,TRUE,"general";"via3",#N/A,TRUE,"general"}</definedName>
    <definedName name="popop" localSheetId="28">{"via1",#N/A,TRUE,"general";"via2",#N/A,TRUE,"general";"via3",#N/A,TRUE,"general"}</definedName>
    <definedName name="popop" localSheetId="29">{"via1",#N/A,TRUE,"general";"via2",#N/A,TRUE,"general";"via3",#N/A,TRUE,"general"}</definedName>
    <definedName name="popop">{"via1",#N/A,TRUE,"general";"via2",#N/A,TRUE,"general";"via3",#N/A,TRUE,"general"}</definedName>
    <definedName name="popp" localSheetId="39">{"via1",#N/A,TRUE,"general";"via2",#N/A,TRUE,"general";"via3",#N/A,TRUE,"general"}</definedName>
    <definedName name="popp" localSheetId="20">{"via1",#N/A,TRUE,"general";"via2",#N/A,TRUE,"general";"via3",#N/A,TRUE,"general"}</definedName>
    <definedName name="popp" localSheetId="21">{"via1",#N/A,TRUE,"general";"via2",#N/A,TRUE,"general";"via3",#N/A,TRUE,"general"}</definedName>
    <definedName name="popp" localSheetId="9">{"via1",#N/A,TRUE,"general";"via2",#N/A,TRUE,"general";"via3",#N/A,TRUE,"general"}</definedName>
    <definedName name="popp" localSheetId="19">{"via1",#N/A,TRUE,"general";"via2",#N/A,TRUE,"general";"via3",#N/A,TRUE,"general"}</definedName>
    <definedName name="popp" localSheetId="28">{"via1",#N/A,TRUE,"general";"via2",#N/A,TRUE,"general";"via3",#N/A,TRUE,"general"}</definedName>
    <definedName name="popp" localSheetId="29">{"via1",#N/A,TRUE,"general";"via2",#N/A,TRUE,"general";"via3",#N/A,TRUE,"general"}</definedName>
    <definedName name="popp">{"via1",#N/A,TRUE,"general";"via2",#N/A,TRUE,"general";"via3",#N/A,TRUE,"general"}</definedName>
    <definedName name="popvds" localSheetId="39">{"TAB1",#N/A,TRUE,"GENERAL";"TAB2",#N/A,TRUE,"GENERAL";"TAB3",#N/A,TRUE,"GENERAL";"TAB4",#N/A,TRUE,"GENERAL";"TAB5",#N/A,TRUE,"GENERAL"}</definedName>
    <definedName name="popvds" localSheetId="20">{"TAB1",#N/A,TRUE,"GENERAL";"TAB2",#N/A,TRUE,"GENERAL";"TAB3",#N/A,TRUE,"GENERAL";"TAB4",#N/A,TRUE,"GENERAL";"TAB5",#N/A,TRUE,"GENERAL"}</definedName>
    <definedName name="popvds" localSheetId="21">{"TAB1",#N/A,TRUE,"GENERAL";"TAB2",#N/A,TRUE,"GENERAL";"TAB3",#N/A,TRUE,"GENERAL";"TAB4",#N/A,TRUE,"GENERAL";"TAB5",#N/A,TRUE,"GENERAL"}</definedName>
    <definedName name="popvds" localSheetId="9">{"TAB1",#N/A,TRUE,"GENERAL";"TAB2",#N/A,TRUE,"GENERAL";"TAB3",#N/A,TRUE,"GENERAL";"TAB4",#N/A,TRUE,"GENERAL";"TAB5",#N/A,TRUE,"GENERAL"}</definedName>
    <definedName name="popvds" localSheetId="19">{"TAB1",#N/A,TRUE,"GENERAL";"TAB2",#N/A,TRUE,"GENERAL";"TAB3",#N/A,TRUE,"GENERAL";"TAB4",#N/A,TRUE,"GENERAL";"TAB5",#N/A,TRUE,"GENERAL"}</definedName>
    <definedName name="popvds" localSheetId="28">{"TAB1",#N/A,TRUE,"GENERAL";"TAB2",#N/A,TRUE,"GENERAL";"TAB3",#N/A,TRUE,"GENERAL";"TAB4",#N/A,TRUE,"GENERAL";"TAB5",#N/A,TRUE,"GENERAL"}</definedName>
    <definedName name="popvds" localSheetId="29">{"TAB1",#N/A,TRUE,"GENERAL";"TAB2",#N/A,TRUE,"GENERAL";"TAB3",#N/A,TRUE,"GENERAL";"TAB4",#N/A,TRUE,"GENERAL";"TAB5",#N/A,TRUE,"GENERAL"}</definedName>
    <definedName name="popvds">{"TAB1",#N/A,TRUE,"GENERAL";"TAB2",#N/A,TRUE,"GENERAL";"TAB3",#N/A,TRUE,"GENERAL";"TAB4",#N/A,TRUE,"GENERAL";"TAB5",#N/A,TRUE,"GENERAL"}</definedName>
    <definedName name="por" localSheetId="28">'[245]Equipos Principales'!$D$21</definedName>
    <definedName name="por" localSheetId="29">'[245]Equipos Principales'!$D$21</definedName>
    <definedName name="por">'[246]Equipos Principales'!$D$21</definedName>
    <definedName name="PorcAdicCostoLlantasCliente">#REF!</definedName>
    <definedName name="PorcAdicCostoMtto">#REF!</definedName>
    <definedName name="PorcCostosOcultos">#REF!</definedName>
    <definedName name="PORCE" localSheetId="17">[60]BASES!$E$26</definedName>
    <definedName name="PORCE" localSheetId="18">[60]BASES!$E$26</definedName>
    <definedName name="PORCE" localSheetId="12">[60]BASES!$E$26</definedName>
    <definedName name="PORCE">[61]BASES!$E$26</definedName>
    <definedName name="porcentaje" localSheetId="10">#REF!</definedName>
    <definedName name="porcentaje" localSheetId="20">#REF!</definedName>
    <definedName name="porcentaje" localSheetId="21">#REF!</definedName>
    <definedName name="porcentaje" localSheetId="17">#REF!</definedName>
    <definedName name="porcentaje" localSheetId="18">#REF!</definedName>
    <definedName name="porcentaje" localSheetId="12">#REF!</definedName>
    <definedName name="porcentaje">#REF!</definedName>
    <definedName name="PorcentajeUtilidad" localSheetId="28">'[247]COSTEO TOTAL OBRA'!$B$29</definedName>
    <definedName name="PorcentajeUtilidad" localSheetId="29">'[247]COSTEO TOTAL OBRA'!$B$29</definedName>
    <definedName name="PorcentajeUtilidad">'[73]COSTEO TOTAL OBRA'!$B$29</definedName>
    <definedName name="PorContribConduct">#REF!</definedName>
    <definedName name="PorContribImpRod">#REF!</definedName>
    <definedName name="PorContribLlantas">#REF!</definedName>
    <definedName name="PorContribMtto">#REF!</definedName>
    <definedName name="PorContribSeguro">#REF!</definedName>
    <definedName name="PorcPAAG">#REF!</definedName>
    <definedName name="PorcPuntosAdicCredito">#REF!</definedName>
    <definedName name="PorcPuntosAdicLeasing">#REF!</definedName>
    <definedName name="PorcTasaSeguroCanon">#REF!</definedName>
    <definedName name="PorcTasaSeguroCliente">#REF!</definedName>
    <definedName name="PorDecremImptosRodamto">#REF!</definedName>
    <definedName name="porDemerito1">#REF!</definedName>
    <definedName name="porDemerito10">#REF!</definedName>
    <definedName name="porDemerito11">#REF!</definedName>
    <definedName name="porDemerito2">#REF!</definedName>
    <definedName name="porDemerito3">#REF!</definedName>
    <definedName name="porDemerito4">#REF!</definedName>
    <definedName name="porDemerito5">#REF!</definedName>
    <definedName name="porDemerito6">#REF!</definedName>
    <definedName name="porDemerito7">#REF!</definedName>
    <definedName name="porDemerito8">#REF!</definedName>
    <definedName name="porDemerito9">#REF!</definedName>
    <definedName name="porDemeritoAcces">#REF!</definedName>
    <definedName name="PorDesctoTransfdoVehicClien">#REF!</definedName>
    <definedName name="PorDesctoVehicCliente">#REF!</definedName>
    <definedName name="PorDesctoVehicSurenting">#REF!</definedName>
    <definedName name="PorDesctoVehícSurenting">#REF!</definedName>
    <definedName name="PorFactorIvaCanon">#REF!</definedName>
    <definedName name="PorFactPrestacConduct">#REF!</definedName>
    <definedName name="porImprevistos">#REF!</definedName>
    <definedName name="PorImpto2Xmil">#REF!</definedName>
    <definedName name="PorIncremAnualComb">#REF!</definedName>
    <definedName name="PorIncremAnualCostos">#REF!</definedName>
    <definedName name="PorIncremAnualCostos10">#REF!</definedName>
    <definedName name="PorIncremAnualCostos11">#REF!</definedName>
    <definedName name="PorIncremAnualCostos2">#REF!</definedName>
    <definedName name="PorIncremAnualCostos3">#REF!</definedName>
    <definedName name="PorIncremAnualCostos4">#REF!</definedName>
    <definedName name="PorIncremAnualCostos5">#REF!</definedName>
    <definedName name="PorIncremAnualCostos6">#REF!</definedName>
    <definedName name="PorIncremAnualCostos7">#REF!</definedName>
    <definedName name="PorIncremAnualCostos8">#REF!</definedName>
    <definedName name="PorIncremAnualCostos9">#REF!</definedName>
    <definedName name="PorIncremAnualManoObra">#REF!</definedName>
    <definedName name="PorIncreSeguro10A">#REF!</definedName>
    <definedName name="PorIncreSeguro11A">#REF!</definedName>
    <definedName name="PorIncreSeguro2A">#REF!</definedName>
    <definedName name="PorIncreSeguro3A">#REF!</definedName>
    <definedName name="PorIncreSeguro4A">#REF!</definedName>
    <definedName name="PorIncreSeguro5A">#REF!</definedName>
    <definedName name="PorIncreSeguro6A">#REF!</definedName>
    <definedName name="PorIncreSeguro7A">#REF!</definedName>
    <definedName name="PorIncreSeguro8A">#REF!</definedName>
    <definedName name="PorIncreSeguro9A">#REF!</definedName>
    <definedName name="porInsumos">#REF!</definedName>
    <definedName name="PorIvaVehic">#REF!</definedName>
    <definedName name="porManoObra">#REF!</definedName>
    <definedName name="PorMargenFuel">#REF!</definedName>
    <definedName name="PorMargenGeneral">#REF!</definedName>
    <definedName name="PorMargenGPS">#REF!</definedName>
    <definedName name="porMargenReventa">#REF!</definedName>
    <definedName name="PorMargenStandby">#REF!</definedName>
    <definedName name="PorPuntosAdicionDTF">#REF!</definedName>
    <definedName name="PorPuntosAdicServicios">#REF!</definedName>
    <definedName name="PorPuntosPromTAFondeo">#REF!</definedName>
    <definedName name="PorRetomaCliente">#REF!</definedName>
    <definedName name="PorRetomaLeasing">#REF!</definedName>
    <definedName name="porReventaCliente">#REF!</definedName>
    <definedName name="PorReventaSurenting">#REF!</definedName>
    <definedName name="PorRiesgoReventa">#REF!</definedName>
    <definedName name="PorTasaImpoPagoImptoRenta">#REF!</definedName>
    <definedName name="PorTasaMensualDesctarVPN">#REF!</definedName>
    <definedName name="PorTasaSeguro">#REF!</definedName>
    <definedName name="PorTasaSgro">#REF!</definedName>
    <definedName name="PorUtilidadDesctoCompra">#REF!</definedName>
    <definedName name="PorUtilidadFinanciera">#REF!</definedName>
    <definedName name="pouig" localSheetId="39">{"via1",#N/A,TRUE,"general";"via2",#N/A,TRUE,"general";"via3",#N/A,TRUE,"general"}</definedName>
    <definedName name="pouig" localSheetId="20">{"via1",#N/A,TRUE,"general";"via2",#N/A,TRUE,"general";"via3",#N/A,TRUE,"general"}</definedName>
    <definedName name="pouig" localSheetId="21">{"via1",#N/A,TRUE,"general";"via2",#N/A,TRUE,"general";"via3",#N/A,TRUE,"general"}</definedName>
    <definedName name="pouig" localSheetId="9">{"via1",#N/A,TRUE,"general";"via2",#N/A,TRUE,"general";"via3",#N/A,TRUE,"general"}</definedName>
    <definedName name="pouig" localSheetId="19">{"via1",#N/A,TRUE,"general";"via2",#N/A,TRUE,"general";"via3",#N/A,TRUE,"general"}</definedName>
    <definedName name="pouig" localSheetId="28">{"via1",#N/A,TRUE,"general";"via2",#N/A,TRUE,"general";"via3",#N/A,TRUE,"general"}</definedName>
    <definedName name="pouig" localSheetId="29">{"via1",#N/A,TRUE,"general";"via2",#N/A,TRUE,"general";"via3",#N/A,TRUE,"general"}</definedName>
    <definedName name="pouig">{"via1",#N/A,TRUE,"general";"via2",#N/A,TRUE,"general";"via3",#N/A,TRUE,"general"}</definedName>
    <definedName name="POZOSACTUAL">'[11]INFORMACIÓN REFERENCIA'!$B$23:$M$34</definedName>
    <definedName name="pozosconduccion">'[11]INFORMACIÓN REFERENCIA'!$B$122:$F$133</definedName>
    <definedName name="PP">'[248]FICHA FSE-01'!$G$36</definedName>
    <definedName name="ppppp9" localSheetId="39">{"via1",#N/A,TRUE,"general";"via2",#N/A,TRUE,"general";"via3",#N/A,TRUE,"general"}</definedName>
    <definedName name="ppppp9" localSheetId="20">{"via1",#N/A,TRUE,"general";"via2",#N/A,TRUE,"general";"via3",#N/A,TRUE,"general"}</definedName>
    <definedName name="ppppp9" localSheetId="21">{"via1",#N/A,TRUE,"general";"via2",#N/A,TRUE,"general";"via3",#N/A,TRUE,"general"}</definedName>
    <definedName name="ppppp9" localSheetId="9">{"via1",#N/A,TRUE,"general";"via2",#N/A,TRUE,"general";"via3",#N/A,TRUE,"general"}</definedName>
    <definedName name="ppppp9" localSheetId="19">{"via1",#N/A,TRUE,"general";"via2",#N/A,TRUE,"general";"via3",#N/A,TRUE,"general"}</definedName>
    <definedName name="ppppp9" localSheetId="28">{"via1",#N/A,TRUE,"general";"via2",#N/A,TRUE,"general";"via3",#N/A,TRUE,"general"}</definedName>
    <definedName name="ppppp9" localSheetId="29">{"via1",#N/A,TRUE,"general";"via2",#N/A,TRUE,"general";"via3",#N/A,TRUE,"general"}</definedName>
    <definedName name="ppppp9">{"via1",#N/A,TRUE,"general";"via2",#N/A,TRUE,"general";"via3",#N/A,TRUE,"general"}</definedName>
    <definedName name="pppppd" localSheetId="39">{"TAB1",#N/A,TRUE,"GENERAL";"TAB2",#N/A,TRUE,"GENERAL";"TAB3",#N/A,TRUE,"GENERAL";"TAB4",#N/A,TRUE,"GENERAL";"TAB5",#N/A,TRUE,"GENERAL"}</definedName>
    <definedName name="pppppd" localSheetId="20">{"TAB1",#N/A,TRUE,"GENERAL";"TAB2",#N/A,TRUE,"GENERAL";"TAB3",#N/A,TRUE,"GENERAL";"TAB4",#N/A,TRUE,"GENERAL";"TAB5",#N/A,TRUE,"GENERAL"}</definedName>
    <definedName name="pppppd" localSheetId="21">{"TAB1",#N/A,TRUE,"GENERAL";"TAB2",#N/A,TRUE,"GENERAL";"TAB3",#N/A,TRUE,"GENERAL";"TAB4",#N/A,TRUE,"GENERAL";"TAB5",#N/A,TRUE,"GENERAL"}</definedName>
    <definedName name="pppppd" localSheetId="9">{"TAB1",#N/A,TRUE,"GENERAL";"TAB2",#N/A,TRUE,"GENERAL";"TAB3",#N/A,TRUE,"GENERAL";"TAB4",#N/A,TRUE,"GENERAL";"TAB5",#N/A,TRUE,"GENERAL"}</definedName>
    <definedName name="pppppd" localSheetId="19">{"TAB1",#N/A,TRUE,"GENERAL";"TAB2",#N/A,TRUE,"GENERAL";"TAB3",#N/A,TRUE,"GENERAL";"TAB4",#N/A,TRUE,"GENERAL";"TAB5",#N/A,TRUE,"GENERAL"}</definedName>
    <definedName name="pppppd" localSheetId="28">{"TAB1",#N/A,TRUE,"GENERAL";"TAB2",#N/A,TRUE,"GENERAL";"TAB3",#N/A,TRUE,"GENERAL";"TAB4",#N/A,TRUE,"GENERAL";"TAB5",#N/A,TRUE,"GENERAL"}</definedName>
    <definedName name="pppppd" localSheetId="29">{"TAB1",#N/A,TRUE,"GENERAL";"TAB2",#N/A,TRUE,"GENERAL";"TAB3",#N/A,TRUE,"GENERAL";"TAB4",#N/A,TRUE,"GENERAL";"TAB5",#N/A,TRUE,"GENERAL"}</definedName>
    <definedName name="pppppd">{"TAB1",#N/A,TRUE,"GENERAL";"TAB2",#N/A,TRUE,"GENERAL";"TAB3",#N/A,TRUE,"GENERAL";"TAB4",#N/A,TRUE,"GENERAL";"TAB5",#N/A,TRUE,"GENERAL"}</definedName>
    <definedName name="pppppppppppp">#REF!</definedName>
    <definedName name="PPPPPPPPPPPPEE">#REF!</definedName>
    <definedName name="PPTO">[249]ANALISIS!#REF!</definedName>
    <definedName name="PPtoNorte">#REF!</definedName>
    <definedName name="pqroj" localSheetId="39">{"via1",#N/A,TRUE,"general";"via2",#N/A,TRUE,"general";"via3",#N/A,TRUE,"general"}</definedName>
    <definedName name="pqroj" localSheetId="20">{"via1",#N/A,TRUE,"general";"via2",#N/A,TRUE,"general";"via3",#N/A,TRUE,"general"}</definedName>
    <definedName name="pqroj" localSheetId="21">{"via1",#N/A,TRUE,"general";"via2",#N/A,TRUE,"general";"via3",#N/A,TRUE,"general"}</definedName>
    <definedName name="pqroj" localSheetId="9">{"via1",#N/A,TRUE,"general";"via2",#N/A,TRUE,"general";"via3",#N/A,TRUE,"general"}</definedName>
    <definedName name="pqroj" localSheetId="19">{"via1",#N/A,TRUE,"general";"via2",#N/A,TRUE,"general";"via3",#N/A,TRUE,"general"}</definedName>
    <definedName name="pqroj" localSheetId="28">{"via1",#N/A,TRUE,"general";"via2",#N/A,TRUE,"general";"via3",#N/A,TRUE,"general"}</definedName>
    <definedName name="pqroj" localSheetId="29">{"via1",#N/A,TRUE,"general";"via2",#N/A,TRUE,"general";"via3",#N/A,TRUE,"general"}</definedName>
    <definedName name="pqroj">{"via1",#N/A,TRUE,"general";"via2",#N/A,TRUE,"general";"via3",#N/A,TRUE,"general"}</definedName>
    <definedName name="PR" localSheetId="17">IF([0]!Loan_Amount*[0]!Interest_Rate*[0]!Loan_Years*[0]!Loan_Start&gt;0,1,0)</definedName>
    <definedName name="PR" localSheetId="28">IF([0]!Loan_Amount*[0]!Interest_Rate*[0]!Loan_Years*[0]!Loan_Start&gt;0,1,0)</definedName>
    <definedName name="PR" localSheetId="29">IF([0]!Loan_Amount*[0]!Interest_Rate*[0]!Loan_Years*[0]!Loan_Start&gt;0,1,0)</definedName>
    <definedName name="PR" localSheetId="12">IF([0]!Loan_Amount*[0]!Interest_Rate*[0]!Loan_Years*[0]!Loan_Start&gt;0,1,0)</definedName>
    <definedName name="PR">IF([0]!Loan_Amount*[0]!Interest_Rate*[0]!Loan_Years*[0]!Loan_Start&gt;0,1,0)</definedName>
    <definedName name="PRE" localSheetId="39">#REF!</definedName>
    <definedName name="pre" localSheetId="20">SUM([176]Resumen!$G$28:$G$31)</definedName>
    <definedName name="pre" localSheetId="21">SUM([176]Resumen!$G$28:$G$31)</definedName>
    <definedName name="pre" localSheetId="9">SUM([176]Resumen!$G$28:$G$31)</definedName>
    <definedName name="pre" localSheetId="13">SUM([41]Resumen!$G$28:$G$31)</definedName>
    <definedName name="PRE" localSheetId="17">#REF!</definedName>
    <definedName name="PRE" localSheetId="18">#REF!</definedName>
    <definedName name="pre" localSheetId="28">SUM([175]Resumen!$G$28:$G$31)</definedName>
    <definedName name="pre" localSheetId="29">SUM([175]Resumen!$G$28:$G$31)</definedName>
    <definedName name="PRE" localSheetId="12">#REF!</definedName>
    <definedName name="pre">SUM([176]Resumen!$G$28:$G$31)</definedName>
    <definedName name="Precio">#REF!</definedName>
    <definedName name="precio2">#REF!</definedName>
    <definedName name="precios">#REF!</definedName>
    <definedName name="PRELIMINAR">#REF!</definedName>
    <definedName name="Preliminares" comment="Apus_Preliminares">[157]Apus_Preliminares!$A$13:$K$288</definedName>
    <definedName name="PRES">#REF!</definedName>
    <definedName name="prestaciones" localSheetId="17">[90]DATOS!$B$14</definedName>
    <definedName name="prestaciones" localSheetId="18">[90]DATOS!$B$14</definedName>
    <definedName name="prestaciones" localSheetId="12">[90]DATOS!$B$14</definedName>
    <definedName name="Prestaciones">[250]Datos!$B$14</definedName>
    <definedName name="PRESTACIONES_SOCIALES">'[52]Datos iniciales '!$C$32</definedName>
    <definedName name="PrestacionesSeguridadOtros" localSheetId="9">[73]FM!$E$8:$E$22</definedName>
    <definedName name="PrestacionesSeguridadOtros">#REF!</definedName>
    <definedName name="Presu">'[11]CALCULO POI'!#REF!</definedName>
    <definedName name="presup" localSheetId="39">#REF!</definedName>
    <definedName name="presup" localSheetId="20">#REF!</definedName>
    <definedName name="presup" localSheetId="21">#REF!</definedName>
    <definedName name="presup" localSheetId="9">#REF!</definedName>
    <definedName name="presup" localSheetId="19">#REF!</definedName>
    <definedName name="PRESUP" localSheetId="17">#REF!</definedName>
    <definedName name="PRESUP" localSheetId="18">#REF!</definedName>
    <definedName name="PRESUP" localSheetId="12">#REF!</definedName>
    <definedName name="presup">#REF!</definedName>
    <definedName name="Presupuest">#REF!</definedName>
    <definedName name="PRESUPUESTADO">#REF!</definedName>
    <definedName name="Presupuesto" comment="Presup_Baños">[152]Presup_Vestier!$B$10:$H$207</definedName>
    <definedName name="PResupuestos">'[251]CtaGeneral-A'!$F$12:$AH$131</definedName>
    <definedName name="PrevFleet">#REF!</definedName>
    <definedName name="PRICES_FIRM">#REF!</definedName>
    <definedName name="PRIMER" localSheetId="39">{"via1",#N/A,TRUE,"general";"via2",#N/A,TRUE,"general";"via3",#N/A,TRUE,"general"}</definedName>
    <definedName name="PRIMER" localSheetId="20">{"via1",#N/A,TRUE,"general";"via2",#N/A,TRUE,"general";"via3",#N/A,TRUE,"general"}</definedName>
    <definedName name="PRIMER" localSheetId="21">{"via1",#N/A,TRUE,"general";"via2",#N/A,TRUE,"general";"via3",#N/A,TRUE,"general"}</definedName>
    <definedName name="PRIMER" localSheetId="9">{"via1",#N/A,TRUE,"general";"via2",#N/A,TRUE,"general";"via3",#N/A,TRUE,"general"}</definedName>
    <definedName name="PRIMER" localSheetId="19">{"via1",#N/A,TRUE,"general";"via2",#N/A,TRUE,"general";"via3",#N/A,TRUE,"general"}</definedName>
    <definedName name="primer" localSheetId="17">'[39]ESTADO RED'!#REF!</definedName>
    <definedName name="primer" localSheetId="18">'[39]ESTADO RED'!#REF!</definedName>
    <definedName name="PRIMER" localSheetId="28">{"via1",#N/A,TRUE,"general";"via2",#N/A,TRUE,"general";"via3",#N/A,TRUE,"general"}</definedName>
    <definedName name="PRIMER" localSheetId="29">{"via1",#N/A,TRUE,"general";"via2",#N/A,TRUE,"general";"via3",#N/A,TRUE,"general"}</definedName>
    <definedName name="primer" localSheetId="12">'[39]ESTADO RED'!#REF!</definedName>
    <definedName name="PRIMER">{"via1",#N/A,TRUE,"general";"via2",#N/A,TRUE,"general";"via3",#N/A,TRUE,"general"}</definedName>
    <definedName name="PRIMET" localSheetId="39">{"TAB1",#N/A,TRUE,"GENERAL";"TAB2",#N/A,TRUE,"GENERAL";"TAB3",#N/A,TRUE,"GENERAL";"TAB4",#N/A,TRUE,"GENERAL";"TAB5",#N/A,TRUE,"GENERAL"}</definedName>
    <definedName name="PRIMET" localSheetId="20">{"TAB1",#N/A,TRUE,"GENERAL";"TAB2",#N/A,TRUE,"GENERAL";"TAB3",#N/A,TRUE,"GENERAL";"TAB4",#N/A,TRUE,"GENERAL";"TAB5",#N/A,TRUE,"GENERAL"}</definedName>
    <definedName name="PRIMET" localSheetId="21">{"TAB1",#N/A,TRUE,"GENERAL";"TAB2",#N/A,TRUE,"GENERAL";"TAB3",#N/A,TRUE,"GENERAL";"TAB4",#N/A,TRUE,"GENERAL";"TAB5",#N/A,TRUE,"GENERAL"}</definedName>
    <definedName name="PRIMET" localSheetId="9">{"TAB1",#N/A,TRUE,"GENERAL";"TAB2",#N/A,TRUE,"GENERAL";"TAB3",#N/A,TRUE,"GENERAL";"TAB4",#N/A,TRUE,"GENERAL";"TAB5",#N/A,TRUE,"GENERAL"}</definedName>
    <definedName name="PRIMET" localSheetId="19">{"TAB1",#N/A,TRUE,"GENERAL";"TAB2",#N/A,TRUE,"GENERAL";"TAB3",#N/A,TRUE,"GENERAL";"TAB4",#N/A,TRUE,"GENERAL";"TAB5",#N/A,TRUE,"GENERAL"}</definedName>
    <definedName name="PRIMET" localSheetId="28">{"TAB1",#N/A,TRUE,"GENERAL";"TAB2",#N/A,TRUE,"GENERAL";"TAB3",#N/A,TRUE,"GENERAL";"TAB4",#N/A,TRUE,"GENERAL";"TAB5",#N/A,TRUE,"GENERAL"}</definedName>
    <definedName name="PRIMET" localSheetId="29">{"TAB1",#N/A,TRUE,"GENERAL";"TAB2",#N/A,TRUE,"GENERAL";"TAB3",#N/A,TRUE,"GENERAL";"TAB4",#N/A,TRUE,"GENERAL";"TAB5",#N/A,TRUE,"GENERAL"}</definedName>
    <definedName name="PRIMET">{"TAB1",#N/A,TRUE,"GENERAL";"TAB2",#N/A,TRUE,"GENERAL";"TAB3",#N/A,TRUE,"GENERAL";"TAB4",#N/A,TRUE,"GENERAL";"TAB5",#N/A,TRUE,"GENERAL"}</definedName>
    <definedName name="Princ">#REF!</definedName>
    <definedName name="Print_Area_MI" localSheetId="9">#REF!</definedName>
    <definedName name="PRINT_AREA_MI" localSheetId="17">#N/A</definedName>
    <definedName name="PRINT_AREA_MI" localSheetId="18">#N/A</definedName>
    <definedName name="PRINT_AREA_MI" localSheetId="12">#N/A</definedName>
    <definedName name="Print_Area_MI">#REF!</definedName>
    <definedName name="Print_Area_Reset" localSheetId="17">OFFSET([0]!Full_Print,0,0,FIDUCIA!Last_Row)</definedName>
    <definedName name="Print_Area_Reset" localSheetId="28">OFFSET([0]!Full_Print,0,0,PGS!Last_Row)</definedName>
    <definedName name="Print_Area_Reset" localSheetId="29">OFFSET([0]!Full_Print,0,0,PMA!Last_Row)</definedName>
    <definedName name="Print_Area_Reset" localSheetId="12">OFFSET([0]!Full_Print,0,0,'Presupuesto Interventoría'!Last_Row)</definedName>
    <definedName name="Print_Area_Reset">OFFSET([0]!Full_Print,0,0,[0]!Last_Row)</definedName>
    <definedName name="Print_Titles_MI" localSheetId="9">#REF!</definedName>
    <definedName name="PRINT_TITLES_MI" localSheetId="17">#N/A</definedName>
    <definedName name="PRINT_TITLES_MI" localSheetId="18">#N/A</definedName>
    <definedName name="PRINT_TITLES_MI" localSheetId="12">#N/A</definedName>
    <definedName name="Print_Titles_MI">#REF!</definedName>
    <definedName name="PRINT2">[252]Report!#REF!</definedName>
    <definedName name="PrintEnd" localSheetId="13" hidden="1">#REF!</definedName>
    <definedName name="PrintEnd" localSheetId="17" hidden="1">#REF!</definedName>
    <definedName name="PrintEnd" localSheetId="18" hidden="1">#REF!</definedName>
    <definedName name="PrintEnd" localSheetId="12" hidden="1">#REF!</definedName>
    <definedName name="PrintEnd" hidden="1">#REF!</definedName>
    <definedName name="PrintStart" localSheetId="13" hidden="1">#REF!</definedName>
    <definedName name="PrintStart" hidden="1">#REF!</definedName>
    <definedName name="PrintTitle">#REF!</definedName>
    <definedName name="Prioridad">[253]Sheet1!$D$2:$D$4</definedName>
    <definedName name="proceso">[162]procesos!$A$2:$A$73</definedName>
    <definedName name="prod">[17]Gastos!#REF!</definedName>
    <definedName name="prod1">[17]Gastos!#REF!</definedName>
    <definedName name="prod98">[17]Gastos!#REF!</definedName>
    <definedName name="prodcal">[17]Gastos!#REF!</definedName>
    <definedName name="prodeco">[254]LISTAS!#REF!</definedName>
    <definedName name="prodhati">[17]Gastos!#REF!</definedName>
    <definedName name="PRODUCCIONACTUAL">'[11]INFORMACIÓN REFERENCIA'!$B$8:$C$19</definedName>
    <definedName name="PRODUCTCARB">#REF!</definedName>
    <definedName name="PRODUCTEST">#REF!</definedName>
    <definedName name="producto">'[102]Indicadores de Producto'!$B$2:$B$745</definedName>
    <definedName name="PROF">#REF!</definedName>
    <definedName name="Profesional" localSheetId="9">'ENSAYOS DE LABORATORIO'!#REF!</definedName>
    <definedName name="Profesional">#REF!</definedName>
    <definedName name="PrOfic" localSheetId="17">[58]BASES!$B$31</definedName>
    <definedName name="PrOfic" localSheetId="18">[58]BASES!$B$31</definedName>
    <definedName name="PrOfic" localSheetId="12">[58]BASES!$B$31</definedName>
    <definedName name="PrOfic">[59]BASES!$B$31</definedName>
    <definedName name="profit_margin">#REF!</definedName>
    <definedName name="Profundidad">#REF!</definedName>
    <definedName name="programa">'[38]Programa Presupuestal'!$B$2:$B$26</definedName>
    <definedName name="Project">#REF!</definedName>
    <definedName name="PROJECT_CURRENCY">#REF!</definedName>
    <definedName name="Project_Name">#REF!</definedName>
    <definedName name="Project_name_1">#REF!</definedName>
    <definedName name="Project_name_2">#REF!</definedName>
    <definedName name="PROP">[53]DATOS!$D$7</definedName>
    <definedName name="Proponente">#REF!</definedName>
    <definedName name="ProyDV">'[255]T. Demanda Div.'!$B$172:$B$173</definedName>
    <definedName name="PROYECCION">#REF!</definedName>
    <definedName name="PROYECCIONDEMANDATABLA1">[11]DEMANDABASEAND!$B$7:$F$19</definedName>
    <definedName name="proyecto">[37]Listado!$B$11:$B$17</definedName>
    <definedName name="PROYECTOS">OFFSET(#REF!,COUNTA(#REF!),COUNTA(#REF!))</definedName>
    <definedName name="PRUEBA" localSheetId="35">[256]!absc</definedName>
    <definedName name="PRUEBA" localSheetId="38">[256]!absc</definedName>
    <definedName name="PRUEBA" localSheetId="56">[256]!absc</definedName>
    <definedName name="PRUEBA" localSheetId="77">[256]!absc</definedName>
    <definedName name="PRUEBA" localSheetId="78">[256]!absc</definedName>
    <definedName name="PRUEBA" localSheetId="72">[256]!absc</definedName>
    <definedName name="PRUEBA" localSheetId="73">[256]!absc</definedName>
    <definedName name="PRUEBA" localSheetId="74">[256]!absc</definedName>
    <definedName name="PRUEBA" localSheetId="75">[256]!absc</definedName>
    <definedName name="PRUEBA" localSheetId="76">[256]!absc</definedName>
    <definedName name="PRUEBA" localSheetId="79">[256]!absc</definedName>
    <definedName name="PRUEBA" localSheetId="22">[256]!absc</definedName>
    <definedName name="PRUEBA" localSheetId="21">[256]!absc</definedName>
    <definedName name="prueba" localSheetId="17">#REF!</definedName>
    <definedName name="prueba" localSheetId="18">#REF!</definedName>
    <definedName name="PRUEBA" localSheetId="23">[256]!absc</definedName>
    <definedName name="PRUEBA" localSheetId="26">[256]!absc</definedName>
    <definedName name="PRUEBA" localSheetId="24">[256]!absc</definedName>
    <definedName name="prueba" localSheetId="12">#REF!</definedName>
    <definedName name="PRUEBA">[256]!absc</definedName>
    <definedName name="prueba1" localSheetId="35">[256]!absc</definedName>
    <definedName name="prueba1" localSheetId="38">[256]!absc</definedName>
    <definedName name="prueba1" localSheetId="56">[256]!absc</definedName>
    <definedName name="prueba1" localSheetId="77">[256]!absc</definedName>
    <definedName name="prueba1" localSheetId="78">[256]!absc</definedName>
    <definedName name="prueba1" localSheetId="72">[256]!absc</definedName>
    <definedName name="prueba1" localSheetId="73">[256]!absc</definedName>
    <definedName name="prueba1" localSheetId="74">[256]!absc</definedName>
    <definedName name="prueba1" localSheetId="75">[256]!absc</definedName>
    <definedName name="prueba1" localSheetId="76">[256]!absc</definedName>
    <definedName name="prueba1" localSheetId="79">[256]!absc</definedName>
    <definedName name="prueba1" localSheetId="22">[256]!absc</definedName>
    <definedName name="prueba1" localSheetId="21">[256]!absc</definedName>
    <definedName name="prueba1" localSheetId="23">[256]!absc</definedName>
    <definedName name="prueba1" localSheetId="26">[256]!absc</definedName>
    <definedName name="prueba1" localSheetId="24">[256]!absc</definedName>
    <definedName name="prueba1">[256]!absc</definedName>
    <definedName name="PRUEBA2" localSheetId="39">#REF!</definedName>
    <definedName name="PRUEBA2" localSheetId="20">#REF!</definedName>
    <definedName name="PRUEBA2" localSheetId="21">#REF!</definedName>
    <definedName name="PRUEBA2" localSheetId="9">#REF!</definedName>
    <definedName name="PRUEBA2" localSheetId="19">#REF!</definedName>
    <definedName name="PRUEBA2" localSheetId="17">#REF!</definedName>
    <definedName name="PRUEBA2" localSheetId="18">#REF!</definedName>
    <definedName name="PRUEBA2" localSheetId="12">#REF!</definedName>
    <definedName name="PRUEBA2">#REF!</definedName>
    <definedName name="ptope" localSheetId="39">{"TAB1",#N/A,TRUE,"GENERAL";"TAB2",#N/A,TRUE,"GENERAL";"TAB3",#N/A,TRUE,"GENERAL";"TAB4",#N/A,TRUE,"GENERAL";"TAB5",#N/A,TRUE,"GENERAL"}</definedName>
    <definedName name="ptope" localSheetId="20">{"TAB1",#N/A,TRUE,"GENERAL";"TAB2",#N/A,TRUE,"GENERAL";"TAB3",#N/A,TRUE,"GENERAL";"TAB4",#N/A,TRUE,"GENERAL";"TAB5",#N/A,TRUE,"GENERAL"}</definedName>
    <definedName name="ptope" localSheetId="21">{"TAB1",#N/A,TRUE,"GENERAL";"TAB2",#N/A,TRUE,"GENERAL";"TAB3",#N/A,TRUE,"GENERAL";"TAB4",#N/A,TRUE,"GENERAL";"TAB5",#N/A,TRUE,"GENERAL"}</definedName>
    <definedName name="ptope" localSheetId="9">{"TAB1",#N/A,TRUE,"GENERAL";"TAB2",#N/A,TRUE,"GENERAL";"TAB3",#N/A,TRUE,"GENERAL";"TAB4",#N/A,TRUE,"GENERAL";"TAB5",#N/A,TRUE,"GENERAL"}</definedName>
    <definedName name="ptope" localSheetId="19">{"TAB1",#N/A,TRUE,"GENERAL";"TAB2",#N/A,TRUE,"GENERAL";"TAB3",#N/A,TRUE,"GENERAL";"TAB4",#N/A,TRUE,"GENERAL";"TAB5",#N/A,TRUE,"GENERAL"}</definedName>
    <definedName name="ptope" localSheetId="28">{"TAB1",#N/A,TRUE,"GENERAL";"TAB2",#N/A,TRUE,"GENERAL";"TAB3",#N/A,TRUE,"GENERAL";"TAB4",#N/A,TRUE,"GENERAL";"TAB5",#N/A,TRUE,"GENERAL"}</definedName>
    <definedName name="ptope" localSheetId="29">{"TAB1",#N/A,TRUE,"GENERAL";"TAB2",#N/A,TRUE,"GENERAL";"TAB3",#N/A,TRUE,"GENERAL";"TAB4",#N/A,TRUE,"GENERAL";"TAB5",#N/A,TRUE,"GENERAL"}</definedName>
    <definedName name="ptope">{"TAB1",#N/A,TRUE,"GENERAL";"TAB2",#N/A,TRUE,"GENERAL";"TAB3",#N/A,TRUE,"GENERAL";"TAB4",#N/A,TRUE,"GENERAL";"TAB5",#N/A,TRUE,"GENERAL"}</definedName>
    <definedName name="ptopes" localSheetId="20">{"via1",#N/A,TRUE,"general";"via2",#N/A,TRUE,"general";"via3",#N/A,TRUE,"general"}</definedName>
    <definedName name="ptopes" localSheetId="21">{"via1",#N/A,TRUE,"general";"via2",#N/A,TRUE,"general";"via3",#N/A,TRUE,"general"}</definedName>
    <definedName name="ptopes" localSheetId="9">{"via1",#N/A,TRUE,"general";"via2",#N/A,TRUE,"general";"via3",#N/A,TRUE,"general"}</definedName>
    <definedName name="ptopes" localSheetId="19">{"via1",#N/A,TRUE,"general";"via2",#N/A,TRUE,"general";"via3",#N/A,TRUE,"general"}</definedName>
    <definedName name="ptopes" localSheetId="28">{"via1",#N/A,TRUE,"general";"via2",#N/A,TRUE,"general";"via3",#N/A,TRUE,"general"}</definedName>
    <definedName name="ptopes" localSheetId="29">{"via1",#N/A,TRUE,"general";"via2",#N/A,TRUE,"general";"via3",#N/A,TRUE,"general"}</definedName>
    <definedName name="ptopes">{"via1",#N/A,TRUE,"general";"via2",#N/A,TRUE,"general";"via3",#N/A,TRUE,"general"}</definedName>
    <definedName name="PTTTT" localSheetId="20" hidden="1">{#N/A,#N/A,TRUE,"INGENIERIA";#N/A,#N/A,TRUE,"COMPRAS";#N/A,#N/A,TRUE,"DIRECCION";#N/A,#N/A,TRUE,"RESUMEN"}</definedName>
    <definedName name="PTTTT" localSheetId="21" hidden="1">{#N/A,#N/A,TRUE,"INGENIERIA";#N/A,#N/A,TRUE,"COMPRAS";#N/A,#N/A,TRUE,"DIRECCION";#N/A,#N/A,TRUE,"RESUMEN"}</definedName>
    <definedName name="PTTTT" localSheetId="9" hidden="1">{#N/A,#N/A,TRUE,"INGENIERIA";#N/A,#N/A,TRUE,"COMPRAS";#N/A,#N/A,TRUE,"DIRECCION";#N/A,#N/A,TRUE,"RESUMEN"}</definedName>
    <definedName name="PTTTT" localSheetId="19" hidden="1">{#N/A,#N/A,TRUE,"INGENIERIA";#N/A,#N/A,TRUE,"COMPRAS";#N/A,#N/A,TRUE,"DIRECCION";#N/A,#N/A,TRUE,"RESUMEN"}</definedName>
    <definedName name="PTTTT" localSheetId="13" hidden="1">{#N/A,#N/A,TRUE,"INGENIERIA";#N/A,#N/A,TRUE,"COMPRAS";#N/A,#N/A,TRUE,"DIRECCION";#N/A,#N/A,TRUE,"RESUMEN"}</definedName>
    <definedName name="PTTTT" localSheetId="17" hidden="1">{#N/A,#N/A,TRUE,"INGENIERIA";#N/A,#N/A,TRUE,"COMPRAS";#N/A,#N/A,TRUE,"DIRECCION";#N/A,#N/A,TRUE,"RESUMEN"}</definedName>
    <definedName name="PTTTT" localSheetId="18" hidden="1">{#N/A,#N/A,TRUE,"INGENIERIA";#N/A,#N/A,TRUE,"COMPRAS";#N/A,#N/A,TRUE,"DIRECCION";#N/A,#N/A,TRUE,"RESUMEN"}</definedName>
    <definedName name="PTTTT" localSheetId="28" hidden="1">{#N/A,#N/A,TRUE,"INGENIERIA";#N/A,#N/A,TRUE,"COMPRAS";#N/A,#N/A,TRUE,"DIRECCION";#N/A,#N/A,TRUE,"RESUMEN"}</definedName>
    <definedName name="PTTTT" localSheetId="29" hidden="1">{#N/A,#N/A,TRUE,"INGENIERIA";#N/A,#N/A,TRUE,"COMPRAS";#N/A,#N/A,TRUE,"DIRECCION";#N/A,#N/A,TRUE,"RESUMEN"}</definedName>
    <definedName name="PTTTT" localSheetId="12" hidden="1">{#N/A,#N/A,TRUE,"INGENIERIA";#N/A,#N/A,TRUE,"COMPRAS";#N/A,#N/A,TRUE,"DIRECCION";#N/A,#N/A,TRUE,"RESUMEN"}</definedName>
    <definedName name="PTTTT" hidden="1">{#N/A,#N/A,TRUE,"INGENIERIA";#N/A,#N/A,TRUE,"COMPRAS";#N/A,#N/A,TRUE,"DIRECCION";#N/A,#N/A,TRUE,"RESUMEN"}</definedName>
    <definedName name="Pulidora">'[57]L. MAT.'!#REF!</definedName>
    <definedName name="PullCords">'[179]Actual Data (MAP)'!$B$31:$C$131</definedName>
    <definedName name="PUNTILLA">#REF!</definedName>
    <definedName name="Punto">#REF!</definedName>
    <definedName name="PuntosRentabilidad">#REF!</definedName>
    <definedName name="Purchase">#REF!</definedName>
    <definedName name="PUTUMAYO" localSheetId="20">'CRONOGRAMA Y FLUJO (OXI)'!#REF!</definedName>
    <definedName name="PUTUMAYO" localSheetId="21">'CRONOGRAMA Y FLUJO .'!#REF!</definedName>
    <definedName name="q" localSheetId="20">{"via1",#N/A,TRUE,"general";"via2",#N/A,TRUE,"general";"via3",#N/A,TRUE,"general"}</definedName>
    <definedName name="q" localSheetId="21">{"via1",#N/A,TRUE,"general";"via2",#N/A,TRUE,"general";"via3",#N/A,TRUE,"general"}</definedName>
    <definedName name="q" localSheetId="9">{"via1",#N/A,TRUE,"general";"via2",#N/A,TRUE,"general";"via3",#N/A,TRUE,"general"}</definedName>
    <definedName name="q" localSheetId="19">{"via1",#N/A,TRUE,"general";"via2",#N/A,TRUE,"general";"via3",#N/A,TRUE,"general"}</definedName>
    <definedName name="Q" localSheetId="17">#REF!</definedName>
    <definedName name="Q" localSheetId="18">#REF!</definedName>
    <definedName name="q" localSheetId="28">{"via1",#N/A,TRUE,"general";"via2",#N/A,TRUE,"general";"via3",#N/A,TRUE,"general"}</definedName>
    <definedName name="q" localSheetId="29">{"via1",#N/A,TRUE,"general";"via2",#N/A,TRUE,"general";"via3",#N/A,TRUE,"general"}</definedName>
    <definedName name="Q" localSheetId="12">#REF!</definedName>
    <definedName name="q">{"via1",#N/A,TRUE,"general";"via2",#N/A,TRUE,"general";"via3",#N/A,TRUE,"general"}</definedName>
    <definedName name="q1q1q" localSheetId="20">{"via1",#N/A,TRUE,"general";"via2",#N/A,TRUE,"general";"via3",#N/A,TRUE,"general"}</definedName>
    <definedName name="q1q1q" localSheetId="21">{"via1",#N/A,TRUE,"general";"via2",#N/A,TRUE,"general";"via3",#N/A,TRUE,"general"}</definedName>
    <definedName name="q1q1q" localSheetId="9">{"via1",#N/A,TRUE,"general";"via2",#N/A,TRUE,"general";"via3",#N/A,TRUE,"general"}</definedName>
    <definedName name="q1q1q" localSheetId="19">{"via1",#N/A,TRUE,"general";"via2",#N/A,TRUE,"general";"via3",#N/A,TRUE,"general"}</definedName>
    <definedName name="q1q1q" localSheetId="28">{"via1",#N/A,TRUE,"general";"via2",#N/A,TRUE,"general";"via3",#N/A,TRUE,"general"}</definedName>
    <definedName name="q1q1q" localSheetId="29">{"via1",#N/A,TRUE,"general";"via2",#N/A,TRUE,"general";"via3",#N/A,TRUE,"general"}</definedName>
    <definedName name="q1q1q">{"via1",#N/A,TRUE,"general";"via2",#N/A,TRUE,"general";"via3",#N/A,TRUE,"general"}</definedName>
    <definedName name="qaedtguj" localSheetId="20">{"via1",#N/A,TRUE,"general";"via2",#N/A,TRUE,"general";"via3",#N/A,TRUE,"general"}</definedName>
    <definedName name="qaedtguj" localSheetId="21">{"via1",#N/A,TRUE,"general";"via2",#N/A,TRUE,"general";"via3",#N/A,TRUE,"general"}</definedName>
    <definedName name="qaedtguj" localSheetId="9">{"via1",#N/A,TRUE,"general";"via2",#N/A,TRUE,"general";"via3",#N/A,TRUE,"general"}</definedName>
    <definedName name="qaedtguj" localSheetId="19">{"via1",#N/A,TRUE,"general";"via2",#N/A,TRUE,"general";"via3",#N/A,TRUE,"general"}</definedName>
    <definedName name="qaedtguj" localSheetId="28">{"via1",#N/A,TRUE,"general";"via2",#N/A,TRUE,"general";"via3",#N/A,TRUE,"general"}</definedName>
    <definedName name="qaedtguj" localSheetId="29">{"via1",#N/A,TRUE,"general";"via2",#N/A,TRUE,"general";"via3",#N/A,TRUE,"general"}</definedName>
    <definedName name="qaedtguj">{"via1",#N/A,TRUE,"general";"via2",#N/A,TRUE,"general";"via3",#N/A,TRUE,"general"}</definedName>
    <definedName name="QE">[158]TARIF2002!#REF!</definedName>
    <definedName name="QE_TE">[158]TARIF2002!#REF!</definedName>
    <definedName name="QI">[158]TARIF2002!#REF!</definedName>
    <definedName name="QI_TI">[158]TARIF2002!#REF!</definedName>
    <definedName name="qm">#REF!</definedName>
    <definedName name="QMAXDIARIO">'[11]CALCULO POI'!$B$118:$C$154</definedName>
    <definedName name="QN">[158]TARIF2002!#REF!</definedName>
    <definedName name="QN_QI">[158]TARIF2002!#REF!</definedName>
    <definedName name="QNS">[257]TARIF2002!#REF!</definedName>
    <definedName name="QPROM">[11]TARIFAS!$C$570</definedName>
    <definedName name="qq">#REF!</definedName>
    <definedName name="qqq">#REF!</definedName>
    <definedName name="qqqqqqqqqqqqqqqq">#REF!</definedName>
    <definedName name="QRS">#REF!</definedName>
    <definedName name="qsqw">#REF!</definedName>
    <definedName name="Quality_PvT">#REF!</definedName>
    <definedName name="QualityF">#REF!</definedName>
    <definedName name="quantity">#REF!</definedName>
    <definedName name="QUIMICOSTABLA1.3.1">'[11]CALCULO COSTOS DE OPERACIÓN'!$B$176:$J$211</definedName>
    <definedName name="QUINDIO" localSheetId="20">'CRONOGRAMA Y FLUJO (OXI)'!#REF!</definedName>
    <definedName name="QUINDIO" localSheetId="21">'CRONOGRAMA Y FLUJO .'!#REF!</definedName>
    <definedName name="QUINDIO" localSheetId="9">#REF!</definedName>
    <definedName name="QUINDIO" localSheetId="19">#REF!</definedName>
    <definedName name="QUINDIO" localSheetId="17">[258]PRESUPUESTO!#REF!</definedName>
    <definedName name="QUINDIO" localSheetId="18">[258]PRESUPUESTO!#REF!</definedName>
    <definedName name="QUINDIO" localSheetId="12">[258]PRESUPUESTO!#REF!</definedName>
    <definedName name="QUINDIO">#REF!</definedName>
    <definedName name="qw">#REF!</definedName>
    <definedName name="QWE" localSheetId="20" hidden="1">#REF!</definedName>
    <definedName name="QWE" localSheetId="21" hidden="1">#REF!</definedName>
    <definedName name="QWE" localSheetId="9" hidden="1">#REF!</definedName>
    <definedName name="QWE" localSheetId="19" hidden="1">#REF!</definedName>
    <definedName name="QWE" localSheetId="13" hidden="1">'[15]ETAPA 50 SMMLV'!#REF!</definedName>
    <definedName name="QWE" localSheetId="17" hidden="1">'[15]ETAPA 50 SMMLV'!#REF!</definedName>
    <definedName name="QWE" localSheetId="18" hidden="1">'[15]ETAPA 50 SMMLV'!#REF!</definedName>
    <definedName name="QWE" localSheetId="12" hidden="1">'[15]ETAPA 50 SMMLV'!#REF!</definedName>
    <definedName name="QWE" hidden="1">#REF!</definedName>
    <definedName name="qwqw">#REF!</definedName>
    <definedName name="qwqwas">#REF!</definedName>
    <definedName name="QWQWW">#REF!</definedName>
    <definedName name="R.1">#REF!</definedName>
    <definedName name="R.10">#REF!</definedName>
    <definedName name="R.11">#REF!</definedName>
    <definedName name="R.12">#REF!</definedName>
    <definedName name="R.13">#REF!</definedName>
    <definedName name="R.14">#REF!</definedName>
    <definedName name="R.15">#REF!</definedName>
    <definedName name="R.16">#REF!</definedName>
    <definedName name="R.17">#REF!</definedName>
    <definedName name="R.18">#REF!</definedName>
    <definedName name="R.19">#REF!</definedName>
    <definedName name="R.2">#REF!</definedName>
    <definedName name="R.3">#REF!</definedName>
    <definedName name="R.4">#REF!</definedName>
    <definedName name="R.5">#REF!</definedName>
    <definedName name="R.6">#REF!</definedName>
    <definedName name="R.7">#REF!</definedName>
    <definedName name="R.8">#REF!</definedName>
    <definedName name="R.9">#REF!</definedName>
    <definedName name="r.CashFlow" localSheetId="20" hidden="1">#REF!</definedName>
    <definedName name="r.CashFlow" localSheetId="21" hidden="1">#REF!</definedName>
    <definedName name="r.CashFlow" hidden="1">#REF!</definedName>
    <definedName name="r.Leverage" localSheetId="13" hidden="1">#REF!</definedName>
    <definedName name="r.Leverage" hidden="1">#REF!</definedName>
    <definedName name="r.Liquidity" localSheetId="13" hidden="1">#REF!</definedName>
    <definedName name="r.Liquidity" hidden="1">#REF!</definedName>
    <definedName name="r.Market" localSheetId="13" hidden="1">#REF!</definedName>
    <definedName name="r.Market" hidden="1">#REF!</definedName>
    <definedName name="r.Profitability" localSheetId="13" hidden="1">#REF!</definedName>
    <definedName name="r.Profitability" hidden="1">#REF!</definedName>
    <definedName name="r.Summary" localSheetId="13" hidden="1">#REF!</definedName>
    <definedName name="r.Summary" hidden="1">#REF!</definedName>
    <definedName name="Ra">#REF!</definedName>
    <definedName name="rango">#REF!</definedName>
    <definedName name="rata">#REF!</definedName>
    <definedName name="Rate1">[259]Summary!$D$6</definedName>
    <definedName name="rate2">[259]Summary!$D$7</definedName>
    <definedName name="ratio">#REF!</definedName>
    <definedName name="Rb">#REF!</definedName>
    <definedName name="Rd">#REF!</definedName>
    <definedName name="RD_CP">'[260]Working Cap Movemts'!#REF!</definedName>
    <definedName name="RD_CP_VL">'[260]Working Cap Movemts'!#REF!</definedName>
    <definedName name="rds">#REF!</definedName>
    <definedName name="Re">#REF!</definedName>
    <definedName name="RE4NTA">[78]EQUIPOS!$D$8</definedName>
    <definedName name="rec">[261]Propuesta!#REF!</definedName>
    <definedName name="Recurso">[253]Sheet1!$B$2:$B$3</definedName>
    <definedName name="RECURSOS">'[262]REC-COD,'!$A$1:$D$962</definedName>
    <definedName name="recursos_general" localSheetId="28">[236]tipo_recurso!$A$1:$A$8</definedName>
    <definedName name="recursos_general" localSheetId="29">[236]tipo_recurso!$A$1:$A$8</definedName>
    <definedName name="recursos_general">[237]tipo_recurso!$A$1:$A$8</definedName>
    <definedName name="REDESALCANTARILLADOTABLA1.2">'[11]INFORMACIÓN REFERENCIA'!$B$330:$F$341</definedName>
    <definedName name="REDESALCANTARILLADOTABLA1.4">'[11]INFORMACIÓN REFERENCIA'!$B$352:$F$364</definedName>
    <definedName name="REDESALCANTARILLADOTABLA1.5">#REF!</definedName>
    <definedName name="REDESTABLA6.1">'[11]INFORMACIÓN REFERENCIA'!$B$245:$E$256</definedName>
    <definedName name="REDESTABLA6.2">'[11]INFORMACIÓN REFERENCIA'!$B$260:$K$272</definedName>
    <definedName name="REDESTABLA6.3">'[11]INFORMACIÓN REFERENCIA'!$B$276:$C$287</definedName>
    <definedName name="REDUCCION_3__x_2">#REF!</definedName>
    <definedName name="REDUCCION_4__x_3">#REF!</definedName>
    <definedName name="Reducer">'[179]Actual Data (MAP)'!$B$11:$C$18</definedName>
    <definedName name="Reductor4a2">#REF!</definedName>
    <definedName name="REF">#REF!</definedName>
    <definedName name="REFERENCIAPROYECTOS">[11]REFERENCIAS!$A$3:$F$24</definedName>
    <definedName name="REFMAR">#REF!</definedName>
    <definedName name="REG">'[217]Estado Resumen'!XFC1&gt;2.5</definedName>
    <definedName name="REGBT">#N/A</definedName>
    <definedName name="Regional">#REF!</definedName>
    <definedName name="regiones">[38]Listado!$B$2:$B$9</definedName>
    <definedName name="REGRESA">#REF!</definedName>
    <definedName name="REGULAR">'[218]ESTADO VÍA-CRIT.TECNICO'!XFC1&gt;2.5</definedName>
    <definedName name="REGULAR4006">#REF!</definedName>
    <definedName name="REGULAR4006A">#REF!</definedName>
    <definedName name="REGULAR40CN01">#REF!</definedName>
    <definedName name="REGULAR40CNA">#REF!</definedName>
    <definedName name="REGULAR40CNB">#REF!</definedName>
    <definedName name="REGULAR55CN01">#REF!</definedName>
    <definedName name="REGULAR55CN03">#REF!</definedName>
    <definedName name="REGULAR5607">#REF!</definedName>
    <definedName name="REGULARAFIR5607">#REF!</definedName>
    <definedName name="Rejilla2plg">#REF!</definedName>
    <definedName name="rell">#REF!</definedName>
    <definedName name="relle">#REF!</definedName>
    <definedName name="relleno">#REF!</definedName>
    <definedName name="RELLG">#REF!</definedName>
    <definedName name="rendimiento">#REF!</definedName>
    <definedName name="rep" localSheetId="13">[41]Resumen!$G$33</definedName>
    <definedName name="rep" localSheetId="17">[42]Resumen!$G$29</definedName>
    <definedName name="rep" localSheetId="18">[42]Resumen!$G$29</definedName>
    <definedName name="rep" localSheetId="28">[43]Resumen!$G$48</definedName>
    <definedName name="rep" localSheetId="29">[43]Resumen!$G$48</definedName>
    <definedName name="rep" localSheetId="12">[42]Resumen!$G$29</definedName>
    <definedName name="rep">[44]Resumen!$G$48</definedName>
    <definedName name="reparacion4">'[55]PRESTACIONES SOCIALES'!#REF!</definedName>
    <definedName name="repello">#REF!</definedName>
    <definedName name="replanteo">#REF!</definedName>
    <definedName name="REPOSICIONACU">'[11]INFORMACIÓN REFERENCIA'!$B$674:$H$685</definedName>
    <definedName name="REPOSICIONACUREDES">'[11]INFORMACIÓN REFERENCIA'!$B$688:$D$699</definedName>
    <definedName name="REPOSICIONALC">'[11]INFORMACIÓN REFERENCIA'!$B$704:$D$715</definedName>
    <definedName name="REPOSICIONALCREDES">'[11]INFORMACIÓN REFERENCIA'!$B$718:$O$729</definedName>
    <definedName name="req">#REF!</definedName>
    <definedName name="Required_Delivery">#REF!</definedName>
    <definedName name="RERERWE" localSheetId="28">[84]Estruc.ICEL!#REF!</definedName>
    <definedName name="RERERWE" localSheetId="29">[84]Estruc.ICEL!#REF!</definedName>
    <definedName name="RERERWE">[82]Estruc.ICEL!#REF!</definedName>
    <definedName name="Reserva">[17]Gastos!#REF!</definedName>
    <definedName name="residente">'[80]GENERALIDADES '!$E$9</definedName>
    <definedName name="Resistenciaconductor">[121]Modelo!#REF!</definedName>
    <definedName name="RESP">[65]dts!$B$6</definedName>
    <definedName name="Responsible">'[51]2009 Jagua'!$G$2:$G$27</definedName>
    <definedName name="RESU">#REF!</definedName>
    <definedName name="resumen">#REF!</definedName>
    <definedName name="RESUMENALCANTARILLADO">#REF!</definedName>
    <definedName name="ResumenAPU">[163]ResumenMaterial!$A$12:$AB$169</definedName>
    <definedName name="RESUMENCOSTOSOPERACIÓN">'[11]CALCULO COSTOS DE OPERACIÓN'!$B$6:$Q$41</definedName>
    <definedName name="RESUMENINVERSIONESACU">'[11]CALCULO POI'!$A$6:$M$41</definedName>
    <definedName name="RESUMENINVERSIONESACUEDUCTO">'[11]CALCULO POI'!$A$6:$M$41</definedName>
    <definedName name="RESUMENINVERSIONESALC">'[11]CALCULO POI'!$A$202:$K$237</definedName>
    <definedName name="RESUMENMODELODEMANDA">#REF!</definedName>
    <definedName name="RESUMENOPTIMIZACIONACU">'[11]CALCULO POI'!$A$46:$L$81</definedName>
    <definedName name="RESUMENOPTIMIZACIONALC">'[11]CALCULO POI'!$A$242:$I$277</definedName>
    <definedName name="RET">#REF!</definedName>
    <definedName name="reten">[17]Gastos!#REF!</definedName>
    <definedName name="Retenc">[58]BASES!$E$31</definedName>
    <definedName name="RETIE">[231]PRESUPUESTO!$M$347</definedName>
    <definedName name="retiroarbol">#REF!</definedName>
    <definedName name="retirocorte">#REF!</definedName>
    <definedName name="retr">#REF!</definedName>
    <definedName name="Return">'[179]Actual Data (MAP)'!$L$31:$M$131</definedName>
    <definedName name="ReturnSTX">'[179]Actual Data (STX)'!$I$19:$J$119</definedName>
    <definedName name="REWQ">#REF!</definedName>
    <definedName name="Rf">#REF!</definedName>
    <definedName name="rfref">#REF!</definedName>
    <definedName name="Rg">#REF!</definedName>
    <definedName name="Rh">#REF!</definedName>
    <definedName name="Ri">#REF!</definedName>
    <definedName name="ricardo">#REF!</definedName>
    <definedName name="RICO">#N/A</definedName>
    <definedName name="Ripio">#REF!</definedName>
    <definedName name="RISARALDA" localSheetId="20">'CRONOGRAMA Y FLUJO (OXI)'!#REF!</definedName>
    <definedName name="RISARALDA" localSheetId="21">'CRONOGRAMA Y FLUJO .'!#REF!</definedName>
    <definedName name="RISARALDA" localSheetId="9">#REF!</definedName>
    <definedName name="RISARALDA" localSheetId="19">#REF!</definedName>
    <definedName name="RISARALDA" localSheetId="17">[258]PRESUPUESTO!#REF!</definedName>
    <definedName name="RISARALDA" localSheetId="18">[258]PRESUPUESTO!#REF!</definedName>
    <definedName name="RISARALDA" localSheetId="12">[258]PRESUPUESTO!#REF!</definedName>
    <definedName name="RISARALDA">#REF!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Ind">[263]RefTables!$K$2:$K$26</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anking">[263]RefTables!$L$2:$L$26</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#REF!</definedName>
    <definedName name="rl">#REF!</definedName>
    <definedName name="rlo">#REF!</definedName>
    <definedName name="Rm">#REF!</definedName>
    <definedName name="rmcAccount">88500</definedName>
    <definedName name="rmcCategory">"FYE996"</definedName>
    <definedName name="rmcName">"CARPRD"</definedName>
    <definedName name="RMCOptions">"*100000000000000"</definedName>
    <definedName name="RMCostOutput">#REF!</definedName>
    <definedName name="rmcPeriod">9501</definedName>
    <definedName name="Rmm">#REF!</definedName>
    <definedName name="Rn">#REF!</definedName>
    <definedName name="Rñ">#REF!</definedName>
    <definedName name="Ro">#REF!</definedName>
    <definedName name="RoA_N">[109]ASSUMPTIONS!#REF!</definedName>
    <definedName name="rodaje">[55]lisprecios!#REF!</definedName>
    <definedName name="rolando">#REF!</definedName>
    <definedName name="Roster1">[77]Parameters!$O$30</definedName>
    <definedName name="Roster2">[77]Parameters!$P$30</definedName>
    <definedName name="Roster3">[77]Parameters!$Q$30</definedName>
    <definedName name="Roster4">[77]Parameters!$R$30</definedName>
    <definedName name="Rosters">[77]Parameters!$O$26:$R$29</definedName>
    <definedName name="Rows2Unhide" localSheetId="20" hidden="1">#REF!</definedName>
    <definedName name="Rows2Unhide" localSheetId="21" hidden="1">#REF!</definedName>
    <definedName name="Rows2Unhide" localSheetId="13" hidden="1">#REF!</definedName>
    <definedName name="Rows2Unhide" localSheetId="17" hidden="1">#REF!</definedName>
    <definedName name="Rows2Unhide" localSheetId="18" hidden="1">#REF!</definedName>
    <definedName name="Rows2Unhide" localSheetId="12" hidden="1">#REF!</definedName>
    <definedName name="Rows2Unhide" hidden="1">#REF!</definedName>
    <definedName name="Roy_price_sens">'[100]Inputs-SUMMARY'!$H$266:$BR$266</definedName>
    <definedName name="Royal_Col_Nom">[109]W_OPEX!$H$220:$AP$220</definedName>
    <definedName name="royalphalumi">[264]datosluminariasRoyAlPHa!$A$1:$A$65536</definedName>
    <definedName name="Royalty_CDC_LLC">[93]Royalties!#REF!</definedName>
    <definedName name="Royalty_CZN_SA">[93]Royalties!#REF!</definedName>
    <definedName name="Royalty_total">[93]Royalties!#REF!</definedName>
    <definedName name="Rp">#REF!</definedName>
    <definedName name="Rq">#REF!</definedName>
    <definedName name="rr">#REF!</definedName>
    <definedName name="rrrr">#REF!</definedName>
    <definedName name="rrrrrrrr">#REF!</definedName>
    <definedName name="Rs">#REF!</definedName>
    <definedName name="rsmt" localSheetId="20">#REF!</definedName>
    <definedName name="rsmt" localSheetId="21">#REF!</definedName>
    <definedName name="rsmt">#REF!</definedName>
    <definedName name="Rt">#REF!</definedName>
    <definedName name="rte">#REF!</definedName>
    <definedName name="rty">#REF!</definedName>
    <definedName name="rueda">[55]lisprecios!#REF!</definedName>
    <definedName name="RUTA">#N/A</definedName>
    <definedName name="Rv">#REF!</definedName>
    <definedName name="RVS">[65]dts!$B$23</definedName>
    <definedName name="Rw">#REF!</definedName>
    <definedName name="Rx">#REF!</definedName>
    <definedName name="Ry">#REF!</definedName>
    <definedName name="Rz">#REF!</definedName>
    <definedName name="S">#REF!</definedName>
    <definedName name="SA">[126]PRESUPUESTO!#REF!</definedName>
    <definedName name="SADASDFSDF">#REF!</definedName>
    <definedName name="Salario_minimo">[265]Salarios!$B$2</definedName>
    <definedName name="Salarios">#REF!</definedName>
    <definedName name="Saldo_Capital">#REF!</definedName>
    <definedName name="SalMinimo">[58]BASES!$E$41</definedName>
    <definedName name="sanitario">[125]lisprecios!$D$35</definedName>
    <definedName name="sasa">'[11]CALCULO POI'!#REF!</definedName>
    <definedName name="SASSS">#REF!</definedName>
    <definedName name="SB">[126]PRESUPUESTO!#REF!</definedName>
    <definedName name="sbe">#REF!</definedName>
    <definedName name="Sbf">[19]CALCULO!$E$61</definedName>
    <definedName name="SC">[126]PRESUPUESTO!#REF!</definedName>
    <definedName name="Sched_Pay">#REF!</definedName>
    <definedName name="Scheduled_Extra_Payments">#REF!</definedName>
    <definedName name="Scheduled_Interest_Rate">#REF!</definedName>
    <definedName name="Scheduled_Monthly_Payment">#REF!</definedName>
    <definedName name="SContLab">#REF!</definedName>
    <definedName name="SContParts">#REF!</definedName>
    <definedName name="scope">#REF!</definedName>
    <definedName name="scope1">'[75]REF - Listas'!$D$32:$D$38</definedName>
    <definedName name="Sd">#REF!</definedName>
    <definedName name="SDE">#REF!</definedName>
    <definedName name="sdf">#REF!</definedName>
    <definedName name="sdfsd">#REF!</definedName>
    <definedName name="sdsd">#REF!</definedName>
    <definedName name="SE">[126]PRESUPUESTO!#REF!</definedName>
    <definedName name="segundo">'[39]ESTADO RED'!#REF!</definedName>
    <definedName name="Segundos">#REF!</definedName>
    <definedName name="Seguro">#REF!</definedName>
    <definedName name="SeguroCostos">#REF!</definedName>
    <definedName name="selalternativas">[37]Listado!$S$2:$S$3</definedName>
    <definedName name="SEM_DEL_MES">#REF!</definedName>
    <definedName name="SEMANA">[65]dts!$B$8</definedName>
    <definedName name="Semanas_mes">#REF!</definedName>
    <definedName name="sencount" hidden="1">1</definedName>
    <definedName name="SEP">#REF!</definedName>
    <definedName name="sep00">[17]Dólar!#REF!</definedName>
    <definedName name="Sepjv2">#REF!</definedName>
    <definedName name="septdetail">#REF!</definedName>
    <definedName name="septtb">#REF!</definedName>
    <definedName name="SequenceF">#REF!</definedName>
    <definedName name="servicioingreso">#REF!</definedName>
    <definedName name="ServicioSurentingExpress">#REF!</definedName>
    <definedName name="servicioutilidad">#REF!</definedName>
    <definedName name="ServicioVehSustituto">#REF!</definedName>
    <definedName name="SF">'[74]CIRCUITOS CODENSA'!#REF!</definedName>
    <definedName name="Sg">#REF!</definedName>
    <definedName name="SGET">#REF!</definedName>
    <definedName name="SGI_V_INDICES_CIRCUITO_CAUSA">#REF!</definedName>
    <definedName name="Sh">#REF!</definedName>
    <definedName name="Share">[147]Cover!#REF!</definedName>
    <definedName name="SHARED_FORMULA_21">#N/A</definedName>
    <definedName name="ship_terms">#REF!</definedName>
    <definedName name="SHIP_VIA">#REF!</definedName>
    <definedName name="Shovel_1">#REF!</definedName>
    <definedName name="Shovel_2">#REF!</definedName>
    <definedName name="Shovel_3">#REF!</definedName>
    <definedName name="Shovel_4">#REF!</definedName>
    <definedName name="Shovel_5">#REF!</definedName>
    <definedName name="show_all">'[266]Mine variance - tree'!#REF!</definedName>
    <definedName name="si">#REF!</definedName>
    <definedName name="SIFON_180_2">#REF!</definedName>
    <definedName name="Sifon2plg">#REF!</definedName>
    <definedName name="SiglaPrestador" localSheetId="10">#REF!</definedName>
    <definedName name="SiglaPrestador" localSheetId="20">#REF!</definedName>
    <definedName name="SiglaPrestador" localSheetId="21">#REF!</definedName>
    <definedName name="SiglaPrestador">#REF!</definedName>
    <definedName name="SIKA">#REF!</definedName>
    <definedName name="SIKA_1">'[267]LISTA PRECIO'!$B$72</definedName>
    <definedName name="SIKADUR">#REF!</definedName>
    <definedName name="silla_y_250x110">[31]Materiales!#REF!</definedName>
    <definedName name="SILLA_YEE_160x110">[31]Materiales!#REF!</definedName>
    <definedName name="SILLA_YEE_160x160">[31]Materiales!#REF!</definedName>
    <definedName name="SILLA_YEE_200x110">[31]Materiales!#REF!</definedName>
    <definedName name="SILLA_YEE_200x160">[31]Materiales!#REF!</definedName>
    <definedName name="SILLA_YEE_24x160">[31]Materiales!#REF!</definedName>
    <definedName name="SILLA_YEE_250x110">[31]Materiales!#REF!</definedName>
    <definedName name="SILLA_YEE_250x160">[31]Materiales!#REF!</definedName>
    <definedName name="SILLA_YEE_27x160">[31]Materiales!#REF!</definedName>
    <definedName name="SILLA_YEE_315x110">[31]Materiales!#REF!</definedName>
    <definedName name="SILLA_YEE_315x160">[31]Materiales!#REF!</definedName>
    <definedName name="SILLA_YEE_355x110">[31]Materiales!#REF!</definedName>
    <definedName name="SILLA_YEE_355x160">[31]Materiales!#REF!</definedName>
    <definedName name="SILLA_YEE_400x160">[31]Materiales!#REF!</definedName>
    <definedName name="SILLA_YEE_450x160">[31]Materiales!#REF!</definedName>
    <definedName name="Sim_Model_Input_1">[260]HL!#REF!</definedName>
    <definedName name="Sim_Model_Input_4">[260]HL!#REF!</definedName>
    <definedName name="Sim_Model_Output_1">[260]HL!#REF!</definedName>
    <definedName name="Sitio">[253]Sheet1!$C$2:$C$4</definedName>
    <definedName name="SJ">'[74]CIRCUITOS CODENSA'!#REF!</definedName>
    <definedName name="sk">#REF!</definedName>
    <definedName name="SL">[126]PRESUPUESTO!#REF!</definedName>
    <definedName name="SLube">#REF!</definedName>
    <definedName name="sm" localSheetId="13">'[41]Mano de Obra'!$B$1</definedName>
    <definedName name="sm" localSheetId="17">'[42]Mano de Obra'!$B$2</definedName>
    <definedName name="sm" localSheetId="18">'[42]Mano de Obra'!$B$2</definedName>
    <definedName name="sm" localSheetId="28">'[43]Mano de Obra'!$B$1</definedName>
    <definedName name="sm" localSheetId="29">'[43]Mano de Obra'!$B$1</definedName>
    <definedName name="sm" localSheetId="12">'[42]Mano de Obra'!$B$2</definedName>
    <definedName name="sm">'[44]Mano de Obra'!$B$1</definedName>
    <definedName name="SMA">[183]Salarios!$B$8</definedName>
    <definedName name="sn">#REF!</definedName>
    <definedName name="snw">#REF!</definedName>
    <definedName name="sñ">#REF!</definedName>
    <definedName name="so">#REF!</definedName>
    <definedName name="Soat">#REF!</definedName>
    <definedName name="SoatCostos">#REF!</definedName>
    <definedName name="SOBRE2H">#REF!</definedName>
    <definedName name="sobrecimiento">#REF!</definedName>
    <definedName name="SOCIAL">#REF!</definedName>
    <definedName name="SOHaul">#REF!</definedName>
    <definedName name="SOL">#REF!</definedName>
    <definedName name="solado">#REF!</definedName>
    <definedName name="SOLDA">#REF!</definedName>
    <definedName name="Soldador">'[33]M.O.'!$F$10</definedName>
    <definedName name="Soldador_1A">'[40]M.O.'!$F$10</definedName>
    <definedName name="SOLDADURA">#REF!</definedName>
    <definedName name="Soldadura_cawell">'[40]LISTADO '!$F$94</definedName>
    <definedName name="Soldadura_electrica">'[40]LISTADO '!$F$9</definedName>
    <definedName name="Solids.SG">#REF!</definedName>
    <definedName name="SOSO" localSheetId="20" hidden="1">#REF!</definedName>
    <definedName name="SOSO" localSheetId="21" hidden="1">#REF!</definedName>
    <definedName name="SOSO" localSheetId="9" hidden="1">#REF!</definedName>
    <definedName name="SOSO" localSheetId="13" hidden="1">'[15]ETAPA 50 SMMLV'!#REF!</definedName>
    <definedName name="SOSO" localSheetId="17" hidden="1">'[15]ETAPA 50 SMMLV'!#REF!</definedName>
    <definedName name="SOSO" localSheetId="18" hidden="1">'[15]ETAPA 50 SMMLV'!#REF!</definedName>
    <definedName name="SOSO" localSheetId="12" hidden="1">'[15]ETAPA 50 SMMLV'!#REF!</definedName>
    <definedName name="SOSO" hidden="1">#REF!</definedName>
    <definedName name="spread">#REF!</definedName>
    <definedName name="SpreadDesctos">#REF!</definedName>
    <definedName name="SpreadFcro">#REF!</definedName>
    <definedName name="SpreadServicios">#REF!</definedName>
    <definedName name="Spreadsheet_name">#REF!</definedName>
    <definedName name="SpreadTotal">#REF!</definedName>
    <definedName name="sr">#REF!</definedName>
    <definedName name="SRandM">#REF!</definedName>
    <definedName name="ss">#REF!</definedName>
    <definedName name="SSDSD">#REF!</definedName>
    <definedName name="sss">#REF!</definedName>
    <definedName name="sssasas" localSheetId="28">[84]Estruc.ICEL!#REF!</definedName>
    <definedName name="sssasas" localSheetId="29">[84]Estruc.ICEL!#REF!</definedName>
    <definedName name="sssasas">[82]Estruc.ICEL!#REF!</definedName>
    <definedName name="ssss">#REF!</definedName>
    <definedName name="sssss">#REF!</definedName>
    <definedName name="SSSSSSS">#N/A</definedName>
    <definedName name="ssssssssss">#REF!</definedName>
    <definedName name="sssssssssss">#REF!</definedName>
    <definedName name="ssssssssssssssssssss">#REF!</definedName>
    <definedName name="st">#REF!</definedName>
    <definedName name="Standby">#REF!</definedName>
    <definedName name="StandbyCostos">#REF!</definedName>
    <definedName name="StartBid">#REF!</definedName>
    <definedName name="StartItems">#REF!</definedName>
    <definedName name="StartPeriod">[268]Index!$S$41</definedName>
    <definedName name="StartRates">#REF!</definedName>
    <definedName name="StartTags">#REF!</definedName>
    <definedName name="status">'[180]LISTS-FOR INTERNAL USE ONLY'!$B$8:$B$13</definedName>
    <definedName name="statusofexecution">#REF!</definedName>
    <definedName name="STOCK_CODE">#REF!</definedName>
    <definedName name="stock_oreganal">[109]INPUT_TEMP!#REF!</definedName>
    <definedName name="StorageTank_Height">#REF!</definedName>
    <definedName name="StorageTank_Radius">#REF!</definedName>
    <definedName name="StorageTank_TotalVolume">#REF!</definedName>
    <definedName name="StorageTank1_DryTonnes">#REF!</definedName>
    <definedName name="StorageTank1_SlurryVolume">#REF!</definedName>
    <definedName name="StorageTank2_DryTonnes">#REF!</definedName>
    <definedName name="StorageTank2_SlurryVolume">#REF!</definedName>
    <definedName name="StorageTank3_DryTonnes">#REF!</definedName>
    <definedName name="StorageTank3_SlurryVolume">#REF!</definedName>
    <definedName name="StorageTank4_DryTonnes">#REF!</definedName>
    <definedName name="StorageTank4_SlurryVolume">#REF!</definedName>
    <definedName name="StrBaseIncremCanon">#REF!</definedName>
    <definedName name="StrBaseReliquidacion">#REF!</definedName>
    <definedName name="StrClienDescontarIVA">#REF!</definedName>
    <definedName name="StrCliente">#REF!</definedName>
    <definedName name="StrClienTributaRentaPresun">#REF!</definedName>
    <definedName name="strDescAccesorios">#REF!</definedName>
    <definedName name="strDescPlanSeguro">#REF!</definedName>
    <definedName name="strEstado">#REF!</definedName>
    <definedName name="StrFrecPago">#REF!</definedName>
    <definedName name="StrFrecReliquidacion">#REF!</definedName>
    <definedName name="StrGerenteCuenta">#REF!</definedName>
    <definedName name="StrImpDosXMil">#REF!</definedName>
    <definedName name="StrMarcaVehicModelo">#REF!</definedName>
    <definedName name="StrMarcaVehícModelo">#REF!</definedName>
    <definedName name="StrModalidadCanon">#REF!</definedName>
    <definedName name="StrModalidadPago">#REF!</definedName>
    <definedName name="strNomVariable1">#REF!</definedName>
    <definedName name="strNomVariable2">#REF!</definedName>
    <definedName name="strNomVariable3">#REF!</definedName>
    <definedName name="StrNumeroCotizacion">#REF!</definedName>
    <definedName name="StrNumeroCotización">#REF!</definedName>
    <definedName name="strPlaca">#REF!</definedName>
    <definedName name="StrRentBack">#REF!</definedName>
    <definedName name="strTipoCliente">#REF!</definedName>
    <definedName name="StrTipoContrato">#REF!</definedName>
    <definedName name="Stub" localSheetId="20" hidden="1">#REF!</definedName>
    <definedName name="Stub" localSheetId="21" hidden="1">#REF!</definedName>
    <definedName name="Stub" hidden="1">#REF!</definedName>
    <definedName name="Stub_Header1" localSheetId="20" hidden="1">#REF!</definedName>
    <definedName name="Stub_Header1" localSheetId="21" hidden="1">#REF!</definedName>
    <definedName name="Stub_Header1" localSheetId="13" hidden="1">#REF!</definedName>
    <definedName name="Stub_Header1" hidden="1">#REF!</definedName>
    <definedName name="Stub_Header2" localSheetId="13" hidden="1">#REF!</definedName>
    <definedName name="Stub_Header2" hidden="1">#REF!</definedName>
    <definedName name="Stub_Header3" localSheetId="13" hidden="1">#REF!</definedName>
    <definedName name="Stub_Header3" hidden="1">#REF!</definedName>
    <definedName name="STyre">#REF!</definedName>
    <definedName name="SU">'[74]CIRCUITOS CODENSA'!#REF!</definedName>
    <definedName name="SUBESTACIONES">'[269]OBRAS SES'!#REF!</definedName>
    <definedName name="SUBPRODUCTOS">#REF!</definedName>
    <definedName name="subprograma">[38]Subprograma!$B$2:$B$87</definedName>
    <definedName name="subregiones" localSheetId="28">[236]Listado!$B$4:$B$9</definedName>
    <definedName name="subregiones" localSheetId="29">[236]Listado!$B$4:$B$9</definedName>
    <definedName name="subregiones">[237]Listado!$B$4:$B$9</definedName>
    <definedName name="Subsidio_de_transporte">[265]Salarios!$B$3</definedName>
    <definedName name="SUBTOTALMAT">'[126]2,2,6,1 Pilotes 0,30'!$I$19</definedName>
    <definedName name="SUELDOS">'[270]Base Datos Sueldo'!$B$7:$C$26</definedName>
    <definedName name="suma">[271]Hoja1!$F$60</definedName>
    <definedName name="SUMINISTRO">#REF!</definedName>
    <definedName name="suministros">#REF!</definedName>
    <definedName name="SUPER">#REF!</definedName>
    <definedName name="Super_T">'[33]LISTADO '!$F$23</definedName>
    <definedName name="SUPERBOAR">#REF!</definedName>
    <definedName name="SUPERCEL">#REF!</definedName>
    <definedName name="supert">'[40]LISTADO '!$F$110</definedName>
    <definedName name="Supervía" localSheetId="20" hidden="1">{#N/A,#N/A,TRUE,"0001";#N/A,#N/A,TRUE,"0002";#N/A,#N/A,TRUE,"0003";#N/A,#N/A,TRUE,"0004";#N/A,#N/A,TRUE,"0005";#N/A,#N/A,TRUE,"0006";#N/A,#N/A,TRUE,"0007";#N/A,#N/A,TRUE,"0008";#N/A,#N/A,TRUE,"0009";#N/A,#N/A,TRUE,"0010"}</definedName>
    <definedName name="Supervía" localSheetId="21" hidden="1">{#N/A,#N/A,TRUE,"0001";#N/A,#N/A,TRUE,"0002";#N/A,#N/A,TRUE,"0003";#N/A,#N/A,TRUE,"0004";#N/A,#N/A,TRUE,"0005";#N/A,#N/A,TRUE,"0006";#N/A,#N/A,TRUE,"0007";#N/A,#N/A,TRUE,"0008";#N/A,#N/A,TRUE,"0009";#N/A,#N/A,TRUE,"0010"}</definedName>
    <definedName name="Supervía" localSheetId="9" hidden="1">{#N/A,#N/A,TRUE,"0001";#N/A,#N/A,TRUE,"0002";#N/A,#N/A,TRUE,"0003";#N/A,#N/A,TRUE,"0004";#N/A,#N/A,TRUE,"0005";#N/A,#N/A,TRUE,"0006";#N/A,#N/A,TRUE,"0007";#N/A,#N/A,TRUE,"0008";#N/A,#N/A,TRUE,"0009";#N/A,#N/A,TRUE,"0010"}</definedName>
    <definedName name="Supervía" localSheetId="19" hidden="1">{#N/A,#N/A,TRUE,"0001";#N/A,#N/A,TRUE,"0002";#N/A,#N/A,TRUE,"0003";#N/A,#N/A,TRUE,"0004";#N/A,#N/A,TRUE,"0005";#N/A,#N/A,TRUE,"0006";#N/A,#N/A,TRUE,"0007";#N/A,#N/A,TRUE,"0008";#N/A,#N/A,TRUE,"0009";#N/A,#N/A,TRUE,"0010"}</definedName>
    <definedName name="Supervía" localSheetId="13" hidden="1">{#N/A,#N/A,TRUE,"0001";#N/A,#N/A,TRUE,"0002";#N/A,#N/A,TRUE,"0003";#N/A,#N/A,TRUE,"0004";#N/A,#N/A,TRUE,"0005";#N/A,#N/A,TRUE,"0006";#N/A,#N/A,TRUE,"0007";#N/A,#N/A,TRUE,"0008";#N/A,#N/A,TRUE,"0009";#N/A,#N/A,TRUE,"0010"}</definedName>
    <definedName name="Supervía" localSheetId="17" hidden="1">{#N/A,#N/A,TRUE,"0001";#N/A,#N/A,TRUE,"0002";#N/A,#N/A,TRUE,"0003";#N/A,#N/A,TRUE,"0004";#N/A,#N/A,TRUE,"0005";#N/A,#N/A,TRUE,"0006";#N/A,#N/A,TRUE,"0007";#N/A,#N/A,TRUE,"0008";#N/A,#N/A,TRUE,"0009";#N/A,#N/A,TRUE,"0010"}</definedName>
    <definedName name="Supervía" localSheetId="18" hidden="1">{#N/A,#N/A,TRUE,"0001";#N/A,#N/A,TRUE,"0002";#N/A,#N/A,TRUE,"0003";#N/A,#N/A,TRUE,"0004";#N/A,#N/A,TRUE,"0005";#N/A,#N/A,TRUE,"0006";#N/A,#N/A,TRUE,"0007";#N/A,#N/A,TRUE,"0008";#N/A,#N/A,TRUE,"0009";#N/A,#N/A,TRUE,"0010"}</definedName>
    <definedName name="Supervía" localSheetId="28" hidden="1">{#N/A,#N/A,TRUE,"0001";#N/A,#N/A,TRUE,"0002";#N/A,#N/A,TRUE,"0003";#N/A,#N/A,TRUE,"0004";#N/A,#N/A,TRUE,"0005";#N/A,#N/A,TRUE,"0006";#N/A,#N/A,TRUE,"0007";#N/A,#N/A,TRUE,"0008";#N/A,#N/A,TRUE,"0009";#N/A,#N/A,TRUE,"0010"}</definedName>
    <definedName name="Supervía" localSheetId="29" hidden="1">{#N/A,#N/A,TRUE,"0001";#N/A,#N/A,TRUE,"0002";#N/A,#N/A,TRUE,"0003";#N/A,#N/A,TRUE,"0004";#N/A,#N/A,TRUE,"0005";#N/A,#N/A,TRUE,"0006";#N/A,#N/A,TRUE,"0007";#N/A,#N/A,TRUE,"0008";#N/A,#N/A,TRUE,"0009";#N/A,#N/A,TRUE,"0010"}</definedName>
    <definedName name="Supervía" localSheetId="12" hidden="1">{#N/A,#N/A,TRUE,"0001";#N/A,#N/A,TRUE,"0002";#N/A,#N/A,TRUE,"0003";#N/A,#N/A,TRUE,"0004";#N/A,#N/A,TRUE,"0005";#N/A,#N/A,TRUE,"0006";#N/A,#N/A,TRUE,"0007";#N/A,#N/A,TRUE,"0008";#N/A,#N/A,TRUE,"0009";#N/A,#N/A,TRUE,"0010"}</definedName>
    <definedName name="Supervía" hidden="1">{#N/A,#N/A,TRUE,"0001";#N/A,#N/A,TRUE,"0002";#N/A,#N/A,TRUE,"0003";#N/A,#N/A,TRUE,"0004";#N/A,#N/A,TRUE,"0005";#N/A,#N/A,TRUE,"0006";#N/A,#N/A,TRUE,"0007";#N/A,#N/A,TRUE,"0008";#N/A,#N/A,TRUE,"0009";#N/A,#N/A,TRUE,"0010"}</definedName>
    <definedName name="Supervía_1" localSheetId="20" hidden="1">{#N/A,#N/A,TRUE,"0001";#N/A,#N/A,TRUE,"0002";#N/A,#N/A,TRUE,"0003";#N/A,#N/A,TRUE,"0004";#N/A,#N/A,TRUE,"0005";#N/A,#N/A,TRUE,"0006";#N/A,#N/A,TRUE,"0007";#N/A,#N/A,TRUE,"0008";#N/A,#N/A,TRUE,"0009";#N/A,#N/A,TRUE,"0010"}</definedName>
    <definedName name="Supervía_1" localSheetId="21" hidden="1">{#N/A,#N/A,TRUE,"0001";#N/A,#N/A,TRUE,"0002";#N/A,#N/A,TRUE,"0003";#N/A,#N/A,TRUE,"0004";#N/A,#N/A,TRUE,"0005";#N/A,#N/A,TRUE,"0006";#N/A,#N/A,TRUE,"0007";#N/A,#N/A,TRUE,"0008";#N/A,#N/A,TRUE,"0009";#N/A,#N/A,TRUE,"0010"}</definedName>
    <definedName name="Supervía_1" localSheetId="9" hidden="1">{#N/A,#N/A,TRUE,"0001";#N/A,#N/A,TRUE,"0002";#N/A,#N/A,TRUE,"0003";#N/A,#N/A,TRUE,"0004";#N/A,#N/A,TRUE,"0005";#N/A,#N/A,TRUE,"0006";#N/A,#N/A,TRUE,"0007";#N/A,#N/A,TRUE,"0008";#N/A,#N/A,TRUE,"0009";#N/A,#N/A,TRUE,"0010"}</definedName>
    <definedName name="Supervía_1" localSheetId="19" hidden="1">{#N/A,#N/A,TRUE,"0001";#N/A,#N/A,TRUE,"0002";#N/A,#N/A,TRUE,"0003";#N/A,#N/A,TRUE,"0004";#N/A,#N/A,TRUE,"0005";#N/A,#N/A,TRUE,"0006";#N/A,#N/A,TRUE,"0007";#N/A,#N/A,TRUE,"0008";#N/A,#N/A,TRUE,"0009";#N/A,#N/A,TRUE,"0010"}</definedName>
    <definedName name="Supervía_1" localSheetId="13" hidden="1">{#N/A,#N/A,TRUE,"0001";#N/A,#N/A,TRUE,"0002";#N/A,#N/A,TRUE,"0003";#N/A,#N/A,TRUE,"0004";#N/A,#N/A,TRUE,"0005";#N/A,#N/A,TRUE,"0006";#N/A,#N/A,TRUE,"0007";#N/A,#N/A,TRUE,"0008";#N/A,#N/A,TRUE,"0009";#N/A,#N/A,TRUE,"0010"}</definedName>
    <definedName name="Supervía_1" localSheetId="17" hidden="1">{#N/A,#N/A,TRUE,"0001";#N/A,#N/A,TRUE,"0002";#N/A,#N/A,TRUE,"0003";#N/A,#N/A,TRUE,"0004";#N/A,#N/A,TRUE,"0005";#N/A,#N/A,TRUE,"0006";#N/A,#N/A,TRUE,"0007";#N/A,#N/A,TRUE,"0008";#N/A,#N/A,TRUE,"0009";#N/A,#N/A,TRUE,"0010"}</definedName>
    <definedName name="Supervía_1" localSheetId="18" hidden="1">{#N/A,#N/A,TRUE,"0001";#N/A,#N/A,TRUE,"0002";#N/A,#N/A,TRUE,"0003";#N/A,#N/A,TRUE,"0004";#N/A,#N/A,TRUE,"0005";#N/A,#N/A,TRUE,"0006";#N/A,#N/A,TRUE,"0007";#N/A,#N/A,TRUE,"0008";#N/A,#N/A,TRUE,"0009";#N/A,#N/A,TRUE,"0010"}</definedName>
    <definedName name="Supervía_1" localSheetId="28" hidden="1">{#N/A,#N/A,TRUE,"0001";#N/A,#N/A,TRUE,"0002";#N/A,#N/A,TRUE,"0003";#N/A,#N/A,TRUE,"0004";#N/A,#N/A,TRUE,"0005";#N/A,#N/A,TRUE,"0006";#N/A,#N/A,TRUE,"0007";#N/A,#N/A,TRUE,"0008";#N/A,#N/A,TRUE,"0009";#N/A,#N/A,TRUE,"0010"}</definedName>
    <definedName name="Supervía_1" localSheetId="29" hidden="1">{#N/A,#N/A,TRUE,"0001";#N/A,#N/A,TRUE,"0002";#N/A,#N/A,TRUE,"0003";#N/A,#N/A,TRUE,"0004";#N/A,#N/A,TRUE,"0005";#N/A,#N/A,TRUE,"0006";#N/A,#N/A,TRUE,"0007";#N/A,#N/A,TRUE,"0008";#N/A,#N/A,TRUE,"0009";#N/A,#N/A,TRUE,"0010"}</definedName>
    <definedName name="Supervía_1" localSheetId="12" hidden="1">{#N/A,#N/A,TRUE,"0001";#N/A,#N/A,TRUE,"0002";#N/A,#N/A,TRUE,"0003";#N/A,#N/A,TRUE,"0004";#N/A,#N/A,TRUE,"0005";#N/A,#N/A,TRUE,"0006";#N/A,#N/A,TRUE,"0007";#N/A,#N/A,TRUE,"0008";#N/A,#N/A,TRUE,"0009";#N/A,#N/A,TRUE,"0010"}</definedName>
    <definedName name="Supervía_1" hidden="1">{#N/A,#N/A,TRUE,"0001";#N/A,#N/A,TRUE,"0002";#N/A,#N/A,TRUE,"0003";#N/A,#N/A,TRUE,"0004";#N/A,#N/A,TRUE,"0005";#N/A,#N/A,TRUE,"0006";#N/A,#N/A,TRUE,"0007";#N/A,#N/A,TRUE,"0008";#N/A,#N/A,TRUE,"0009";#N/A,#N/A,TRUE,"0010"}</definedName>
    <definedName name="supervision">#REF!</definedName>
    <definedName name="SupportFleet">#REF!</definedName>
    <definedName name="SupportOpCost">#REF!</definedName>
    <definedName name="SupportRepl">#REF!</definedName>
    <definedName name="swssdecs">#REF!</definedName>
    <definedName name="t" localSheetId="22">[22]!absc</definedName>
    <definedName name="t" localSheetId="21">[22]!absc</definedName>
    <definedName name="t">[22]!absc</definedName>
    <definedName name="T.1">#REF!</definedName>
    <definedName name="T.10">#REF!</definedName>
    <definedName name="T.11">#REF!</definedName>
    <definedName name="T.12">#REF!</definedName>
    <definedName name="T.13">#REF!</definedName>
    <definedName name="T.14">#REF!</definedName>
    <definedName name="T.15">#REF!</definedName>
    <definedName name="T.16">#REF!</definedName>
    <definedName name="T.17">#REF!</definedName>
    <definedName name="T.2">#REF!</definedName>
    <definedName name="T.3">#REF!</definedName>
    <definedName name="T.4">#REF!</definedName>
    <definedName name="T.5">#REF!</definedName>
    <definedName name="T.6">#REF!</definedName>
    <definedName name="T.7">#REF!</definedName>
    <definedName name="T.8">#REF!</definedName>
    <definedName name="T.9">#REF!</definedName>
    <definedName name="TA">[126]PRESUPUESTO!#REF!</definedName>
    <definedName name="Tab_Elec">[177]Inputs!$J$25</definedName>
    <definedName name="Tab_Expense">[177]Inputs!$P$127:$Q$161</definedName>
    <definedName name="Tab_Process">[177]Inputs!$N$127:$O$173</definedName>
    <definedName name="Tab_Respons">[177]Inputs!$L$127:$M$139</definedName>
    <definedName name="TABLA">#REF!</definedName>
    <definedName name="TABLA_CMI">[11]BS.DATOS!$Q$5:$X$17</definedName>
    <definedName name="TABLA_DE_CARACOLI">#REF!</definedName>
    <definedName name="Tabla_en_madera">'[40]LISTADO '!$F$13</definedName>
    <definedName name="TABLA_RN">[11]BS.DATOS!$AA$5:$AH$17</definedName>
    <definedName name="TABLA1.2.2">'[28]A.P.U'!#REF!</definedName>
    <definedName name="tabla2">#REF!</definedName>
    <definedName name="TABLAAPU">#REF!</definedName>
    <definedName name="tablaDeDTFS">#REF!</definedName>
    <definedName name="TablaR">#REF!</definedName>
    <definedName name="TABLERO_4_CIRCUITOS">'[40]LISTADO '!$F$108</definedName>
    <definedName name="Tablero_trifásico_12_circuitos">'[57]L. MAT.'!#REF!</definedName>
    <definedName name="tablilla">#REF!</definedName>
    <definedName name="Tablon">'[33]LISTADO '!$F$29</definedName>
    <definedName name="Tablon_gres">'[40]LISTADO '!$F$28</definedName>
    <definedName name="TACDetail">#REF!</definedName>
    <definedName name="TACHeading">#REF!</definedName>
    <definedName name="TagBid1">#REF!</definedName>
    <definedName name="tagbid1ext">#REF!</definedName>
    <definedName name="tagbid1UnevalCost">#REF!</definedName>
    <definedName name="tagbid1unit">#REF!</definedName>
    <definedName name="TagBid2">#REF!</definedName>
    <definedName name="tagbid2ext">#REF!</definedName>
    <definedName name="tagbid2UnEvalCost">#REF!</definedName>
    <definedName name="tagbid2unit">#REF!</definedName>
    <definedName name="TagBid3">#REF!</definedName>
    <definedName name="tagbid3ext">#REF!</definedName>
    <definedName name="tagBid3UnevalCost">#REF!</definedName>
    <definedName name="tagbid3unit">#REF!</definedName>
    <definedName name="TagBid4">#REF!</definedName>
    <definedName name="tagbid4ext">#REF!</definedName>
    <definedName name="tagBid4UnEvalCost">#REF!</definedName>
    <definedName name="tagbid4unit">#REF!</definedName>
    <definedName name="TagBidRange">#REF!</definedName>
    <definedName name="TagCurrency_conversion_factor">#REF!</definedName>
    <definedName name="TagDescription">#REF!</definedName>
    <definedName name="tagid">#REF!</definedName>
    <definedName name="TagLineNo">#REF!</definedName>
    <definedName name="TagList.EndDate">#REF!</definedName>
    <definedName name="TagList.StartDate">#REF!</definedName>
    <definedName name="TagQuantity">#REF!</definedName>
    <definedName name="TagRefer">#REF!</definedName>
    <definedName name="tagunit">#REF!</definedName>
    <definedName name="Tanq">#REF!</definedName>
    <definedName name="TANQUES4.1">#REF!</definedName>
    <definedName name="TAPA">[239]PRECIOS!$B$43</definedName>
    <definedName name="TAPA_ALCANTARILLA_ARO_Y_CONTRAARO">[31]Materiales!#REF!</definedName>
    <definedName name="TAPA_HF">#REF!</definedName>
    <definedName name="TAPON_2__P.V.C">#REF!</definedName>
    <definedName name="TarifaMT" localSheetId="28">[247]TarifaMT!$A$5:$AD$36</definedName>
    <definedName name="TarifaMT" localSheetId="29">[247]TarifaMT!$A$5:$AD$36</definedName>
    <definedName name="TarifaMT">[73]TarifaMT!$A$5:$AD$36</definedName>
    <definedName name="TARIFAS_SUBSIDIOS">#REF!</definedName>
    <definedName name="TARIFAS1">#REF!</definedName>
    <definedName name="Tasa_Efectiva_Mensual_Fondeo">#REF!</definedName>
    <definedName name="Tax_Rate_Col">'[100]Inputs-SUMMARY'!$H$466:$BR$466</definedName>
    <definedName name="Taxpb" localSheetId="13" hidden="1">#REF!</definedName>
    <definedName name="Taxpb" localSheetId="17" hidden="1">#REF!</definedName>
    <definedName name="Taxpb" localSheetId="18" hidden="1">#REF!</definedName>
    <definedName name="Taxpb" localSheetId="12" hidden="1">#REF!</definedName>
    <definedName name="Taxpb" hidden="1">#REF!</definedName>
    <definedName name="TB">[126]PRESUPUESTO!#REF!</definedName>
    <definedName name="TBCUR">[272]Sheet4!$A$2:$E$235</definedName>
    <definedName name="TBMAYINT">#REF!</definedName>
    <definedName name="tbres">#REF!</definedName>
    <definedName name="TBV1A">#REF!</definedName>
    <definedName name="TC">[126]PRESUPUESTO!#REF!</definedName>
    <definedName name="TCN">#REF!</definedName>
    <definedName name="TCNRC">[273]TOTAL!$U$64</definedName>
    <definedName name="Td">#REF!</definedName>
    <definedName name="TE">[126]PRESUPUESTO!#REF!</definedName>
    <definedName name="Tec_Adesivo">'[57]L. MAT.'!#REF!</definedName>
    <definedName name="TechAccept">#REF!</definedName>
    <definedName name="TECN">#N/A</definedName>
    <definedName name="Tecnico" localSheetId="9">'ENSAYOS DE LABORATORIO'!#REF!</definedName>
    <definedName name="Tecnico">#REF!</definedName>
    <definedName name="tecpro06">[17]Gastos!#REF!</definedName>
    <definedName name="Tee">#REF!</definedName>
    <definedName name="TEE_2_____2____P.V.C">#REF!</definedName>
    <definedName name="TEE_3____3____2____P.V.C">#REF!</definedName>
    <definedName name="TEE_3____3____2____P.V.C_UM">#REF!</definedName>
    <definedName name="TEE_3____3____3____P.V.C">#REF!</definedName>
    <definedName name="TEE_3__x_3__B_x_B">#REF!</definedName>
    <definedName name="TEE_4____4____4____P.V.C_UM">#REF!</definedName>
    <definedName name="TEFLON">#REF!</definedName>
    <definedName name="Teja_aluminio">'[33]LISTADO '!$F$27</definedName>
    <definedName name="Teja_thermoacustica">'[40]LISTADO '!$F$102</definedName>
    <definedName name="Teja6">#REF!</definedName>
    <definedName name="TelaAsfaltica">#REF!</definedName>
    <definedName name="TEMP2">'[148]Cost Codes'!$B$4:$G$361</definedName>
    <definedName name="TesSumHeading">#REF!</definedName>
    <definedName name="test">#REF!</definedName>
    <definedName name="TexSumDetail">#REF!</definedName>
    <definedName name="TexSumHeading">#REF!</definedName>
    <definedName name="Tf">#REF!</definedName>
    <definedName name="Tg">#REF!</definedName>
    <definedName name="TGIRON">#REF!</definedName>
    <definedName name="Th">#REF!</definedName>
    <definedName name="Ti">#REF!</definedName>
    <definedName name="TIEMPO">[60]BASES!$E$27</definedName>
    <definedName name="TIPO">#REF!</definedName>
    <definedName name="tipo_pintura">#REF!</definedName>
    <definedName name="TipoCosteo" localSheetId="9">'ENSAYOS DE LABORATORIO'!#REF!</definedName>
    <definedName name="TipoCosteo">#REF!</definedName>
    <definedName name="TipoCosteoNivelRiesgo">#REF!</definedName>
    <definedName name="tipos_entidad" localSheetId="28">[236]tipos_entidad!$A$1:$A$5</definedName>
    <definedName name="tipos_entidad" localSheetId="29">[236]tipos_entidad!$A$1:$A$5</definedName>
    <definedName name="tipos_entidad">[237]tipos_entidad!$A$1:$A$5</definedName>
    <definedName name="TiposCampamentos" localSheetId="9">'ENSAYOS DE LABORATORIO'!#REF!</definedName>
    <definedName name="TiposCampamentos">#REF!</definedName>
    <definedName name="TiposEnsayos" localSheetId="9">'ENSAYOS DE LABORATORIO'!$A$26:$A$45</definedName>
    <definedName name="TiposEnsayos">#REF!</definedName>
    <definedName name="TiposEquipos" localSheetId="9">'ENSAYOS DE LABORATORIO'!#REF!</definedName>
    <definedName name="TiposEquipos">#REF!</definedName>
    <definedName name="TiposOficina" localSheetId="9">'ENSAYOS DE LABORATORIO'!#REF!</definedName>
    <definedName name="TiposOficina">#REF!</definedName>
    <definedName name="TiposPersonalProfesional" localSheetId="9">'ENSAYOS DE LABORATORIO'!#REF!</definedName>
    <definedName name="TiposPersonalProfesional">#REF!</definedName>
    <definedName name="TiposPersonalTecnico" localSheetId="9">'ENSAYOS DE LABORATORIO'!#REF!</definedName>
    <definedName name="TiposPersonalTecnico">#REF!</definedName>
    <definedName name="tipov">#REF!</definedName>
    <definedName name="TIT">#REF!</definedName>
    <definedName name="titi">#N/A</definedName>
    <definedName name="Titlepb" localSheetId="20" hidden="1">#REF!</definedName>
    <definedName name="Titlepb" localSheetId="21" hidden="1">#REF!</definedName>
    <definedName name="Titlepb" localSheetId="13" hidden="1">#REF!</definedName>
    <definedName name="Titlepb" localSheetId="17" hidden="1">#REF!</definedName>
    <definedName name="Titlepb" localSheetId="18" hidden="1">#REF!</definedName>
    <definedName name="Titlepb" localSheetId="12" hidden="1">#REF!</definedName>
    <definedName name="Titlepb" hidden="1">#REF!</definedName>
    <definedName name="TITO">#N/A</definedName>
    <definedName name="TITOF">#N/A</definedName>
    <definedName name="TITU">#REF!</definedName>
    <definedName name="titulo" localSheetId="10">#REF!</definedName>
    <definedName name="titulo" localSheetId="20">#REF!</definedName>
    <definedName name="titulo" localSheetId="21">#REF!</definedName>
    <definedName name="titulo">#REF!</definedName>
    <definedName name="titulo1" localSheetId="10">#REF!</definedName>
    <definedName name="titulo1" localSheetId="20">#REF!</definedName>
    <definedName name="titulo1" localSheetId="21">#REF!</definedName>
    <definedName name="titulo1">#REF!</definedName>
    <definedName name="Titulos_a_imprimir">#REF!</definedName>
    <definedName name="_xlnm.Print_Titles" localSheetId="22">'CADENA DE VALOR'!$1:$4</definedName>
    <definedName name="_xlnm.Print_Titles" localSheetId="20">'CRONOGRAMA Y FLUJO (OXI)'!$1:$3</definedName>
    <definedName name="_xlnm.Print_Titles" localSheetId="21">'CRONOGRAMA Y FLUJO .'!$1:$3</definedName>
    <definedName name="_xlnm.Print_Titles" localSheetId="89">MATERIALES!$1:$4</definedName>
    <definedName name="_xlnm.Print_Titles" localSheetId="23">'PRES GENERAL MR(OXI)'!$1:$4</definedName>
    <definedName name="_xlnm.Print_Titles" localSheetId="26">'PRES MR 10 KW'!$2:$4</definedName>
    <definedName name="_xlnm.Print_Titles" localSheetId="27">'PRES MR 15 KW'!$2:$4</definedName>
    <definedName name="_xlnm.Print_Titles" localSheetId="25">'PRES MR 5 KW'!$2:$4</definedName>
    <definedName name="_xlnm.Print_Titles" localSheetId="24">'PRES. SISFV 2010 W B200'!$2:$4</definedName>
    <definedName name="_xlnm.Print_Titles">#N/A</definedName>
    <definedName name="Títulos_a_imprimir_IM">#REF!</definedName>
    <definedName name="Tj">#REF!</definedName>
    <definedName name="Tk">#REF!</definedName>
    <definedName name="TL">[126]PRESUPUESTO!#REF!</definedName>
    <definedName name="Tll">#REF!</definedName>
    <definedName name="Tm">#REF!</definedName>
    <definedName name="Tn">#REF!</definedName>
    <definedName name="Tñ">#REF!</definedName>
    <definedName name="To">#REF!</definedName>
    <definedName name="TOLIMA" localSheetId="10">#REF!</definedName>
    <definedName name="TOLIMA" localSheetId="20">'CRONOGRAMA Y FLUJO (OXI)'!#REF!</definedName>
    <definedName name="TOLIMA" localSheetId="21">'CRONOGRAMA Y FLUJO .'!#REF!</definedName>
    <definedName name="TOLIMA" localSheetId="19">#REF!</definedName>
    <definedName name="TOLIMA" localSheetId="17">#REF!</definedName>
    <definedName name="TOLIMA" localSheetId="18">#REF!</definedName>
    <definedName name="TOLIMA" localSheetId="12">#REF!</definedName>
    <definedName name="TOLIMA">#REF!</definedName>
    <definedName name="Toma_corriente_dobles_polo_tierra">'[40]LISTADO '!$F$76</definedName>
    <definedName name="Tomacorriente">#REF!</definedName>
    <definedName name="TORNILLO_3">#REF!</definedName>
    <definedName name="TORNILLOS_2.5">#REF!</definedName>
    <definedName name="TOT">#REF!</definedName>
    <definedName name="Tot_Con_Ins">[109]W_OPEX!#REF!</definedName>
    <definedName name="Tot_EA_CAPEX">[109]W_CAPEX!#REF!</definedName>
    <definedName name="Tot_Elect">'[274]5. ELECTRICO'!#REF!</definedName>
    <definedName name="Tot_Elect1">'[275]5. ELECTRICO'!#REF!</definedName>
    <definedName name="Tot_Ops_Ins">[109]W_OPEX!#REF!</definedName>
    <definedName name="TOTAL">#REF!</definedName>
    <definedName name="TOTAL_CIVIL">#REF!</definedName>
    <definedName name="TOTAL_ELECTRICO">'[274]5. ELECTRICO'!#REF!</definedName>
    <definedName name="Total_Interest">#REF!</definedName>
    <definedName name="Total_Kilometro_típico_aereo_11.4_kV">'[276]c2.5y2.6'!#REF!</definedName>
    <definedName name="Total_Kilometro_típico_aereo_34.5_kV">'[276]c2.5y2.6'!#REF!</definedName>
    <definedName name="Total_Kilometro_típico_aereo_rural_11.4kV">'[276]c2.5y2.6'!#REF!</definedName>
    <definedName name="Total_Kilometro_típico_aereo_rural_34.5kV">'[276]c2.5y2.6'!#REF!</definedName>
    <definedName name="Total_Kilometro_típico_subterraneo_11.4_kV">'[276]c2.5y2.6'!#REF!</definedName>
    <definedName name="Total_Kilometro_típico_subterraneo_34.5_kV">'[276]c2.5y2.6'!#REF!</definedName>
    <definedName name="Total_Pay">#REF!</definedName>
    <definedName name="Total_Payment" localSheetId="22">Scheduled_Payment+Extra_Payment</definedName>
    <definedName name="Total_Payment" localSheetId="21">Scheduled_Payment+Extra_Payment</definedName>
    <definedName name="Total_Payment" localSheetId="17">Scheduled_Payment+Extra_Payment</definedName>
    <definedName name="Total_Payment" localSheetId="28">Scheduled_Payment+Extra_Payment</definedName>
    <definedName name="Total_Payment" localSheetId="29">Scheduled_Payment+Extra_Payment</definedName>
    <definedName name="Total_Payment" localSheetId="12">Scheduled_Payment+Extra_Payment</definedName>
    <definedName name="Total_Payment">Scheduled_Payment+Extra_Payment</definedName>
    <definedName name="TOTAL_SERVICIOS">#REF!</definedName>
    <definedName name="TOTALAFIR4006">#REF!</definedName>
    <definedName name="TOTALAFIR4006A">#REF!</definedName>
    <definedName name="TOTALAFIR40CN01">#REF!</definedName>
    <definedName name="TOTALAFIR55CN01">#REF!</definedName>
    <definedName name="TOTALAFIR55CN03">#REF!</definedName>
    <definedName name="TOTALAFIR5607">#REF!</definedName>
    <definedName name="TotalBidCost">#REF!</definedName>
    <definedName name="TotalCalidad" localSheetId="9">'ENSAYOS DE LABORATORIO'!#REF!</definedName>
    <definedName name="TotalCalidad">#REF!</definedName>
    <definedName name="TotalCam" localSheetId="9">'ENSAYOS DE LABORATORIO'!#REF!</definedName>
    <definedName name="TotalCam">#REF!</definedName>
    <definedName name="TotalContratoConIva" localSheetId="9">'[73]COSTEO TOTAL OBRA'!$D$37</definedName>
    <definedName name="TotalContratoConIva">'[120]COSTEO TOTAL OBRA'!$D$37</definedName>
    <definedName name="TotalContratoSinIVA" localSheetId="9">'[73]COSTEO TOTAL OBRA'!$D$33</definedName>
    <definedName name="TotalContratoSinIVA">'[120]COSTEO TOTAL OBRA'!$D$33</definedName>
    <definedName name="TotalCost">#REF!</definedName>
    <definedName name="TotalCostosDirectos">#REF!</definedName>
    <definedName name="TotalEns" localSheetId="9">'ENSAYOS DE LABORATORIO'!$O$2:$O$21</definedName>
    <definedName name="TotalEns">#REF!</definedName>
    <definedName name="TotalEqu" localSheetId="9">'ENSAYOS DE LABORATORIO'!#REF!</definedName>
    <definedName name="TotalEqu">#REF!</definedName>
    <definedName name="totales">#REF!</definedName>
    <definedName name="TotalImpuestosObra" localSheetId="9">'[73]IMPUESTOS Y VR TOTAL'!$F$10</definedName>
    <definedName name="TotalImpuestosObra">#REF!</definedName>
    <definedName name="TOTALITEM1.1">'[28]A.P.U'!#REF!</definedName>
    <definedName name="TOTALITEM1.1.1">'[28]A.P.U'!#REF!</definedName>
    <definedName name="TOTALITEM1.1.2">'[28]A.P.U'!#REF!</definedName>
    <definedName name="TOTALITEM1.1.3">'[28]A.P.U'!#REF!</definedName>
    <definedName name="TOTALITEM1.1.4">'[28]A.P.U'!#REF!</definedName>
    <definedName name="TOTALITEM1.2.1">'[28]A.P.U'!#REF!</definedName>
    <definedName name="TOTALITEM1.2.2">'[28]A.P.U'!#REF!</definedName>
    <definedName name="TOTALITEM1.2.3">'[28]A.P.U'!#REF!</definedName>
    <definedName name="TOTALITEM1.2.4">'[28]A.P.U'!#REF!</definedName>
    <definedName name="TOTALITEM1.2.5">'[28]A.P.U'!#REF!</definedName>
    <definedName name="TOTALITEM1.2.6">'[28]A.P.U'!#REF!</definedName>
    <definedName name="TOTALITEM1.3.1">'[28]A.P.U'!#REF!</definedName>
    <definedName name="TOTALITEM1.4">'[28]A.P.U'!#REF!</definedName>
    <definedName name="TOTALITEM1.5">'[28]A.P.U'!#REF!</definedName>
    <definedName name="TOTALITEM1.6">'[28]A.P.U'!#REF!</definedName>
    <definedName name="TOTALITEM1.7">'[28]A.P.U'!#REF!</definedName>
    <definedName name="TOTALITEM1.8">'[28]A.P.U'!#REF!</definedName>
    <definedName name="TOTALITEM10.1">'[28]A.P.U'!#REF!</definedName>
    <definedName name="TOTALITEM11.1">'[28]A.P.U'!#REF!</definedName>
    <definedName name="TOTALITEM11.2">'[28]A.P.U'!#REF!</definedName>
    <definedName name="TOTALITEM11.3">'[28]A.P.U'!#REF!</definedName>
    <definedName name="TOTALITEM11.4">'[28]A.P.U'!#REF!</definedName>
    <definedName name="TOTALITEM11.5">'[28]A.P.U'!#REF!</definedName>
    <definedName name="TOTALITEM11.6">'[28]A.P.U'!#REF!</definedName>
    <definedName name="TOTALITEM12.1">'[28]A.P.U'!#REF!</definedName>
    <definedName name="TOTALITEM12.10">'[28]A.P.U'!#REF!</definedName>
    <definedName name="TOTALITEM12.2">'[28]A.P.U'!#REF!</definedName>
    <definedName name="TOTALITEM12.3">'[28]A.P.U'!#REF!</definedName>
    <definedName name="TOTALITEM12.4">'[28]A.P.U'!#REF!</definedName>
    <definedName name="TOTALITEM12.5">'[28]A.P.U'!#REF!</definedName>
    <definedName name="TOTALITEM12.6">'[28]A.P.U'!#REF!</definedName>
    <definedName name="TOTALITEM12.7">'[28]A.P.U'!#REF!</definedName>
    <definedName name="TOTALITEM12.8">'[28]A.P.U'!#REF!</definedName>
    <definedName name="TOTALITEM12.9">'[28]A.P.U'!#REF!</definedName>
    <definedName name="TOTALITEM13.1.1">'[28]A.P.U'!#REF!</definedName>
    <definedName name="TOTALITEM13.1.2">'[28]A.P.U'!#REF!</definedName>
    <definedName name="TOTALITEM13.1.3">'[28]A.P.U'!#REF!</definedName>
    <definedName name="TOTALITEM13.2.2">'[28]A.P.U'!#REF!</definedName>
    <definedName name="TOTALITEM14.2">'[28]A.P.U'!#REF!</definedName>
    <definedName name="TOTALITEM14.3">'[28]A.P.U'!#REF!</definedName>
    <definedName name="TOTALITEM14.4">'[28]A.P.U'!#REF!</definedName>
    <definedName name="TOTALITEM14.5">'[28]A.P.U'!#REF!</definedName>
    <definedName name="TOTALITEM14.6">'[28]A.P.U'!#REF!</definedName>
    <definedName name="TOTALITEM15">'[28]A.P.U'!#REF!</definedName>
    <definedName name="TOTALITEM16">'[28]A.P.U'!#REF!</definedName>
    <definedName name="TOTALITEM2.1">'[28]A.P.U'!#REF!</definedName>
    <definedName name="TOTALITEM2.10">'[28]A.P.U'!#REF!</definedName>
    <definedName name="TOTALITEM2.11.1">'[28]A.P.U'!#REF!</definedName>
    <definedName name="TOTALITEM2.11.2">'[28]A.P.U'!#REF!</definedName>
    <definedName name="TOTALITEM2.12.1">'[28]A.P.U'!#REF!</definedName>
    <definedName name="TOTALITEM2.2">'[28]A.P.U'!#REF!</definedName>
    <definedName name="TOTALITEM2.3">'[28]A.P.U'!#REF!</definedName>
    <definedName name="TOTALITEM2.4">'[28]A.P.U'!#REF!</definedName>
    <definedName name="TOTALITEM2.5">'[28]A.P.U'!#REF!</definedName>
    <definedName name="TOTALITEM2.6">'[28]A.P.U'!#REF!</definedName>
    <definedName name="TOTALITEM2.7">'[28]A.P.U'!#REF!</definedName>
    <definedName name="TOTALITEM3.1.1">'[28]A.P.U'!#REF!</definedName>
    <definedName name="TOTALITEM3.1.2">'[28]A.P.U'!#REF!</definedName>
    <definedName name="TOTALITEM3.2">'[28]A.P.U'!#REF!</definedName>
    <definedName name="TOTALITEM3.3">'[28]A.P.U'!#REF!</definedName>
    <definedName name="TOTALITEM3.4.1">'[28]A.P.U'!#REF!</definedName>
    <definedName name="TOTALITEM3.4.2">'[28]A.P.U'!#REF!</definedName>
    <definedName name="TOTALITEM3.4.3">'[28]A.P.U'!#REF!</definedName>
    <definedName name="TOTALITEM3.5.1">'[28]A.P.U'!#REF!</definedName>
    <definedName name="TOTALITEM3.5.2">'[28]A.P.U'!#REF!</definedName>
    <definedName name="TOTALITEM3.5.3">'[28]A.P.U'!#REF!</definedName>
    <definedName name="TOTALITEM4.1.2">'[28]A.P.U'!#REF!</definedName>
    <definedName name="TOTALITEM4.1.3">'[28]A.P.U'!#REF!</definedName>
    <definedName name="TOTALITEM4.1.4">'[28]A.P.U'!#REF!</definedName>
    <definedName name="TOTALITEM4.2">'[28]A.P.U'!#REF!</definedName>
    <definedName name="TOTALITEM4.3">'[28]A.P.U'!#REF!</definedName>
    <definedName name="TOTALITEM4.4">'[28]A.P.U'!#REF!</definedName>
    <definedName name="TOTALITEM4.5">'[28]A.P.U'!#REF!</definedName>
    <definedName name="TOTALITEM4.6">'[28]A.P.U'!#REF!</definedName>
    <definedName name="TOTALITEM5.1">'[28]A.P.U'!#REF!</definedName>
    <definedName name="TOTALITEM5.2">'[28]A.P.U'!#REF!</definedName>
    <definedName name="TOTALITEM5.3">'[28]A.P.U'!#REF!</definedName>
    <definedName name="TOTALITEM5.4">'[28]A.P.U'!#REF!</definedName>
    <definedName name="TOTALITEM6.1">'[28]A.P.U'!#REF!</definedName>
    <definedName name="TOTALITEM6.2">'[28]A.P.U'!#REF!</definedName>
    <definedName name="TOTALITEM6.3">'[28]A.P.U'!#REF!</definedName>
    <definedName name="TOTALITEM7.1">'[28]A.P.U'!#REF!</definedName>
    <definedName name="TOTALITEM7.2">'[28]A.P.U'!#REF!</definedName>
    <definedName name="TOTALITEM7.3">'[28]A.P.U'!#REF!</definedName>
    <definedName name="TOTALITEM7.4">'[28]A.P.U'!#REF!</definedName>
    <definedName name="TOTALITEM7.5">'[28]A.P.U'!#REF!</definedName>
    <definedName name="TOTALITEM8.1">'[28]A.P.U'!#REF!</definedName>
    <definedName name="TOTALITEM8.2">'[28]A.P.U'!#REF!</definedName>
    <definedName name="TOTALITEM8.3">'[28]A.P.U'!#REF!</definedName>
    <definedName name="TOTALITEM8.4">'[28]A.P.U'!#REF!</definedName>
    <definedName name="TOTALITEM8.5">'[28]A.P.U'!#REF!</definedName>
    <definedName name="TOTALITEM8.6">'[28]A.P.U'!#REF!</definedName>
    <definedName name="TOTALITEM8.7">'[28]A.P.U'!#REF!</definedName>
    <definedName name="TOTALITEM8.8">'[28]A.P.U'!#REF!</definedName>
    <definedName name="TOTALITEM9.1">'[28]A.P.U'!#REF!</definedName>
    <definedName name="TOTALITEM9.2">'[28]A.P.U'!#REF!</definedName>
    <definedName name="TOTALITEM9.3">'[28]A.P.U'!#REF!</definedName>
    <definedName name="TOTALITEM9.4">'[28]A.P.U'!#REF!</definedName>
    <definedName name="TOTALITEM9.5">'[28]A.P.U'!#REF!</definedName>
    <definedName name="TOTALITEM9.6">'[28]A.P.U'!#REF!</definedName>
    <definedName name="TOTALITEM9.7">'[28]A.P.U'!#REF!</definedName>
    <definedName name="TOTALITEM9.8">'[28]A.P.U'!#REF!</definedName>
    <definedName name="TotalItemsCost">#REF!</definedName>
    <definedName name="TOTALITEN1.2.4">'[28]A.P.U'!#REF!</definedName>
    <definedName name="TotalNoFacturable" localSheetId="9">'ENSAYOS DE LABORATORIO'!#REF!</definedName>
    <definedName name="TotalNoFacturable">#REF!</definedName>
    <definedName name="TotalOfi" localSheetId="9">'ENSAYOS DE LABORATORIO'!#REF!</definedName>
    <definedName name="TotalOfi">#REF!</definedName>
    <definedName name="TotalPaginaPersonal" localSheetId="9">'ENSAYOS DE LABORATORIO'!#REF!</definedName>
    <definedName name="TotalPaginaPersonal">#REF!</definedName>
    <definedName name="TOTALPAV4006">#REF!</definedName>
    <definedName name="TOTALPAV4006A">#REF!</definedName>
    <definedName name="TOTALPAV40CN01">#REF!</definedName>
    <definedName name="TOTALPAV40CNA">#REF!</definedName>
    <definedName name="TOTALPAV40CNB">#REF!</definedName>
    <definedName name="TOTALPAV55CN01">#REF!</definedName>
    <definedName name="TOTALPAV55CN03">#REF!</definedName>
    <definedName name="TOTALPAV55CNO3">#REF!</definedName>
    <definedName name="TOTALPAV5607">#REF!</definedName>
    <definedName name="TotalPickedCost">#REF!</definedName>
    <definedName name="TotalPro" localSheetId="9">'ENSAYOS DE LABORATORIO'!#REF!</definedName>
    <definedName name="TotalPro">#REF!</definedName>
    <definedName name="TotalTec" localSheetId="9">'ENSAYOS DE LABORATORIO'!#REF!</definedName>
    <definedName name="TotalTec">#REF!</definedName>
    <definedName name="TotalTram" localSheetId="9">'ENSAYOS DE LABORATORIO'!#REF!</definedName>
    <definedName name="TotalTram">#REF!</definedName>
    <definedName name="TotalVia" localSheetId="9">'ENSAYOS DE LABORATORIO'!#REF!</definedName>
    <definedName name="TotalVia">#REF!</definedName>
    <definedName name="TotEquipos1.1.3">#REF!</definedName>
    <definedName name="TotEquipos1.2.2.10">#REF!</definedName>
    <definedName name="TotEquipos1.2.2.11">#REF!</definedName>
    <definedName name="TotEquipos1.2.2.3">#REF!</definedName>
    <definedName name="TotEquipos1.2.2.4">#REF!</definedName>
    <definedName name="TotEquipos1.2.2.5">#REF!</definedName>
    <definedName name="TotEquipos1.2.2.6">#REF!</definedName>
    <definedName name="TotEquipos1.2.2.7">#REF!</definedName>
    <definedName name="TotEquipos1.2.2.8">#REF!</definedName>
    <definedName name="TotEquipos1.2.2.9">#REF!</definedName>
    <definedName name="TotEquipos1.2.3.1">#REF!</definedName>
    <definedName name="TotEquipos1.2.3.3">#REF!</definedName>
    <definedName name="TotEquipos1.2.3.4">#REF!</definedName>
    <definedName name="TotEquipos1.3.2">#REF!</definedName>
    <definedName name="TotManodeobra1.1.3">#REF!</definedName>
    <definedName name="TotManodeobra1.2.2.10">#REF!</definedName>
    <definedName name="TotManodeobra1.2.2.11">#REF!</definedName>
    <definedName name="TotManodeobra1.2.2.3">#REF!</definedName>
    <definedName name="TotManodeobra1.2.2.4">#REF!</definedName>
    <definedName name="TotManodeobra1.2.2.5">#REF!</definedName>
    <definedName name="TotManodeobra1.2.2.6">#REF!</definedName>
    <definedName name="TotManodeobra1.2.2.7">#REF!</definedName>
    <definedName name="TotManodeobra1.2.2.8">#REF!</definedName>
    <definedName name="TotManodeobra1.2.2.9">#REF!</definedName>
    <definedName name="TotManodeobra1.2.3.1">#REF!</definedName>
    <definedName name="TotManodeobra1.2.3.3">#REF!</definedName>
    <definedName name="TotManodeobra1.2.3.4">#REF!</definedName>
    <definedName name="TotManodeobra1.3.2">#REF!</definedName>
    <definedName name="TotMateriales1.1.3">#REF!</definedName>
    <definedName name="TotMateriales1.2.2.10">#REF!</definedName>
    <definedName name="TotMateriales1.2.2.11">#REF!</definedName>
    <definedName name="TotMateriales1.2.2.3">#REF!</definedName>
    <definedName name="TotMateriales1.2.2.4">#REF!</definedName>
    <definedName name="TotMateriales1.2.2.5">#REF!</definedName>
    <definedName name="TotMateriales1.2.2.6">#REF!</definedName>
    <definedName name="TotMateriales1.2.2.7">#REF!</definedName>
    <definedName name="TotMateriales1.2.2.8">#REF!</definedName>
    <definedName name="TotMateriales1.2.2.9">#REF!</definedName>
    <definedName name="TotMateriales1.2.3.1">#REF!</definedName>
    <definedName name="TotMateriales1.2.3.3">#REF!</definedName>
    <definedName name="TotMateriales1.2.3.4">#REF!</definedName>
    <definedName name="TotMateriales1.3.2">#REF!</definedName>
    <definedName name="TotTransportes1.1.3">#REF!</definedName>
    <definedName name="TotTransportes1.2.2.10">#REF!</definedName>
    <definedName name="TotTransportes1.2.2.11">#REF!</definedName>
    <definedName name="TotTransportes1.2.2.3">#REF!</definedName>
    <definedName name="TotTransportes1.2.2.4">#REF!</definedName>
    <definedName name="TotTransportes1.2.2.5">#REF!</definedName>
    <definedName name="TotTransportes1.2.2.6">#REF!</definedName>
    <definedName name="TotTransportes1.2.2.7">#REF!</definedName>
    <definedName name="TotTransportes1.2.2.8">#REF!</definedName>
    <definedName name="TotTransportes1.2.2.9">#REF!</definedName>
    <definedName name="TotTransportes1.2.3.1">#REF!</definedName>
    <definedName name="TotTransportes1.2.3.3">#REF!</definedName>
    <definedName name="TotTransportes1.2.3.4">#REF!</definedName>
    <definedName name="TotTransportes1.3.2">#REF!</definedName>
    <definedName name="Tp">#REF!</definedName>
    <definedName name="tpte">#REF!</definedName>
    <definedName name="tptee">#REF!</definedName>
    <definedName name="Tq">#REF!</definedName>
    <definedName name="Tr">#REF!</definedName>
    <definedName name="TRAFO">#N/A</definedName>
    <definedName name="Tramite" localSheetId="9">'ENSAYOS DE LABORATORIO'!#REF!</definedName>
    <definedName name="Tramite">#REF!</definedName>
    <definedName name="Tramites">#REF!</definedName>
    <definedName name="TramitesCostos">#REF!</definedName>
    <definedName name="Transfer_Price">'[100]Inputs-SUMMARY'!$H$464:$BR$464</definedName>
    <definedName name="TRANSPORI" localSheetId="20" hidden="1">{#N/A,#N/A,TRUE,"INGENIERIA";#N/A,#N/A,TRUE,"COMPRAS";#N/A,#N/A,TRUE,"DIRECCION";#N/A,#N/A,TRUE,"RESUMEN"}</definedName>
    <definedName name="TRANSPORI" localSheetId="21" hidden="1">{#N/A,#N/A,TRUE,"INGENIERIA";#N/A,#N/A,TRUE,"COMPRAS";#N/A,#N/A,TRUE,"DIRECCION";#N/A,#N/A,TRUE,"RESUMEN"}</definedName>
    <definedName name="TRANSPORI" localSheetId="9" hidden="1">{#N/A,#N/A,TRUE,"INGENIERIA";#N/A,#N/A,TRUE,"COMPRAS";#N/A,#N/A,TRUE,"DIRECCION";#N/A,#N/A,TRUE,"RESUMEN"}</definedName>
    <definedName name="TRANSPORI" localSheetId="19" hidden="1">{#N/A,#N/A,TRUE,"INGENIERIA";#N/A,#N/A,TRUE,"COMPRAS";#N/A,#N/A,TRUE,"DIRECCION";#N/A,#N/A,TRUE,"RESUMEN"}</definedName>
    <definedName name="TRANSPORI" localSheetId="13" hidden="1">{#N/A,#N/A,TRUE,"INGENIERIA";#N/A,#N/A,TRUE,"COMPRAS";#N/A,#N/A,TRUE,"DIRECCION";#N/A,#N/A,TRUE,"RESUMEN"}</definedName>
    <definedName name="TRANSPORI" localSheetId="17" hidden="1">{#N/A,#N/A,TRUE,"INGENIERIA";#N/A,#N/A,TRUE,"COMPRAS";#N/A,#N/A,TRUE,"DIRECCION";#N/A,#N/A,TRUE,"RESUMEN"}</definedName>
    <definedName name="TRANSPORI" localSheetId="18" hidden="1">{#N/A,#N/A,TRUE,"INGENIERIA";#N/A,#N/A,TRUE,"COMPRAS";#N/A,#N/A,TRUE,"DIRECCION";#N/A,#N/A,TRUE,"RESUMEN"}</definedName>
    <definedName name="TRANSPORI" localSheetId="28" hidden="1">{#N/A,#N/A,TRUE,"INGENIERIA";#N/A,#N/A,TRUE,"COMPRAS";#N/A,#N/A,TRUE,"DIRECCION";#N/A,#N/A,TRUE,"RESUMEN"}</definedName>
    <definedName name="TRANSPORI" localSheetId="29" hidden="1">{#N/A,#N/A,TRUE,"INGENIERIA";#N/A,#N/A,TRUE,"COMPRAS";#N/A,#N/A,TRUE,"DIRECCION";#N/A,#N/A,TRUE,"RESUMEN"}</definedName>
    <definedName name="TRANSPORI" localSheetId="12" hidden="1">{#N/A,#N/A,TRUE,"INGENIERIA";#N/A,#N/A,TRUE,"COMPRAS";#N/A,#N/A,TRUE,"DIRECCION";#N/A,#N/A,TRUE,"RESUMEN"}</definedName>
    <definedName name="TRANSPORI" hidden="1">{#N/A,#N/A,TRUE,"INGENIERIA";#N/A,#N/A,TRUE,"COMPRAS";#N/A,#N/A,TRUE,"DIRECCION";#N/A,#N/A,TRUE,"RESUMEN"}</definedName>
    <definedName name="TRANSPORTE_ARENA">[52]Transporte!$F$8</definedName>
    <definedName name="TRANSPORTE_DE_CEMENTO">[52]Transporte!$F$13</definedName>
    <definedName name="TRANSPORTE_DE_TRITURADO">[52]Transporte!$F$9</definedName>
    <definedName name="TRAT">[277]desmonte!$E$48</definedName>
    <definedName name="trimestre1">'[62]ESTADO RED'!$E$8</definedName>
    <definedName name="TRIPLEX">#REF!</definedName>
    <definedName name="Triturado">#REF!</definedName>
    <definedName name="TRITURADO_PILCUAN">[52]Materiales!$F$73</definedName>
    <definedName name="TRM" localSheetId="17">'[278]C.LABORALES'!$G$17</definedName>
    <definedName name="TRM" localSheetId="18">'[278]C.LABORALES'!$G$17</definedName>
    <definedName name="trm" localSheetId="28">[245]TRM!$F$8</definedName>
    <definedName name="trm" localSheetId="29">[245]TRM!$F$8</definedName>
    <definedName name="TRM" localSheetId="12">'[278]C.LABORALES'!$G$17</definedName>
    <definedName name="trm">[246]TRM!$F$8</definedName>
    <definedName name="Troughing">'[179]Actual Data (MAP)'!$H$31:$I$131</definedName>
    <definedName name="TroughingSTX">'[179]Actual Data (STX)'!$B$19:$C$119</definedName>
    <definedName name="Ts">#REF!</definedName>
    <definedName name="Tt">#REF!</definedName>
    <definedName name="TTA">[126]PRESUPUESTO!#REF!</definedName>
    <definedName name="TTB">[126]PRESUPUESTO!#REF!</definedName>
    <definedName name="TTC">[126]PRESUPUESTO!#REF!</definedName>
    <definedName name="TtCD">#REF!</definedName>
    <definedName name="TTCostOutput">#REF!</definedName>
    <definedName name="TTE">[126]PRESUPUESTO!#REF!</definedName>
    <definedName name="TTL">[126]PRESUPUESTO!#REF!</definedName>
    <definedName name="TTT">#REF!</definedName>
    <definedName name="TTTRC">[273]TOTAL!$U$64</definedName>
    <definedName name="TTTT">#REF!</definedName>
    <definedName name="ttttt">[279]PJ!#REF!</definedName>
    <definedName name="TTTTTTTT">#REF!</definedName>
    <definedName name="TU">'[74]CIRCUITOS CODENSA'!#REF!</definedName>
    <definedName name="TUB._ACC_3__Bx_B_SCH_40">#REF!</definedName>
    <definedName name="Tuberia_1_2_pvc">'[40]LISTADO '!$F$21</definedName>
    <definedName name="TUBERIA_P.V.C_RDE_9">#REF!</definedName>
    <definedName name="TUBERIA_P.V.C_UM_RDE_41____2">#REF!</definedName>
    <definedName name="TUBERIA_P.V.C_UM_RDE_41____3">#REF!</definedName>
    <definedName name="TUBERIA_PVC_10">[31]Materiales!#REF!</definedName>
    <definedName name="TUBERIA_PVC_12">[31]Materiales!#REF!</definedName>
    <definedName name="TUBERIA_PVC_14">[31]Materiales!#REF!</definedName>
    <definedName name="TUBERIA_PVC_16">[31]Materiales!#REF!</definedName>
    <definedName name="TUBERIA_PVC_18">[31]Materiales!#REF!</definedName>
    <definedName name="TUBERIA_PVC_20">[31]Materiales!#REF!</definedName>
    <definedName name="TUBERIA_PVC_24">[31]Materiales!#REF!</definedName>
    <definedName name="TUBERIA_PVC_27">[31]Materiales!#REF!</definedName>
    <definedName name="TUBERIA_PVC_30">[31]Materiales!#REF!</definedName>
    <definedName name="TUBERIA_PVC_4">[31]Materiales!#REF!</definedName>
    <definedName name="TUBERIA_PVC_6">[31]Materiales!#REF!</definedName>
    <definedName name="TUBERIA_PVC_8">[31]Materiales!#REF!</definedName>
    <definedName name="Tuberia2plg">#REF!</definedName>
    <definedName name="tuberia3">#REF!</definedName>
    <definedName name="Tuberia4plg">#REF!</definedName>
    <definedName name="TuberiaCondMedia">#REF!</definedName>
    <definedName name="TuberiaMedia">#REF!</definedName>
    <definedName name="TuberiaSanNo.4">#REF!</definedName>
    <definedName name="TuberiaVent2">#REF!</definedName>
    <definedName name="TuberiaVentNo.2">#REF!</definedName>
    <definedName name="TUBO_1_2">#REF!</definedName>
    <definedName name="TUBO_1_2__HG">#REF!</definedName>
    <definedName name="Tubo_galvanizado_2">'[40]LISTADO '!$F$47</definedName>
    <definedName name="Tubo_pvc_1">'[40]LISTADO '!$F$51</definedName>
    <definedName name="Tubo_pvc_2">'[40]LISTADO '!$F$50</definedName>
    <definedName name="TUBO6">[239]PRECIOS!$B$40</definedName>
    <definedName name="TUBO8">[239]PRECIOS!$B$41</definedName>
    <definedName name="tubohg2">[55]lisprecios!#REF!</definedName>
    <definedName name="TUPI">#N/A</definedName>
    <definedName name="Tw">#REF!</definedName>
    <definedName name="Tx">#REF!</definedName>
    <definedName name="Ty">#REF!</definedName>
    <definedName name="TYPE">#REF!</definedName>
    <definedName name="typeofcommittment">#REF!</definedName>
    <definedName name="tytfy">#REF!</definedName>
    <definedName name="tyu">#REF!</definedName>
    <definedName name="Tz">#REF!</definedName>
    <definedName name="U">#REF!</definedName>
    <definedName name="Ua">#REF!</definedName>
    <definedName name="Ub">#REF!</definedName>
    <definedName name="Ubicación">#REF!</definedName>
    <definedName name="Uc">#REF!</definedName>
    <definedName name="Ud">#REF!</definedName>
    <definedName name="Ue">#REF!</definedName>
    <definedName name="Uf">#REF!</definedName>
    <definedName name="UFInanzas">[251]Cuentas!$P$11:$P$111</definedName>
    <definedName name="Ug">#REF!</definedName>
    <definedName name="UGEquipData">#REF!</definedName>
    <definedName name="Uh">#REF!</definedName>
    <definedName name="ui">#REF!</definedName>
    <definedName name="Uj">#REF!</definedName>
    <definedName name="ujyyu">#REF!</definedName>
    <definedName name="Uk">#REF!</definedName>
    <definedName name="Ull">#REF!</definedName>
    <definedName name="UM">'[74]CIRCUITOS CODENSA'!#REF!</definedName>
    <definedName name="UMina">[108]Cuentas!$Q$11:$Q$46</definedName>
    <definedName name="Un">#REF!</definedName>
    <definedName name="UN_APU">IF(LEN([101]apu!XFB1)=2,"",IF([101]apu!XFB1="","",IF(ISERROR(SEARCH("-",[101]apu!$B1,3)),VLOOKUP([101]apu!$B1,[101]Insumos!XFD$1:B$65536,3,0),VLOOKUP([101]apu!XFB1,'[101]Ppto completo'!$D$1:$F$65536,3,FALSE))))</definedName>
    <definedName name="UN_AUX">IF([101]Auxiliares!$B1="","",VLOOKUP([101]Auxiliares!$B1,[101]Insumos!$D$1:$F$65536,3,FALSE))</definedName>
    <definedName name="Unidad">[102]Unidades!$A$1:$A$58</definedName>
    <definedName name="UNIDAD1">[141]ITEMS!$C$2</definedName>
    <definedName name="UNIDAD521">[142]ITEMS!$C$522</definedName>
    <definedName name="unidades">[37]Listado!$AI$2:$AI$59</definedName>
    <definedName name="UNION_DE_MECANICA_2">#REF!</definedName>
    <definedName name="UNION_DE_MECANICA_3">#REF!</definedName>
    <definedName name="UNION_DE_MECANICA_4">#REF!</definedName>
    <definedName name="UNION_DE_REPARACION_2__P.V.C">#REF!</definedName>
    <definedName name="UNION_DE_REPARACION_3">#REF!</definedName>
    <definedName name="UNION_DE_REPARACION_3__P.V.C">#REF!</definedName>
    <definedName name="UNION_DE_REPARACION_4">#REF!</definedName>
    <definedName name="UNION_P.V.C_1_2">#REF!</definedName>
    <definedName name="Unit" localSheetId="20" hidden="1">#REF!</definedName>
    <definedName name="Unit" localSheetId="21" hidden="1">#REF!</definedName>
    <definedName name="Unit" localSheetId="13" hidden="1">#REF!</definedName>
    <definedName name="Unit" hidden="1">#REF!</definedName>
    <definedName name="UNITARIO">[280]Unitarios!$A$3:$D$13</definedName>
    <definedName name="Unitarios">#REF!</definedName>
    <definedName name="units">'[136]REF - Listas'!$G$10:$G$18</definedName>
    <definedName name="Uñ">#REF!</definedName>
    <definedName name="Uo">#REF!</definedName>
    <definedName name="Up">#REF!</definedName>
    <definedName name="UPlanta">[108]Cuentas!$T$11:$T$56</definedName>
    <definedName name="Uq">#REF!</definedName>
    <definedName name="Ur">#REF!</definedName>
    <definedName name="US">'[74]CIRCUITOS CODENSA'!#REF!</definedName>
    <definedName name="UsTexDetail">#REF!</definedName>
    <definedName name="UsTexHeading">#REF!</definedName>
    <definedName name="usu" localSheetId="39">'[281]Analisis de Mercado'!#REF!</definedName>
    <definedName name="usu" localSheetId="28">'[245]Precios de Materiales'!$F$116</definedName>
    <definedName name="usu" localSheetId="29">'[245]Precios de Materiales'!$F$116</definedName>
    <definedName name="usu">'[246]Precios de Materiales'!$F$116</definedName>
    <definedName name="usui" localSheetId="17">[282]Resumen!$B$31</definedName>
    <definedName name="usui" localSheetId="18">[282]Resumen!$B$31</definedName>
    <definedName name="usui" localSheetId="28">[43]Resumen!$B$31</definedName>
    <definedName name="usui" localSheetId="29">[43]Resumen!$B$31</definedName>
    <definedName name="usui" localSheetId="12">[282]Resumen!$B$31</definedName>
    <definedName name="usui">[44]Resumen!$B$31</definedName>
    <definedName name="usut" localSheetId="17">FIDUCIA!usuv</definedName>
    <definedName name="usut" localSheetId="18">GERENCIA!usuv</definedName>
    <definedName name="usut" localSheetId="28">[43]Resumen!$B$43</definedName>
    <definedName name="usut" localSheetId="29">[43]Resumen!$B$43</definedName>
    <definedName name="usut" localSheetId="12">'Presupuesto Interventoría'!usuv</definedName>
    <definedName name="usut">[44]Resumen!$B$43</definedName>
    <definedName name="usuv" localSheetId="39">[193]Resumen!$B$11</definedName>
    <definedName name="usuv" localSheetId="16">[193]Resumen!$B$11</definedName>
    <definedName name="usuv" localSheetId="13">[41]Resumen!$B$11</definedName>
    <definedName name="usuv" localSheetId="17">[42]Resumen!$B$11</definedName>
    <definedName name="usuv" localSheetId="18">[42]Resumen!$B$11</definedName>
    <definedName name="usuv" localSheetId="28">[194]Resumen!$B$11</definedName>
    <definedName name="usuv" localSheetId="29">[43]Resumen!$B$11</definedName>
    <definedName name="usuv" localSheetId="12">[42]Resumen!$B$11</definedName>
    <definedName name="usuv">[44]Resumen!$B$11</definedName>
    <definedName name="ut">#REF!</definedName>
    <definedName name="Ut_Un">#REF!</definedName>
    <definedName name="uti" localSheetId="13">'[41]Análisis AIU'!$F$73</definedName>
    <definedName name="uti" localSheetId="17">'[42]Análisis AIU'!$F$76</definedName>
    <definedName name="uti" localSheetId="18">'[42]Análisis AIU'!$F$76</definedName>
    <definedName name="uti" localSheetId="28">'[43]Análisis AIU'!$F$73</definedName>
    <definedName name="uti" localSheetId="29">'[43]Análisis AIU'!$F$73</definedName>
    <definedName name="uti" localSheetId="12">'[42]Análisis AIU'!$F$76</definedName>
    <definedName name="uti">'[44]Análisis AIU'!$F$73</definedName>
    <definedName name="Util">#REF!</definedName>
    <definedName name="UTILIDAD">#REF!</definedName>
    <definedName name="UtilidadMensual">#REF!</definedName>
    <definedName name="UtilidadObra" localSheetId="9">'[73]IMPUESTOS Y VR TOTAL'!$F$7</definedName>
    <definedName name="UtilidadObra">#REF!</definedName>
    <definedName name="UTMAR">#REF!</definedName>
    <definedName name="uu">#REF!</definedName>
    <definedName name="uuuu" localSheetId="20" hidden="1">#REF!</definedName>
    <definedName name="uuuu" localSheetId="21" hidden="1">#REF!</definedName>
    <definedName name="uuuu" localSheetId="13" hidden="1">#REF!</definedName>
    <definedName name="uuuu" hidden="1">#REF!</definedName>
    <definedName name="uuuuutiyt">#REF!</definedName>
    <definedName name="uuuuuu">#REF!</definedName>
    <definedName name="uuuuuuuuuu">#REF!</definedName>
    <definedName name="Uv">#REF!</definedName>
    <definedName name="Uw">#REF!</definedName>
    <definedName name="uxd">#REF!</definedName>
    <definedName name="uy">#REF!</definedName>
    <definedName name="Uz">#REF!</definedName>
    <definedName name="v">#REF!</definedName>
    <definedName name="V.M.CV1_Moisture">#REF!</definedName>
    <definedName name="V.M.CV2_Al">#REF!</definedName>
    <definedName name="V.M.CV2_Co">#REF!</definedName>
    <definedName name="V.M.CV2_DryTonnes">#REF!</definedName>
    <definedName name="V.M.CV2_dtph">#REF!</definedName>
    <definedName name="V.M.CV2_Fe">#REF!</definedName>
    <definedName name="V.M.CV2_Mg">#REF!</definedName>
    <definedName name="V.M.CV2_Ni">#REF!</definedName>
    <definedName name="V.M.CV2_Si">#REF!</definedName>
    <definedName name="V.M.Mill_Availability">#REF!</definedName>
    <definedName name="V.M.Mill_Downtime">#REF!</definedName>
    <definedName name="V.M.Mill_DryTonnes">#REF!</definedName>
    <definedName name="V.M.Mill_DryTph">#REF!</definedName>
    <definedName name="V.M.Mill_PowerDraw">#REF!</definedName>
    <definedName name="V.M.Mill_PowerDrawPerTonne">#REF!</definedName>
    <definedName name="V.M.Mill_Uptime">#REF!</definedName>
    <definedName name="V.M.Mill_Utilization">#REF!</definedName>
    <definedName name="V.M.Mill_WetTonnes">#REF!</definedName>
    <definedName name="V.M.Mill_WetTph">#REF!</definedName>
    <definedName name="V.M.MillFeed_Al">#REF!</definedName>
    <definedName name="V.M.MillFeed_Co">#REF!</definedName>
    <definedName name="V.M.MillFeed_Fe">#REF!</definedName>
    <definedName name="V.M.MillFeed_Mg">#REF!</definedName>
    <definedName name="V.M.MillFeed_Ni">#REF!</definedName>
    <definedName name="V.M.MillFeed_Si">#REF!</definedName>
    <definedName name="V.M.MillH2O_Head">#REF!</definedName>
    <definedName name="V.M.MillH2O_Screen">#REF!</definedName>
    <definedName name="V.M.MillH2O_Total">#REF!</definedName>
    <definedName name="V.M.OreToStorage_Al">#REF!</definedName>
    <definedName name="V.M.OreToStorage_Co">#REF!</definedName>
    <definedName name="V.M.OreToStorage_DryTonnes">#REF!</definedName>
    <definedName name="V.M.OreToStorage_DryTph">#REF!</definedName>
    <definedName name="V.M.OreToStorage_Fe">#REF!</definedName>
    <definedName name="V.M.OreToStorage_Mg">#REF!</definedName>
    <definedName name="V.M.OreToStorage_Ni">#REF!</definedName>
    <definedName name="V.M.OreToStorage_PulpDensity">#REF!</definedName>
    <definedName name="V.M.OreToStorage_PulpYieldStress">#REF!</definedName>
    <definedName name="V.M.OreToStorage_Si">#REF!</definedName>
    <definedName name="V.M.OreToStorage_Volume">#REF!</definedName>
    <definedName name="V.M.OreToStorage_VolumePerHr">#REF!</definedName>
    <definedName name="V.Y.CV1_Moisture">#REF!</definedName>
    <definedName name="V.Y.CV2_Al">#REF!</definedName>
    <definedName name="V.Y.CV2_Co">#REF!</definedName>
    <definedName name="V.Y.CV2_DryTonnes">#REF!</definedName>
    <definedName name="V.Y.CV2_dtph">#REF!</definedName>
    <definedName name="V.Y.CV2_Fe">#REF!</definedName>
    <definedName name="V.Y.CV2_Mg">#REF!</definedName>
    <definedName name="V.Y.CV2_Ni">#REF!</definedName>
    <definedName name="V.Y.CV2_Si">#REF!</definedName>
    <definedName name="V.Y.Mill_Availability">#REF!</definedName>
    <definedName name="V.Y.Mill_Downtime">#REF!</definedName>
    <definedName name="V.Y.Mill_DryTonnes">#REF!</definedName>
    <definedName name="V.Y.Mill_DryTph">#REF!</definedName>
    <definedName name="V.Y.Mill_PowerDraw">#REF!</definedName>
    <definedName name="V.Y.Mill_PowerDrawPerTonne">#REF!</definedName>
    <definedName name="V.Y.Mill_Uptime">#REF!</definedName>
    <definedName name="V.Y.Mill_Utilization">#REF!</definedName>
    <definedName name="V.Y.Mill_WetTonnes">#REF!</definedName>
    <definedName name="V.Y.Mill_WetTph">#REF!</definedName>
    <definedName name="V.Y.MillFeed_Al">#REF!</definedName>
    <definedName name="V.Y.MillFeed_Co">#REF!</definedName>
    <definedName name="V.Y.MillFeed_Fe">#REF!</definedName>
    <definedName name="V.Y.MillFeed_Mg">#REF!</definedName>
    <definedName name="V.Y.MillFeed_Ni">#REF!</definedName>
    <definedName name="V.Y.MillFeed_Si">#REF!</definedName>
    <definedName name="V.Y.MillH2O_Head">#REF!</definedName>
    <definedName name="V.Y.MillH2O_Screen">#REF!</definedName>
    <definedName name="V.Y.MillH2O_Total">#REF!</definedName>
    <definedName name="V.Y.OreToStorage_Al">#REF!</definedName>
    <definedName name="V.Y.OreToStorage_Co">#REF!</definedName>
    <definedName name="V.Y.OreToStorage_DryTonnes">#REF!</definedName>
    <definedName name="V.Y.OreToStorage_DryTph">#REF!</definedName>
    <definedName name="V.Y.OreToStorage_Fe">#REF!</definedName>
    <definedName name="V.Y.OreToStorage_Mg">#REF!</definedName>
    <definedName name="V.Y.OreToStorage_Ni">#REF!</definedName>
    <definedName name="V.Y.OreToStorage_PulpDensity">#REF!</definedName>
    <definedName name="V.Y.OreToStorage_PulpYieldStress">#REF!</definedName>
    <definedName name="V.Y.OreToStorage_Si">#REF!</definedName>
    <definedName name="V.Y.OreToStorage_Volume">#REF!</definedName>
    <definedName name="V.Y.OreToStorage_VolumePerHr">#REF!</definedName>
    <definedName name="Va">#REF!</definedName>
    <definedName name="VAL_100PE_S1">#REF!</definedName>
    <definedName name="VAL_100PE_S2">#REF!</definedName>
    <definedName name="VAL_100PE_S3">#REF!</definedName>
    <definedName name="VAL_100PE_S4">#REF!</definedName>
    <definedName name="VAL_100PE_S5">#REF!</definedName>
    <definedName name="VAL_100PE_S6">#REF!</definedName>
    <definedName name="val_aat">#REF!</definedName>
    <definedName name="val_admin">#REF!</definedName>
    <definedName name="val_desmonte">#REF!</definedName>
    <definedName name="val_iaf">#REF!</definedName>
    <definedName name="val_imprevistos">#REF!</definedName>
    <definedName name="val_it">#REF!</definedName>
    <definedName name="val_iva">#REF!</definedName>
    <definedName name="val_retie">#REF!</definedName>
    <definedName name="val_retie2">#REF!</definedName>
    <definedName name="val_utilidad">#REF!</definedName>
    <definedName name="VAL150PE_S1">#REF!</definedName>
    <definedName name="VAL150PE_S2">#REF!</definedName>
    <definedName name="VAL150PE_S3">#REF!</definedName>
    <definedName name="VAL150PE_S4">#REF!</definedName>
    <definedName name="VAL150PE_S5">#REF!</definedName>
    <definedName name="VAL150PE_S6">#REF!</definedName>
    <definedName name="VAL200PE_S1">#REF!</definedName>
    <definedName name="VAL200PE_S2">#REF!</definedName>
    <definedName name="VAL200PE_S3">#REF!</definedName>
    <definedName name="VAL200PE_S4">#REF!</definedName>
    <definedName name="VAL200PE_S5">#REF!</definedName>
    <definedName name="VAL200PE_S6">#REF!</definedName>
    <definedName name="VAL250PE_S1">#REF!</definedName>
    <definedName name="VAL250PE_S2">#REF!</definedName>
    <definedName name="VAL250PE_S3">#REF!</definedName>
    <definedName name="VAL250PE_S4">#REF!</definedName>
    <definedName name="VAL250PE_S5">#REF!</definedName>
    <definedName name="VAL250PE_S6">#REF!</definedName>
    <definedName name="VAL300HD_S1">#REF!</definedName>
    <definedName name="VAL300HD_S2">#REF!</definedName>
    <definedName name="VAL300HD_S3">#REF!</definedName>
    <definedName name="VAL300HD_S4">#REF!</definedName>
    <definedName name="VAL300HD_S5">#REF!</definedName>
    <definedName name="VAL300HD_S6">#REF!</definedName>
    <definedName name="VAL300PVC_S1">#REF!</definedName>
    <definedName name="VAL300PVC_S2">#REF!</definedName>
    <definedName name="VAL300PVC_S3">#REF!</definedName>
    <definedName name="VAL300PVC_S4">#REF!</definedName>
    <definedName name="VAL300PVC_S5">#REF!</definedName>
    <definedName name="VAL300PVC_S6">#REF!</definedName>
    <definedName name="VAL80PE_S1">#REF!</definedName>
    <definedName name="VAL80PE_S2">#REF!</definedName>
    <definedName name="VAL80PE_S3">#REF!</definedName>
    <definedName name="VAL80PE_S4">#REF!</definedName>
    <definedName name="VAL80PE_S5">#REF!</definedName>
    <definedName name="VAL80PE_S6">#REF!</definedName>
    <definedName name="valcal">[283]Dólar!#REF!</definedName>
    <definedName name="VALDES">#REF!</definedName>
    <definedName name="valhati">[17]Gastos!#REF!</definedName>
    <definedName name="VALLA_2_3_MTS_CON_3_CERCHAS">#REF!</definedName>
    <definedName name="valor_consumibles">#REF!</definedName>
    <definedName name="valor_cuadrilla">#REF!</definedName>
    <definedName name="valor_equipos">#REF!</definedName>
    <definedName name="valor_nomina1">#REF!</definedName>
    <definedName name="valor_nomina2">#REF!</definedName>
    <definedName name="valor_nomina3">#REF!</definedName>
    <definedName name="VALOR_SALARIO_MINIMO_ACTUAL">'[52]Datos iniciales '!$C$19</definedName>
    <definedName name="Valor_Total">#REF!</definedName>
    <definedName name="valor1">#REF!</definedName>
    <definedName name="valor2">#REF!</definedName>
    <definedName name="VALOR3">#REF!</definedName>
    <definedName name="Valoracion">#REF!</definedName>
    <definedName name="VALORACIÓN">#REF!</definedName>
    <definedName name="valorcal">[17]Gastos!#REF!</definedName>
    <definedName name="ValoresCanon">#REF!</definedName>
    <definedName name="ValoresIva">#REF!</definedName>
    <definedName name="ValorFuturoFcro">#REF!</definedName>
    <definedName name="ValorImpuestoTimbre">#REF!</definedName>
    <definedName name="VALORP">#REF!</definedName>
    <definedName name="ValorTotConsultoria" localSheetId="9">[73]FM!$E$62</definedName>
    <definedName name="ValorTotConsultoria">#REF!</definedName>
    <definedName name="Values_Entered" localSheetId="17">IF(Loan_Amount*Interest_Rate*Loan_Years*Loan_Start&gt;0,1,0)</definedName>
    <definedName name="Values_Entered" localSheetId="28">IF(Loan_Amount*Interest_Rate*Loan_Years*Loan_Start&gt;0,1,0)</definedName>
    <definedName name="Values_Entered" localSheetId="29">IF(Loan_Amount*Interest_Rate*Loan_Years*Loan_Start&gt;0,1,0)</definedName>
    <definedName name="Values_Entered" localSheetId="12">IF(Loan_Amount*Interest_Rate*Loan_Years*Loan_Start&gt;0,1,0)</definedName>
    <definedName name="Values_Entered">IF(Loan_Amount*Interest_Rate*Loan_Years*Loan_Start&gt;0,1,0)</definedName>
    <definedName name="VALVULA_DE_COMPUERTA_2__SELLO_ELASTICO_Y_VNA_CON_CUADRANTE">#REF!</definedName>
    <definedName name="VALVULA_DE_COMPUERTA_3__BxB_CON_RUEDA_MECANICA">#REF!</definedName>
    <definedName name="VALVULA_DE_COMPUERTA_3__SELLO_ELASTICO_Y_VNA_CON_CUADRANTE">#REF!</definedName>
    <definedName name="VALVULA_DE_COMPUERTA_4__SELLO_ELASTICO_Y_VNA_CON_CUADRANTE">#REF!</definedName>
    <definedName name="VALVULA_DE_NO_RETORNO_CHEQUE__3__PARA_TRABAJAR_HORIZONTALMENTE_B_x_B">#REF!</definedName>
    <definedName name="VALVULA_DE_NO_RETORNO_CHEQUE__4__PARA_TRABAJAR_HORIZONTALMENTE_B_x_B">#REF!</definedName>
    <definedName name="VarEquip">'[93]Equip Data'!#REF!</definedName>
    <definedName name="variacion">[54]Datos!$B$8</definedName>
    <definedName name="Varilla_cooperwell_24">'[40]LISTADO '!$F$42</definedName>
    <definedName name="VarRange">'[93]Equip Data'!#REF!</definedName>
    <definedName name="VAT">#REF!</definedName>
    <definedName name="vaton">[17]Gastos!#REF!</definedName>
    <definedName name="VAUPÉS" localSheetId="20">[68]PRESUPUESTO!#REF!</definedName>
    <definedName name="VAUPÉS" localSheetId="21">[68]PRESUPUESTO!#REF!</definedName>
    <definedName name="VAUPÉS" localSheetId="9">[68]PRESUPUESTO!#REF!</definedName>
    <definedName name="VAUPÉS" localSheetId="17">[69]PRESUPUESTO!#REF!</definedName>
    <definedName name="VAUPÉS" localSheetId="18">[69]PRESUPUESTO!#REF!</definedName>
    <definedName name="VAUPÉS" localSheetId="28">[70]PRESUPUESTO!#REF!</definedName>
    <definedName name="VAUPÉS" localSheetId="29">[70]PRESUPUESTO!#REF!</definedName>
    <definedName name="VAUPÉS" localSheetId="12">[69]PRESUPUESTO!#REF!</definedName>
    <definedName name="VAUPÉS">[68]PRESUPUESTO!#REF!</definedName>
    <definedName name="Vb">#REF!</definedName>
    <definedName name="Vc">#REF!</definedName>
    <definedName name="vck">#REF!</definedName>
    <definedName name="Vd">#REF!</definedName>
    <definedName name="VE">'[74]CIRCUITOS CODENSA'!#REF!</definedName>
    <definedName name="VENDOR_ID">#REF!</definedName>
    <definedName name="Vendor_name">#REF!</definedName>
    <definedName name="vendor_name2">#REF!</definedName>
    <definedName name="VENT100_S1">#REF!</definedName>
    <definedName name="VENT100_S2">#REF!</definedName>
    <definedName name="VENT100_S3">#REF!</definedName>
    <definedName name="VENT100_S4">#REF!</definedName>
    <definedName name="VENT100_S5">#REF!</definedName>
    <definedName name="VENT100_S6">#REF!</definedName>
    <definedName name="VentaAiu">#REF!</definedName>
    <definedName name="Ventilador_de_techo">'[40]LISTADO '!$F$106</definedName>
    <definedName name="VENTOSAS_PARA_INSTALACION_EN_TUBERIA_DE_3">#REF!</definedName>
    <definedName name="Verifier">#REF!</definedName>
    <definedName name="VERSION">#REF!</definedName>
    <definedName name="Vf">#REF!</definedName>
    <definedName name="vfggchbh">#REF!</definedName>
    <definedName name="vfgtfgvfgv">#REF!</definedName>
    <definedName name="vfn">#REF!</definedName>
    <definedName name="Vg">#REF!</definedName>
    <definedName name="Vh">#REF!</definedName>
    <definedName name="VI">'[74]CIRCUITOS CODENSA'!#REF!</definedName>
    <definedName name="via" localSheetId="20" hidden="1">{"via1",#N/A,TRUE,"general";"via2",#N/A,TRUE,"general";"via3",#N/A,TRUE,"general"}</definedName>
    <definedName name="via" localSheetId="21" hidden="1">{"via1",#N/A,TRUE,"general";"via2",#N/A,TRUE,"general";"via3",#N/A,TRUE,"general"}</definedName>
    <definedName name="via" localSheetId="9" hidden="1">{"via1",#N/A,TRUE,"general";"via2",#N/A,TRUE,"general";"via3",#N/A,TRUE,"general"}</definedName>
    <definedName name="via" localSheetId="19" hidden="1">{"via1",#N/A,TRUE,"general";"via2",#N/A,TRUE,"general";"via3",#N/A,TRUE,"general"}</definedName>
    <definedName name="via" localSheetId="13" hidden="1">{"via1",#N/A,TRUE,"general";"via2",#N/A,TRUE,"general";"via3",#N/A,TRUE,"general"}</definedName>
    <definedName name="via" localSheetId="17" hidden="1">{"via1",#N/A,TRUE,"general";"via2",#N/A,TRUE,"general";"via3",#N/A,TRUE,"general"}</definedName>
    <definedName name="via" localSheetId="18" hidden="1">{"via1",#N/A,TRUE,"general";"via2",#N/A,TRUE,"general";"via3",#N/A,TRUE,"general"}</definedName>
    <definedName name="via" localSheetId="28" hidden="1">{"via1",#N/A,TRUE,"general";"via2",#N/A,TRUE,"general";"via3",#N/A,TRUE,"general"}</definedName>
    <definedName name="via" localSheetId="29" hidden="1">{"via1",#N/A,TRUE,"general";"via2",#N/A,TRUE,"general";"via3",#N/A,TRUE,"general"}</definedName>
    <definedName name="via" localSheetId="12" hidden="1">{"via1",#N/A,TRUE,"general";"via2",#N/A,TRUE,"general";"via3",#N/A,TRUE,"general"}</definedName>
    <definedName name="via" hidden="1">{"via1",#N/A,TRUE,"general";"via2",#N/A,TRUE,"general";"via3",#N/A,TRUE,"general"}</definedName>
    <definedName name="via_1" localSheetId="20" hidden="1">{"via1",#N/A,TRUE,"general";"via2",#N/A,TRUE,"general";"via3",#N/A,TRUE,"general"}</definedName>
    <definedName name="via_1" localSheetId="21" hidden="1">{"via1",#N/A,TRUE,"general";"via2",#N/A,TRUE,"general";"via3",#N/A,TRUE,"general"}</definedName>
    <definedName name="via_1" localSheetId="9" hidden="1">{"via1",#N/A,TRUE,"general";"via2",#N/A,TRUE,"general";"via3",#N/A,TRUE,"general"}</definedName>
    <definedName name="via_1" localSheetId="19" hidden="1">{"via1",#N/A,TRUE,"general";"via2",#N/A,TRUE,"general";"via3",#N/A,TRUE,"general"}</definedName>
    <definedName name="via_1" localSheetId="13" hidden="1">{"via1",#N/A,TRUE,"general";"via2",#N/A,TRUE,"general";"via3",#N/A,TRUE,"general"}</definedName>
    <definedName name="via_1" localSheetId="17" hidden="1">{"via1",#N/A,TRUE,"general";"via2",#N/A,TRUE,"general";"via3",#N/A,TRUE,"general"}</definedName>
    <definedName name="via_1" localSheetId="18" hidden="1">{"via1",#N/A,TRUE,"general";"via2",#N/A,TRUE,"general";"via3",#N/A,TRUE,"general"}</definedName>
    <definedName name="via_1" localSheetId="28" hidden="1">{"via1",#N/A,TRUE,"general";"via2",#N/A,TRUE,"general";"via3",#N/A,TRUE,"general"}</definedName>
    <definedName name="via_1" localSheetId="29" hidden="1">{"via1",#N/A,TRUE,"general";"via2",#N/A,TRUE,"general";"via3",#N/A,TRUE,"general"}</definedName>
    <definedName name="via_1" localSheetId="12" hidden="1">{"via1",#N/A,TRUE,"general";"via2",#N/A,TRUE,"general";"via3",#N/A,TRUE,"general"}</definedName>
    <definedName name="via_1" hidden="1">{"via1",#N/A,TRUE,"general";"via2",#N/A,TRUE,"general";"via3",#N/A,TRUE,"general"}</definedName>
    <definedName name="Viajes" localSheetId="9">'ENSAYOS DE LABORATORIO'!#REF!</definedName>
    <definedName name="Viajes">#REF!</definedName>
    <definedName name="vias">[284]Datos!$H$2:$H$6</definedName>
    <definedName name="VIBRADOR">#REF!</definedName>
    <definedName name="VIBRADOR_CONCRETO">[52]Equipo!$F$13</definedName>
    <definedName name="VIDRIO4">#REF!</definedName>
    <definedName name="VINILO">#REF!</definedName>
    <definedName name="viscosidad">#REF!</definedName>
    <definedName name="VJ">#REF!,#REF!,#REF!,#REF!,#REF!,#REF!,#REF!</definedName>
    <definedName name="vjkgvif" localSheetId="17">OFFSET([0]!Full_Print,0,0,FIDUCIA!Last_Row)</definedName>
    <definedName name="vjkgvif" localSheetId="28">OFFSET([0]!Full_Print,0,0,PGS!Last_Row)</definedName>
    <definedName name="vjkgvif" localSheetId="29">OFFSET([0]!Full_Print,0,0,PMA!Last_Row)</definedName>
    <definedName name="vjkgvif" localSheetId="12">OFFSET([0]!Full_Print,0,0,'Presupuesto Interventoría'!Last_Row)</definedName>
    <definedName name="vjkgvif">OFFSET([0]!Full_Print,0,0,[0]!Last_Row)</definedName>
    <definedName name="vm">#REF!</definedName>
    <definedName name="VOLQUETA">#REF!</definedName>
    <definedName name="VolTanqu">#REF!</definedName>
    <definedName name="VPD">[11]TARIFAS!$C$569</definedName>
    <definedName name="VPDACUE">#REF!</definedName>
    <definedName name="VPI">[11]TARIFAS!$C$567</definedName>
    <definedName name="VPNIngresos">#REF!</definedName>
    <definedName name="VPNSurenting">#REF!</definedName>
    <definedName name="VR_CON_IVA">[101]Insumos!$I1*(1+[101]Insumos!$H1)</definedName>
    <definedName name="vr_equipos">#REF!</definedName>
    <definedName name="VR_SIN_IVA">VLOOKUP([101]Insumos!$D1,[101]Auxiliares!$B$1:$G$65536,6,FALSE)</definedName>
    <definedName name="VR_TOT" localSheetId="22">IF(LG=2,IF(SCQ=0,"",SCQ/2),"")</definedName>
    <definedName name="VR_TOT" localSheetId="21">IF(LG=2,IF(SCQ=0,"",SCQ/2),"")</definedName>
    <definedName name="VR_TOT" localSheetId="17">IF(LG=2,IF(SCQ=0,"",SCQ/2),"")</definedName>
    <definedName name="VR_TOT" localSheetId="28">IF(LG=2,IF(SCQ=0,"",SCQ/2),"")</definedName>
    <definedName name="VR_TOT" localSheetId="29">IF(LG=2,IF(SCQ=0,"",SCQ/2),"")</definedName>
    <definedName name="VR_TOT" localSheetId="12">IF(LG=2,IF(SCQ=0,"",SCQ/2),"")</definedName>
    <definedName name="VR_TOT">IF(LG=2,IF(SCQ=0,"",SCQ/2),"")</definedName>
    <definedName name="VR_TOT_APU">IF([101]apu!$E1="","",IF([101]apu!$B1=[101]apu!$A1,SUMIF([101]apu!XEY2:XEY10001,[101]apu!XEY1,[101]apu!A2:A10001),ROUNDUP([101]apu!$D1*[101]apu!$F1,0)))</definedName>
    <definedName name="VR_TOT_AUX">IF([101]Auxiliares!XFC1="","",IF([101]Auxiliares!$B1=[101]Auxiliares!$A1,SUMIF([101]Auxiliares!XEY2:XEY9997,[101]Auxiliares!XEY1,[101]Auxiliares!A2:A9997),ROUNDUP([101]Auxiliares!$D1*[101]Auxiliares!$F1,0)))</definedName>
    <definedName name="VR_UN" localSheetId="22">IF(ISERROR(V_U),"",V_U)</definedName>
    <definedName name="VR_UN" localSheetId="21">IF(ISERROR(V_U),"",V_U)</definedName>
    <definedName name="VR_UN" localSheetId="17">IF(ISERROR(V_U),"",V_U)</definedName>
    <definedName name="VR_UN" localSheetId="28">IF(ISERROR(V_U),"",V_U)</definedName>
    <definedName name="VR_UN" localSheetId="29">IF(ISERROR(V_U),"",V_U)</definedName>
    <definedName name="VR_UN" localSheetId="12">IF(ISERROR(V_U),"",V_U)</definedName>
    <definedName name="VR_UN">IF(ISERROR(V_U),"",V_U)</definedName>
    <definedName name="VR_UN_APU">IF(LEN([101]apu!$B1)=2,"",IF([101]apu!$B1="","",IF(ISERROR(SEARCH("-",[101]apu!$B1,3)),VLOOKUP([101]apu!$B1,[101]Insumos!$D$1:$I$65536,4,FALSE),"")))</definedName>
    <definedName name="VR_UN_AUX">IF([101]Auxiliares!$D1="","",VLOOKUP([101]Auxiliares!$B1,[101]Insumos!$D$1:$J$65536,4,0))</definedName>
    <definedName name="VR_UN_PPTO">IF(LEN('[101]Ppto completo'!$D1)=9,VLOOKUP('[101]Ppto completo'!$D1,[101]apu!$B$1:$G$65536,6,FALSE),"")</definedName>
    <definedName name="VRA">[11]TARIFAS!$C$566</definedName>
    <definedName name="VSCanonTotal">#REF!</definedName>
    <definedName name="VSPunRentabilidad">#REF!</definedName>
    <definedName name="VSTablaDTF">#REF!</definedName>
    <definedName name="VSTablaDTFDatos">#REF!</definedName>
    <definedName name="VSUtilidadMensual">#REF!</definedName>
    <definedName name="VSVariablesRenting">#REF!</definedName>
    <definedName name="vtp" localSheetId="17">'[42]Presupuesto General'!$L$39</definedName>
    <definedName name="vtp" localSheetId="18">'[42]Presupuesto General'!$L$39</definedName>
    <definedName name="vtp" localSheetId="28">'[43]Presupuesto General'!$U$39</definedName>
    <definedName name="vtp" localSheetId="29">'[43]Presupuesto General'!$U$39</definedName>
    <definedName name="vtp" localSheetId="12">'[42]Presupuesto General'!$L$39</definedName>
    <definedName name="vtp">'[44]Presupuesto General'!$U$39</definedName>
    <definedName name="vv">#REF!</definedName>
    <definedName name="VVV">#REF!</definedName>
    <definedName name="w" localSheetId="20" hidden="1">#REF!</definedName>
    <definedName name="w" localSheetId="21" hidden="1">#REF!</definedName>
    <definedName name="w" localSheetId="13" hidden="1">#REF!</definedName>
    <definedName name="w" hidden="1">#REF!</definedName>
    <definedName name="Waste_DB">#REF!</definedName>
    <definedName name="Waste1">#REF!</definedName>
    <definedName name="Waste2">#REF!</definedName>
    <definedName name="Waste3">#REF!</definedName>
    <definedName name="Waste4">#REF!</definedName>
    <definedName name="WasteFleet">#REF!</definedName>
    <definedName name="WasteLoad">#REF!</definedName>
    <definedName name="WasteOpCost">#REF!</definedName>
    <definedName name="WasteOverCap">#REF!</definedName>
    <definedName name="WasteRepl">#REF!</definedName>
    <definedName name="WasteUtil">#REF!</definedName>
    <definedName name="WContLab">#REF!</definedName>
    <definedName name="WContParts">#REF!</definedName>
    <definedName name="we">#REF!</definedName>
    <definedName name="weight">#REF!</definedName>
    <definedName name="WEIGHT_UNIT">#REF!</definedName>
    <definedName name="WER">'[63]Res-Accide-10'!$S$2:$S$7</definedName>
    <definedName name="WGET">#REF!</definedName>
    <definedName name="WILSON">'[63]Res-Accide-10'!#REF!</definedName>
    <definedName name="Wipe">#REF!</definedName>
    <definedName name="Wire">#REF!</definedName>
    <definedName name="wj">#REF!</definedName>
    <definedName name="wl">#REF!</definedName>
    <definedName name="WLube">#REF!</definedName>
    <definedName name="WOHaul">#REF!</definedName>
    <definedName name="wqw" localSheetId="20" hidden="1">#REF!</definedName>
    <definedName name="wqw" localSheetId="21" hidden="1">#REF!</definedName>
    <definedName name="wqw" localSheetId="13" hidden="1">#REF!</definedName>
    <definedName name="wqw" hidden="1">#REF!</definedName>
    <definedName name="WRandM">#REF!</definedName>
    <definedName name="wrn.ar." localSheetId="20" hidden="1">{#N/A,#N/A,TRUE,"CODIGO DEPENDENCIA"}</definedName>
    <definedName name="wrn.ar." localSheetId="21" hidden="1">{#N/A,#N/A,TRUE,"CODIGO DEPENDENCIA"}</definedName>
    <definedName name="wrn.ar." localSheetId="9" hidden="1">{#N/A,#N/A,TRUE,"CODIGO DEPENDENCIA"}</definedName>
    <definedName name="wrn.ar." localSheetId="19" hidden="1">{#N/A,#N/A,TRUE,"CODIGO DEPENDENCIA"}</definedName>
    <definedName name="wrn.ar." localSheetId="13" hidden="1">{#N/A,#N/A,TRUE,"CODIGO DEPENDENCIA"}</definedName>
    <definedName name="wrn.ar." localSheetId="17" hidden="1">{#N/A,#N/A,TRUE,"CODIGO DEPENDENCIA"}</definedName>
    <definedName name="wrn.ar." localSheetId="18" hidden="1">{#N/A,#N/A,TRUE,"CODIGO DEPENDENCIA"}</definedName>
    <definedName name="wrn.ar." localSheetId="28" hidden="1">{#N/A,#N/A,TRUE,"CODIGO DEPENDENCIA"}</definedName>
    <definedName name="wrn.ar." localSheetId="29" hidden="1">{#N/A,#N/A,TRUE,"CODIGO DEPENDENCIA"}</definedName>
    <definedName name="wrn.ar." localSheetId="12" hidden="1">{#N/A,#N/A,TRUE,"CODIGO DEPENDENCIA"}</definedName>
    <definedName name="wrn.ar." hidden="1">{#N/A,#N/A,TRUE,"CODIGO DEPENDENCIA"}</definedName>
    <definedName name="wrn.Financial._.Statements." localSheetId="20"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localSheetId="21"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localSheetId="9"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localSheetId="19"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localSheetId="13"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localSheetId="17"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localSheetId="18"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localSheetId="28"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localSheetId="29"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localSheetId="12"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_1" localSheetId="20"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_1" localSheetId="21"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_1" localSheetId="9"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_1" localSheetId="19"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_1" localSheetId="13"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_1" localSheetId="17"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_1" localSheetId="18"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_1" localSheetId="28"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_1" localSheetId="29"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_1" localSheetId="12"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_1"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ORMATOS." localSheetId="20"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21"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9"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19"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1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17"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18"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28"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29"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1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Ull._.Model." localSheetId="20"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localSheetId="21"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localSheetId="9"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localSheetId="19"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localSheetId="13"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localSheetId="17"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localSheetId="18"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localSheetId="28"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localSheetId="29"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localSheetId="12"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_1" localSheetId="20"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_1" localSheetId="21"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_1" localSheetId="9"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_1" localSheetId="19"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_1" localSheetId="13"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_1" localSheetId="17"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_1" localSheetId="18"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_1" localSheetId="28"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_1" localSheetId="29"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_1" localSheetId="12"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_1"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GENERAL." localSheetId="20" hidden="1">{"TAB1",#N/A,TRUE,"GENERAL";"TAB2",#N/A,TRUE,"GENERAL";"TAB3",#N/A,TRUE,"GENERAL";"TAB4",#N/A,TRUE,"GENERAL";"TAB5",#N/A,TRUE,"GENERAL"}</definedName>
    <definedName name="wrn.GENERAL." localSheetId="21" hidden="1">{"TAB1",#N/A,TRUE,"GENERAL";"TAB2",#N/A,TRUE,"GENERAL";"TAB3",#N/A,TRUE,"GENERAL";"TAB4",#N/A,TRUE,"GENERAL";"TAB5",#N/A,TRUE,"GENERAL"}</definedName>
    <definedName name="wrn.GENERAL." localSheetId="9" hidden="1">{"TAB1",#N/A,TRUE,"GENERAL";"TAB2",#N/A,TRUE,"GENERAL";"TAB3",#N/A,TRUE,"GENERAL";"TAB4",#N/A,TRUE,"GENERAL";"TAB5",#N/A,TRUE,"GENERAL"}</definedName>
    <definedName name="wrn.GENERAL." localSheetId="19" hidden="1">{"TAB1",#N/A,TRUE,"GENERAL";"TAB2",#N/A,TRUE,"GENERAL";"TAB3",#N/A,TRUE,"GENERAL";"TAB4",#N/A,TRUE,"GENERAL";"TAB5",#N/A,TRUE,"GENERAL"}</definedName>
    <definedName name="wrn.GENERAL." localSheetId="13" hidden="1">{"TAB1",#N/A,TRUE,"GENERAL";"TAB2",#N/A,TRUE,"GENERAL";"TAB3",#N/A,TRUE,"GENERAL";"TAB4",#N/A,TRUE,"GENERAL";"TAB5",#N/A,TRUE,"GENERAL"}</definedName>
    <definedName name="wrn.GENERAL." localSheetId="17" hidden="1">{"TAB1",#N/A,TRUE,"GENERAL";"TAB2",#N/A,TRUE,"GENERAL";"TAB3",#N/A,TRUE,"GENERAL";"TAB4",#N/A,TRUE,"GENERAL";"TAB5",#N/A,TRUE,"GENERAL"}</definedName>
    <definedName name="wrn.GENERAL." localSheetId="18" hidden="1">{"TAB1",#N/A,TRUE,"GENERAL";"TAB2",#N/A,TRUE,"GENERAL";"TAB3",#N/A,TRUE,"GENERAL";"TAB4",#N/A,TRUE,"GENERAL";"TAB5",#N/A,TRUE,"GENERAL"}</definedName>
    <definedName name="wrn.GENERAL." localSheetId="28" hidden="1">{"TAB1",#N/A,TRUE,"GENERAL";"TAB2",#N/A,TRUE,"GENERAL";"TAB3",#N/A,TRUE,"GENERAL";"TAB4",#N/A,TRUE,"GENERAL";"TAB5",#N/A,TRUE,"GENERAL"}</definedName>
    <definedName name="wrn.GENERAL." localSheetId="29" hidden="1">{"TAB1",#N/A,TRUE,"GENERAL";"TAB2",#N/A,TRUE,"GENERAL";"TAB3",#N/A,TRUE,"GENERAL";"TAB4",#N/A,TRUE,"GENERAL";"TAB5",#N/A,TRUE,"GENERAL"}</definedName>
    <definedName name="wrn.GENERAL." localSheetId="12" hidden="1">{"TAB1",#N/A,TRUE,"GENERAL";"TAB2",#N/A,TRUE,"GENERAL";"TAB3",#N/A,TRUE,"GENERAL";"TAB4",#N/A,TRUE,"GENERAL";"TAB5",#N/A,TRUE,"GENERAL"}</definedName>
    <definedName name="wrn.GENERAL." hidden="1">{"TAB1",#N/A,TRUE,"GENERAL";"TAB2",#N/A,TRUE,"GENERAL";"TAB3",#N/A,TRUE,"GENERAL";"TAB4",#N/A,TRUE,"GENERAL";"TAB5",#N/A,TRUE,"GENERAL"}</definedName>
    <definedName name="wrn.GENERAL._1" localSheetId="20" hidden="1">{"TAB1",#N/A,TRUE,"GENERAL";"TAB2",#N/A,TRUE,"GENERAL";"TAB3",#N/A,TRUE,"GENERAL";"TAB4",#N/A,TRUE,"GENERAL";"TAB5",#N/A,TRUE,"GENERAL"}</definedName>
    <definedName name="wrn.GENERAL._1" localSheetId="21" hidden="1">{"TAB1",#N/A,TRUE,"GENERAL";"TAB2",#N/A,TRUE,"GENERAL";"TAB3",#N/A,TRUE,"GENERAL";"TAB4",#N/A,TRUE,"GENERAL";"TAB5",#N/A,TRUE,"GENERAL"}</definedName>
    <definedName name="wrn.GENERAL._1" localSheetId="9" hidden="1">{"TAB1",#N/A,TRUE,"GENERAL";"TAB2",#N/A,TRUE,"GENERAL";"TAB3",#N/A,TRUE,"GENERAL";"TAB4",#N/A,TRUE,"GENERAL";"TAB5",#N/A,TRUE,"GENERAL"}</definedName>
    <definedName name="wrn.GENERAL._1" localSheetId="19" hidden="1">{"TAB1",#N/A,TRUE,"GENERAL";"TAB2",#N/A,TRUE,"GENERAL";"TAB3",#N/A,TRUE,"GENERAL";"TAB4",#N/A,TRUE,"GENERAL";"TAB5",#N/A,TRUE,"GENERAL"}</definedName>
    <definedName name="wrn.GENERAL._1" localSheetId="13" hidden="1">{"TAB1",#N/A,TRUE,"GENERAL";"TAB2",#N/A,TRUE,"GENERAL";"TAB3",#N/A,TRUE,"GENERAL";"TAB4",#N/A,TRUE,"GENERAL";"TAB5",#N/A,TRUE,"GENERAL"}</definedName>
    <definedName name="wrn.GENERAL._1" localSheetId="17" hidden="1">{"TAB1",#N/A,TRUE,"GENERAL";"TAB2",#N/A,TRUE,"GENERAL";"TAB3",#N/A,TRUE,"GENERAL";"TAB4",#N/A,TRUE,"GENERAL";"TAB5",#N/A,TRUE,"GENERAL"}</definedName>
    <definedName name="wrn.GENERAL._1" localSheetId="18" hidden="1">{"TAB1",#N/A,TRUE,"GENERAL";"TAB2",#N/A,TRUE,"GENERAL";"TAB3",#N/A,TRUE,"GENERAL";"TAB4",#N/A,TRUE,"GENERAL";"TAB5",#N/A,TRUE,"GENERAL"}</definedName>
    <definedName name="wrn.GENERAL._1" localSheetId="28" hidden="1">{"TAB1",#N/A,TRUE,"GENERAL";"TAB2",#N/A,TRUE,"GENERAL";"TAB3",#N/A,TRUE,"GENERAL";"TAB4",#N/A,TRUE,"GENERAL";"TAB5",#N/A,TRUE,"GENERAL"}</definedName>
    <definedName name="wrn.GENERAL._1" localSheetId="29" hidden="1">{"TAB1",#N/A,TRUE,"GENERAL";"TAB2",#N/A,TRUE,"GENERAL";"TAB3",#N/A,TRUE,"GENERAL";"TAB4",#N/A,TRUE,"GENERAL";"TAB5",#N/A,TRUE,"GENERAL"}</definedName>
    <definedName name="wrn.GENERAL._1" localSheetId="12" hidden="1">{"TAB1",#N/A,TRUE,"GENERAL";"TAB2",#N/A,TRUE,"GENERAL";"TAB3",#N/A,TRUE,"GENERAL";"TAB4",#N/A,TRUE,"GENERAL";"TAB5",#N/A,TRUE,"GENERAL"}</definedName>
    <definedName name="wrn.GENERAL._1" hidden="1">{"TAB1",#N/A,TRUE,"GENERAL";"TAB2",#N/A,TRUE,"GENERAL";"TAB3",#N/A,TRUE,"GENERAL";"TAB4",#N/A,TRUE,"GENERAL";"TAB5",#N/A,TRUE,"GENERAL"}</definedName>
    <definedName name="wrn.GERENCIA." localSheetId="20" hidden="1">{#N/A,#N/A,TRUE,"INGENIERIA";#N/A,#N/A,TRUE,"COMPRAS";#N/A,#N/A,TRUE,"DIRECCION";#N/A,#N/A,TRUE,"RESUMEN"}</definedName>
    <definedName name="wrn.GERENCIA." localSheetId="21" hidden="1">{#N/A,#N/A,TRUE,"INGENIERIA";#N/A,#N/A,TRUE,"COMPRAS";#N/A,#N/A,TRUE,"DIRECCION";#N/A,#N/A,TRUE,"RESUMEN"}</definedName>
    <definedName name="wrn.GERENCIA." localSheetId="9" hidden="1">{#N/A,#N/A,TRUE,"INGENIERIA";#N/A,#N/A,TRUE,"COMPRAS";#N/A,#N/A,TRUE,"DIRECCION";#N/A,#N/A,TRUE,"RESUMEN"}</definedName>
    <definedName name="wrn.GERENCIA." localSheetId="19" hidden="1">{#N/A,#N/A,TRUE,"INGENIERIA";#N/A,#N/A,TRUE,"COMPRAS";#N/A,#N/A,TRUE,"DIRECCION";#N/A,#N/A,TRUE,"RESUMEN"}</definedName>
    <definedName name="wrn.GERENCIA." localSheetId="13" hidden="1">{#N/A,#N/A,TRUE,"INGENIERIA";#N/A,#N/A,TRUE,"COMPRAS";#N/A,#N/A,TRUE,"DIRECCION";#N/A,#N/A,TRUE,"RESUMEN"}</definedName>
    <definedName name="wrn.GERENCIA." localSheetId="17" hidden="1">{#N/A,#N/A,TRUE,"INGENIERIA";#N/A,#N/A,TRUE,"COMPRAS";#N/A,#N/A,TRUE,"DIRECCION";#N/A,#N/A,TRUE,"RESUMEN"}</definedName>
    <definedName name="wrn.GERENCIA." localSheetId="18" hidden="1">{#N/A,#N/A,TRUE,"INGENIERIA";#N/A,#N/A,TRUE,"COMPRAS";#N/A,#N/A,TRUE,"DIRECCION";#N/A,#N/A,TRUE,"RESUMEN"}</definedName>
    <definedName name="wrn.GERENCIA." localSheetId="28" hidden="1">{#N/A,#N/A,TRUE,"INGENIERIA";#N/A,#N/A,TRUE,"COMPRAS";#N/A,#N/A,TRUE,"DIRECCION";#N/A,#N/A,TRUE,"RESUMEN"}</definedName>
    <definedName name="wrn.GERENCIA." localSheetId="29" hidden="1">{#N/A,#N/A,TRUE,"INGENIERIA";#N/A,#N/A,TRUE,"COMPRAS";#N/A,#N/A,TRUE,"DIRECCION";#N/A,#N/A,TRUE,"RESUMEN"}</definedName>
    <definedName name="wrn.GERENCIA." localSheetId="12" hidden="1">{#N/A,#N/A,TRUE,"INGENIERIA";#N/A,#N/A,TRUE,"COMPRAS";#N/A,#N/A,TRUE,"DIRECCION";#N/A,#N/A,TRUE,"RESUMEN"}</definedName>
    <definedName name="wrn.GERENCIA." hidden="1">{#N/A,#N/A,TRUE,"INGENIERIA";#N/A,#N/A,TRUE,"COMPRAS";#N/A,#N/A,TRUE,"DIRECCION";#N/A,#N/A,TRUE,"RESUMEN"}</definedName>
    <definedName name="wrn.Restructuring._.Summaries." localSheetId="20" hidden="1">{#N/A,#N/A,TRUE,"Transaction Summary";#N/A,#N/A,TRUE,"Restructuring Sensitivities";#N/A,#N/A,TRUE,"DCF";#N/A,#N/A,TRUE,"IRR";#N/A,#N/A,TRUE,"Debt Capacity"}</definedName>
    <definedName name="wrn.Restructuring._.Summaries." localSheetId="21" hidden="1">{#N/A,#N/A,TRUE,"Transaction Summary";#N/A,#N/A,TRUE,"Restructuring Sensitivities";#N/A,#N/A,TRUE,"DCF";#N/A,#N/A,TRUE,"IRR";#N/A,#N/A,TRUE,"Debt Capacity"}</definedName>
    <definedName name="wrn.Restructuring._.Summaries." localSheetId="9" hidden="1">{#N/A,#N/A,TRUE,"Transaction Summary";#N/A,#N/A,TRUE,"Restructuring Sensitivities";#N/A,#N/A,TRUE,"DCF";#N/A,#N/A,TRUE,"IRR";#N/A,#N/A,TRUE,"Debt Capacity"}</definedName>
    <definedName name="wrn.Restructuring._.Summaries." localSheetId="19" hidden="1">{#N/A,#N/A,TRUE,"Transaction Summary";#N/A,#N/A,TRUE,"Restructuring Sensitivities";#N/A,#N/A,TRUE,"DCF";#N/A,#N/A,TRUE,"IRR";#N/A,#N/A,TRUE,"Debt Capacity"}</definedName>
    <definedName name="wrn.Restructuring._.Summaries." localSheetId="13" hidden="1">{#N/A,#N/A,TRUE,"Transaction Summary";#N/A,#N/A,TRUE,"Restructuring Sensitivities";#N/A,#N/A,TRUE,"DCF";#N/A,#N/A,TRUE,"IRR";#N/A,#N/A,TRUE,"Debt Capacity"}</definedName>
    <definedName name="wrn.Restructuring._.Summaries." localSheetId="17" hidden="1">{#N/A,#N/A,TRUE,"Transaction Summary";#N/A,#N/A,TRUE,"Restructuring Sensitivities";#N/A,#N/A,TRUE,"DCF";#N/A,#N/A,TRUE,"IRR";#N/A,#N/A,TRUE,"Debt Capacity"}</definedName>
    <definedName name="wrn.Restructuring._.Summaries." localSheetId="18" hidden="1">{#N/A,#N/A,TRUE,"Transaction Summary";#N/A,#N/A,TRUE,"Restructuring Sensitivities";#N/A,#N/A,TRUE,"DCF";#N/A,#N/A,TRUE,"IRR";#N/A,#N/A,TRUE,"Debt Capacity"}</definedName>
    <definedName name="wrn.Restructuring._.Summaries." localSheetId="28" hidden="1">{#N/A,#N/A,TRUE,"Transaction Summary";#N/A,#N/A,TRUE,"Restructuring Sensitivities";#N/A,#N/A,TRUE,"DCF";#N/A,#N/A,TRUE,"IRR";#N/A,#N/A,TRUE,"Debt Capacity"}</definedName>
    <definedName name="wrn.Restructuring._.Summaries." localSheetId="29" hidden="1">{#N/A,#N/A,TRUE,"Transaction Summary";#N/A,#N/A,TRUE,"Restructuring Sensitivities";#N/A,#N/A,TRUE,"DCF";#N/A,#N/A,TRUE,"IRR";#N/A,#N/A,TRUE,"Debt Capacity"}</definedName>
    <definedName name="wrn.Restructuring._.Summaries." localSheetId="12" hidden="1">{#N/A,#N/A,TRUE,"Transaction Summary";#N/A,#N/A,TRUE,"Restructuring Sensitivities";#N/A,#N/A,TRUE,"DCF";#N/A,#N/A,TRUE,"IRR";#N/A,#N/A,TRUE,"Debt Capacity"}</definedName>
    <definedName name="wrn.Restructuring._.Summaries." hidden="1">{#N/A,#N/A,TRUE,"Transaction Summary";#N/A,#N/A,TRUE,"Restructuring Sensitivities";#N/A,#N/A,TRUE,"DCF";#N/A,#N/A,TRUE,"IRR";#N/A,#N/A,TRUE,"Debt Capacity"}</definedName>
    <definedName name="wrn.Restructuring._.Summaries._1" localSheetId="20" hidden="1">{#N/A,#N/A,TRUE,"Transaction Summary";#N/A,#N/A,TRUE,"Restructuring Sensitivities";#N/A,#N/A,TRUE,"DCF";#N/A,#N/A,TRUE,"IRR";#N/A,#N/A,TRUE,"Debt Capacity"}</definedName>
    <definedName name="wrn.Restructuring._.Summaries._1" localSheetId="21" hidden="1">{#N/A,#N/A,TRUE,"Transaction Summary";#N/A,#N/A,TRUE,"Restructuring Sensitivities";#N/A,#N/A,TRUE,"DCF";#N/A,#N/A,TRUE,"IRR";#N/A,#N/A,TRUE,"Debt Capacity"}</definedName>
    <definedName name="wrn.Restructuring._.Summaries._1" localSheetId="9" hidden="1">{#N/A,#N/A,TRUE,"Transaction Summary";#N/A,#N/A,TRUE,"Restructuring Sensitivities";#N/A,#N/A,TRUE,"DCF";#N/A,#N/A,TRUE,"IRR";#N/A,#N/A,TRUE,"Debt Capacity"}</definedName>
    <definedName name="wrn.Restructuring._.Summaries._1" localSheetId="19" hidden="1">{#N/A,#N/A,TRUE,"Transaction Summary";#N/A,#N/A,TRUE,"Restructuring Sensitivities";#N/A,#N/A,TRUE,"DCF";#N/A,#N/A,TRUE,"IRR";#N/A,#N/A,TRUE,"Debt Capacity"}</definedName>
    <definedName name="wrn.Restructuring._.Summaries._1" localSheetId="13" hidden="1">{#N/A,#N/A,TRUE,"Transaction Summary";#N/A,#N/A,TRUE,"Restructuring Sensitivities";#N/A,#N/A,TRUE,"DCF";#N/A,#N/A,TRUE,"IRR";#N/A,#N/A,TRUE,"Debt Capacity"}</definedName>
    <definedName name="wrn.Restructuring._.Summaries._1" localSheetId="17" hidden="1">{#N/A,#N/A,TRUE,"Transaction Summary";#N/A,#N/A,TRUE,"Restructuring Sensitivities";#N/A,#N/A,TRUE,"DCF";#N/A,#N/A,TRUE,"IRR";#N/A,#N/A,TRUE,"Debt Capacity"}</definedName>
    <definedName name="wrn.Restructuring._.Summaries._1" localSheetId="18" hidden="1">{#N/A,#N/A,TRUE,"Transaction Summary";#N/A,#N/A,TRUE,"Restructuring Sensitivities";#N/A,#N/A,TRUE,"DCF";#N/A,#N/A,TRUE,"IRR";#N/A,#N/A,TRUE,"Debt Capacity"}</definedName>
    <definedName name="wrn.Restructuring._.Summaries._1" localSheetId="28" hidden="1">{#N/A,#N/A,TRUE,"Transaction Summary";#N/A,#N/A,TRUE,"Restructuring Sensitivities";#N/A,#N/A,TRUE,"DCF";#N/A,#N/A,TRUE,"IRR";#N/A,#N/A,TRUE,"Debt Capacity"}</definedName>
    <definedName name="wrn.Restructuring._.Summaries._1" localSheetId="29" hidden="1">{#N/A,#N/A,TRUE,"Transaction Summary";#N/A,#N/A,TRUE,"Restructuring Sensitivities";#N/A,#N/A,TRUE,"DCF";#N/A,#N/A,TRUE,"IRR";#N/A,#N/A,TRUE,"Debt Capacity"}</definedName>
    <definedName name="wrn.Restructuring._.Summaries._1" localSheetId="12" hidden="1">{#N/A,#N/A,TRUE,"Transaction Summary";#N/A,#N/A,TRUE,"Restructuring Sensitivities";#N/A,#N/A,TRUE,"DCF";#N/A,#N/A,TRUE,"IRR";#N/A,#N/A,TRUE,"Debt Capacity"}</definedName>
    <definedName name="wrn.Restructuring._.Summaries._1" hidden="1">{#N/A,#N/A,TRUE,"Transaction Summary";#N/A,#N/A,TRUE,"Restructuring Sensitivities";#N/A,#N/A,TRUE,"DCF";#N/A,#N/A,TRUE,"IRR";#N/A,#N/A,TRUE,"Debt Capacity"}</definedName>
    <definedName name="wrn.resumen." localSheetId="10" hidden="1">{"total",#N/A,FALSE,"TD 0% ";"total",#N/A,FALSE,"TD 12%";"total",#N/A,FALSE,"TD 10%"}</definedName>
    <definedName name="wrn.resumen." localSheetId="20" hidden="1">{"total",#N/A,FALSE,"TD 0% ";"total",#N/A,FALSE,"TD 12%";"total",#N/A,FALSE,"TD 10%"}</definedName>
    <definedName name="wrn.resumen." localSheetId="21" hidden="1">{"total",#N/A,FALSE,"TD 0% ";"total",#N/A,FALSE,"TD 12%";"total",#N/A,FALSE,"TD 10%"}</definedName>
    <definedName name="wrn.resumen." localSheetId="9" hidden="1">{"total",#N/A,FALSE,"TD 0% ";"total",#N/A,FALSE,"TD 12%";"total",#N/A,FALSE,"TD 10%"}</definedName>
    <definedName name="wrn.resumen." localSheetId="19" hidden="1">{"total",#N/A,FALSE,"TD 0% ";"total",#N/A,FALSE,"TD 12%";"total",#N/A,FALSE,"TD 10%"}</definedName>
    <definedName name="wrn.resumen." localSheetId="13" hidden="1">{"total",#N/A,FALSE,"TD 0% ";"total",#N/A,FALSE,"TD 12%";"total",#N/A,FALSE,"TD 10%"}</definedName>
    <definedName name="wrn.resumen." localSheetId="17" hidden="1">{"total",#N/A,FALSE,"TD 0% ";"total",#N/A,FALSE,"TD 12%";"total",#N/A,FALSE,"TD 10%"}</definedName>
    <definedName name="wrn.resumen." localSheetId="18" hidden="1">{"total",#N/A,FALSE,"TD 0% ";"total",#N/A,FALSE,"TD 12%";"total",#N/A,FALSE,"TD 10%"}</definedName>
    <definedName name="wrn.resumen." localSheetId="28" hidden="1">{"total",#N/A,FALSE,"TD 0% ";"total",#N/A,FALSE,"TD 12%";"total",#N/A,FALSE,"TD 10%"}</definedName>
    <definedName name="wrn.resumen." localSheetId="29" hidden="1">{"total",#N/A,FALSE,"TD 0% ";"total",#N/A,FALSE,"TD 12%";"total",#N/A,FALSE,"TD 10%"}</definedName>
    <definedName name="wrn.resumen." localSheetId="12" hidden="1">{"total",#N/A,FALSE,"TD 0% ";"total",#N/A,FALSE,"TD 12%";"total",#N/A,FALSE,"TD 10%"}</definedName>
    <definedName name="wrn.resumen." hidden="1">{"total",#N/A,FALSE,"TD 0% ";"total",#N/A,FALSE,"TD 12%";"total",#N/A,FALSE,"TD 10%"}</definedName>
    <definedName name="wrn.via." localSheetId="20" hidden="1">{"via1",#N/A,TRUE,"general";"via2",#N/A,TRUE,"general";"via3",#N/A,TRUE,"general"}</definedName>
    <definedName name="wrn.via." localSheetId="21" hidden="1">{"via1",#N/A,TRUE,"general";"via2",#N/A,TRUE,"general";"via3",#N/A,TRUE,"general"}</definedName>
    <definedName name="wrn.via." localSheetId="9" hidden="1">{"via1",#N/A,TRUE,"general";"via2",#N/A,TRUE,"general";"via3",#N/A,TRUE,"general"}</definedName>
    <definedName name="wrn.via." localSheetId="19" hidden="1">{"via1",#N/A,TRUE,"general";"via2",#N/A,TRUE,"general";"via3",#N/A,TRUE,"general"}</definedName>
    <definedName name="wrn.via." localSheetId="13" hidden="1">{"via1",#N/A,TRUE,"general";"via2",#N/A,TRUE,"general";"via3",#N/A,TRUE,"general"}</definedName>
    <definedName name="wrn.via." localSheetId="17" hidden="1">{"via1",#N/A,TRUE,"general";"via2",#N/A,TRUE,"general";"via3",#N/A,TRUE,"general"}</definedName>
    <definedName name="wrn.via." localSheetId="18" hidden="1">{"via1",#N/A,TRUE,"general";"via2",#N/A,TRUE,"general";"via3",#N/A,TRUE,"general"}</definedName>
    <definedName name="wrn.via." localSheetId="28" hidden="1">{"via1",#N/A,TRUE,"general";"via2",#N/A,TRUE,"general";"via3",#N/A,TRUE,"general"}</definedName>
    <definedName name="wrn.via." localSheetId="29" hidden="1">{"via1",#N/A,TRUE,"general";"via2",#N/A,TRUE,"general";"via3",#N/A,TRUE,"general"}</definedName>
    <definedName name="wrn.via." localSheetId="12" hidden="1">{"via1",#N/A,TRUE,"general";"via2",#N/A,TRUE,"general";"via3",#N/A,TRUE,"general"}</definedName>
    <definedName name="wrn.via." hidden="1">{"via1",#N/A,TRUE,"general";"via2",#N/A,TRUE,"general";"via3",#N/A,TRUE,"general"}</definedName>
    <definedName name="wrn.via._1" localSheetId="20" hidden="1">{"via1",#N/A,TRUE,"general";"via2",#N/A,TRUE,"general";"via3",#N/A,TRUE,"general"}</definedName>
    <definedName name="wrn.via._1" localSheetId="21" hidden="1">{"via1",#N/A,TRUE,"general";"via2",#N/A,TRUE,"general";"via3",#N/A,TRUE,"general"}</definedName>
    <definedName name="wrn.via._1" localSheetId="9" hidden="1">{"via1",#N/A,TRUE,"general";"via2",#N/A,TRUE,"general";"via3",#N/A,TRUE,"general"}</definedName>
    <definedName name="wrn.via._1" localSheetId="19" hidden="1">{"via1",#N/A,TRUE,"general";"via2",#N/A,TRUE,"general";"via3",#N/A,TRUE,"general"}</definedName>
    <definedName name="wrn.via._1" localSheetId="13" hidden="1">{"via1",#N/A,TRUE,"general";"via2",#N/A,TRUE,"general";"via3",#N/A,TRUE,"general"}</definedName>
    <definedName name="wrn.via._1" localSheetId="17" hidden="1">{"via1",#N/A,TRUE,"general";"via2",#N/A,TRUE,"general";"via3",#N/A,TRUE,"general"}</definedName>
    <definedName name="wrn.via._1" localSheetId="18" hidden="1">{"via1",#N/A,TRUE,"general";"via2",#N/A,TRUE,"general";"via3",#N/A,TRUE,"general"}</definedName>
    <definedName name="wrn.via._1" localSheetId="28" hidden="1">{"via1",#N/A,TRUE,"general";"via2",#N/A,TRUE,"general";"via3",#N/A,TRUE,"general"}</definedName>
    <definedName name="wrn.via._1" localSheetId="29" hidden="1">{"via1",#N/A,TRUE,"general";"via2",#N/A,TRUE,"general";"via3",#N/A,TRUE,"general"}</definedName>
    <definedName name="wrn.via._1" localSheetId="12" hidden="1">{"via1",#N/A,TRUE,"general";"via2",#N/A,TRUE,"general";"via3",#N/A,TRUE,"general"}</definedName>
    <definedName name="wrn.via._1" hidden="1">{"via1",#N/A,TRUE,"general";"via2",#N/A,TRUE,"general";"via3",#N/A,TRUE,"general"}</definedName>
    <definedName name="ws">#REF!</definedName>
    <definedName name="WSERWEER" localSheetId="28">'[285]COSTOS OFICINA'!#REF!</definedName>
    <definedName name="WSERWEER" localSheetId="29">'[285]COSTOS OFICINA'!#REF!</definedName>
    <definedName name="WSERWEER">'[286]COSTOS OFICINA'!#REF!</definedName>
    <definedName name="WTyre">#REF!</definedName>
    <definedName name="WW">#REF!</definedName>
    <definedName name="www">#REF!</definedName>
    <definedName name="wwwwwwwwww">#REF!</definedName>
    <definedName name="wwwwwwwwwwww">#REF!</definedName>
    <definedName name="x">#REF!</definedName>
    <definedName name="xb">#REF!</definedName>
    <definedName name="XMesCalidades" localSheetId="9">'ENSAYOS DE LABORATORIO'!#REF!</definedName>
    <definedName name="XMesCalidades">#REF!</definedName>
    <definedName name="XMesNoFacturables" localSheetId="9">'ENSAYOS DE LABORATORIO'!#REF!</definedName>
    <definedName name="XMesNoFacturables">#REF!</definedName>
    <definedName name="XMesPersonalPromedio" localSheetId="9">[73]FM!$E$8</definedName>
    <definedName name="XMesPersonalPromedio">#REF!</definedName>
    <definedName name="XMesProfesionales" localSheetId="9">'ENSAYOS DE LABORATORIO'!#REF!</definedName>
    <definedName name="XMesProfesionales">#REF!</definedName>
    <definedName name="XMesTecnicos" localSheetId="9">'ENSAYOS DE LABORATORIO'!#REF!</definedName>
    <definedName name="XMesTecnicos">#REF!</definedName>
    <definedName name="xo">#REF!</definedName>
    <definedName name="XON">[287]CUADRILLAS!$D$17</definedName>
    <definedName name="xvrcsdrasxz">#REF!</definedName>
    <definedName name="xx" localSheetId="9">[288]PERSONAL!$D$10</definedName>
    <definedName name="xx">[289]PERSONAL!$D$10</definedName>
    <definedName name="xxx">#REF!</definedName>
    <definedName name="XXXXX" localSheetId="20"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localSheetId="21"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localSheetId="9"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localSheetId="19"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localSheetId="1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localSheetId="17"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localSheetId="18"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localSheetId="28"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localSheetId="29"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localSheetId="1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X" localSheetId="20" hidden="1">{#N/A,#N/A,TRUE,"INGENIERIA";#N/A,#N/A,TRUE,"COMPRAS";#N/A,#N/A,TRUE,"DIRECCION";#N/A,#N/A,TRUE,"RESUMEN"}</definedName>
    <definedName name="XXXXXX" localSheetId="21" hidden="1">{#N/A,#N/A,TRUE,"INGENIERIA";#N/A,#N/A,TRUE,"COMPRAS";#N/A,#N/A,TRUE,"DIRECCION";#N/A,#N/A,TRUE,"RESUMEN"}</definedName>
    <definedName name="XXXXXX" localSheetId="9" hidden="1">{#N/A,#N/A,TRUE,"INGENIERIA";#N/A,#N/A,TRUE,"COMPRAS";#N/A,#N/A,TRUE,"DIRECCION";#N/A,#N/A,TRUE,"RESUMEN"}</definedName>
    <definedName name="XXXXXX" localSheetId="19" hidden="1">{#N/A,#N/A,TRUE,"INGENIERIA";#N/A,#N/A,TRUE,"COMPRAS";#N/A,#N/A,TRUE,"DIRECCION";#N/A,#N/A,TRUE,"RESUMEN"}</definedName>
    <definedName name="XXXXXX" localSheetId="13" hidden="1">{#N/A,#N/A,TRUE,"INGENIERIA";#N/A,#N/A,TRUE,"COMPRAS";#N/A,#N/A,TRUE,"DIRECCION";#N/A,#N/A,TRUE,"RESUMEN"}</definedName>
    <definedName name="XXXXXX" localSheetId="17" hidden="1">{#N/A,#N/A,TRUE,"INGENIERIA";#N/A,#N/A,TRUE,"COMPRAS";#N/A,#N/A,TRUE,"DIRECCION";#N/A,#N/A,TRUE,"RESUMEN"}</definedName>
    <definedName name="XXXXXX" localSheetId="18" hidden="1">{#N/A,#N/A,TRUE,"INGENIERIA";#N/A,#N/A,TRUE,"COMPRAS";#N/A,#N/A,TRUE,"DIRECCION";#N/A,#N/A,TRUE,"RESUMEN"}</definedName>
    <definedName name="XXXXXX" localSheetId="28" hidden="1">{#N/A,#N/A,TRUE,"INGENIERIA";#N/A,#N/A,TRUE,"COMPRAS";#N/A,#N/A,TRUE,"DIRECCION";#N/A,#N/A,TRUE,"RESUMEN"}</definedName>
    <definedName name="XXXXXX" localSheetId="29" hidden="1">{#N/A,#N/A,TRUE,"INGENIERIA";#N/A,#N/A,TRUE,"COMPRAS";#N/A,#N/A,TRUE,"DIRECCION";#N/A,#N/A,TRUE,"RESUMEN"}</definedName>
    <definedName name="XXXXXX" localSheetId="12" hidden="1">{#N/A,#N/A,TRUE,"INGENIERIA";#N/A,#N/A,TRUE,"COMPRAS";#N/A,#N/A,TRUE,"DIRECCION";#N/A,#N/A,TRUE,"RESUMEN"}</definedName>
    <definedName name="XXXXXX" hidden="1">{#N/A,#N/A,TRUE,"INGENIERIA";#N/A,#N/A,TRUE,"COMPRAS";#N/A,#N/A,TRUE,"DIRECCION";#N/A,#N/A,TRUE,"RESUMEN"}</definedName>
    <definedName name="XXXXXXXXXX">#REF!</definedName>
    <definedName name="XXXXXXXXXXXX">#REF!</definedName>
    <definedName name="xyz" localSheetId="13" hidden="1">#REF!</definedName>
    <definedName name="xyz" localSheetId="17" hidden="1">#REF!</definedName>
    <definedName name="xyz" localSheetId="18" hidden="1">#REF!</definedName>
    <definedName name="xyz" localSheetId="12" hidden="1">#REF!</definedName>
    <definedName name="xyz" hidden="1">#REF!</definedName>
    <definedName name="xzczxczxc">#REF!</definedName>
    <definedName name="y">#REF!</definedName>
    <definedName name="Year">#REF!</definedName>
    <definedName name="years">[109]ASSUMPTIONS!$H$7:$AP$7</definedName>
    <definedName name="Yee4plg">#REF!</definedName>
    <definedName name="yesno">'[136]REF - Listas'!$B$26:$B$27</definedName>
    <definedName name="YESO">#REF!</definedName>
    <definedName name="yn">#REF!</definedName>
    <definedName name="YTD.ROM1_PercentFed">#REF!</definedName>
    <definedName name="YTD.ROM2_PercentFed">#REF!</definedName>
    <definedName name="YTD.ROM3_PercentFed">#REF!</definedName>
    <definedName name="YTD.ROM4_PercentFed">#REF!</definedName>
    <definedName name="YTD.ROM5_PercentFed">#REF!</definedName>
    <definedName name="YTD_Days">#REF!</definedName>
    <definedName name="yu">#REF!</definedName>
    <definedName name="yui">#REF!</definedName>
    <definedName name="yy">#REF!</definedName>
    <definedName name="YYY">#REF!</definedName>
    <definedName name="yyyyyy" localSheetId="20" hidden="1">#REF!</definedName>
    <definedName name="yyyyyy" localSheetId="21" hidden="1">#REF!</definedName>
    <definedName name="yyyyyy" localSheetId="9" hidden="1">#REF!</definedName>
    <definedName name="yyyyyy" localSheetId="19" hidden="1">#REF!</definedName>
    <definedName name="yyyyyy" localSheetId="13" hidden="1">[71]MI!#REF!</definedName>
    <definedName name="yyyyyy" localSheetId="17" hidden="1">[71]MI!#REF!</definedName>
    <definedName name="yyyyyy" localSheetId="18" hidden="1">[71]MI!#REF!</definedName>
    <definedName name="yyyyyy" localSheetId="12" hidden="1">[71]MI!#REF!</definedName>
    <definedName name="yyyyyy" hidden="1">#REF!</definedName>
    <definedName name="z">#REF!</definedName>
    <definedName name="Z_545E2CA8_6B28_42FC_B377_156C115D8DEE_.wvu.Cols" localSheetId="20" hidden="1">'CRONOGRAMA Y FLUJO (OXI)'!$BB:$BC</definedName>
    <definedName name="Z_545E2CA8_6B28_42FC_B377_156C115D8DEE_.wvu.Cols" localSheetId="21" hidden="1">'CRONOGRAMA Y FLUJO .'!$BB:$BC</definedName>
    <definedName name="Z_545E2CA8_6B28_42FC_B377_156C115D8DEE_.wvu.PrintArea" localSheetId="20" hidden="1">'CRONOGRAMA Y FLUJO (OXI)'!$A$4:$BC$57</definedName>
    <definedName name="Z_545E2CA8_6B28_42FC_B377_156C115D8DEE_.wvu.PrintArea" localSheetId="21" hidden="1">'CRONOGRAMA Y FLUJO .'!$A$4:$BC$53</definedName>
    <definedName name="zc">#REF!</definedName>
    <definedName name="zd">#REF!</definedName>
    <definedName name="zdr">#REF!</definedName>
    <definedName name="zx">#REF!</definedName>
    <definedName name="zz">#REF!</definedName>
    <definedName name="ZZZZZZZZZZZ">'[98]A. P. U.'!#REF!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 i="370" l="1"/>
  <c r="E33" i="370"/>
  <c r="F33" i="370"/>
  <c r="G33" i="370"/>
  <c r="H33" i="370"/>
  <c r="I33" i="370"/>
  <c r="B34" i="370"/>
  <c r="E34" i="370"/>
  <c r="F34" i="370"/>
  <c r="G34" i="370"/>
  <c r="H34" i="370"/>
  <c r="I34" i="370"/>
  <c r="J5" i="402"/>
  <c r="A1" i="414"/>
  <c r="G55" i="413"/>
  <c r="G50" i="413"/>
  <c r="G32" i="413"/>
  <c r="G23" i="413"/>
  <c r="G17" i="413"/>
  <c r="G6" i="413"/>
  <c r="G14" i="413" l="1"/>
  <c r="G38" i="413"/>
  <c r="G70" i="413" l="1"/>
  <c r="A1" i="213"/>
  <c r="A2" i="214"/>
  <c r="A1" i="212"/>
  <c r="E24" i="403"/>
  <c r="E18" i="403"/>
  <c r="F6" i="403"/>
  <c r="F33" i="374"/>
  <c r="F30" i="374"/>
  <c r="F28" i="374"/>
  <c r="D20" i="397"/>
  <c r="D19" i="397"/>
  <c r="D18" i="397"/>
  <c r="A2" i="397"/>
  <c r="B22" i="397"/>
  <c r="B20" i="397"/>
  <c r="B19" i="397"/>
  <c r="B18" i="397"/>
  <c r="B17" i="397"/>
  <c r="B12" i="397"/>
  <c r="G44" i="405"/>
  <c r="G43" i="405"/>
  <c r="G42" i="405"/>
  <c r="G41" i="405"/>
  <c r="G40" i="405"/>
  <c r="G39" i="405"/>
  <c r="D33" i="405"/>
  <c r="D32" i="405"/>
  <c r="A32" i="374"/>
  <c r="G53" i="374"/>
  <c r="G60" i="374"/>
  <c r="G59" i="374"/>
  <c r="G58" i="374"/>
  <c r="G57" i="374"/>
  <c r="G56" i="374"/>
  <c r="G52" i="374"/>
  <c r="G51" i="374"/>
  <c r="G50" i="374"/>
  <c r="G49" i="374"/>
  <c r="D47" i="374"/>
  <c r="G47" i="374" s="1"/>
  <c r="O45" i="411"/>
  <c r="P45" i="411" s="1"/>
  <c r="Q45" i="411" s="1"/>
  <c r="R45" i="411" s="1"/>
  <c r="S45" i="411" s="1"/>
  <c r="T45" i="411" s="1"/>
  <c r="U45" i="411" s="1"/>
  <c r="V45" i="411" s="1"/>
  <c r="W45" i="411" s="1"/>
  <c r="X45" i="411" s="1"/>
  <c r="B45" i="411" s="1"/>
  <c r="J14" i="411" s="1"/>
  <c r="O14" i="411" s="1"/>
  <c r="N45" i="411"/>
  <c r="M45" i="411"/>
  <c r="F45" i="411"/>
  <c r="U44" i="411"/>
  <c r="V44" i="411" s="1"/>
  <c r="W44" i="411" s="1"/>
  <c r="X44" i="411" s="1"/>
  <c r="B44" i="411" s="1"/>
  <c r="J15" i="411" s="1"/>
  <c r="O15" i="411" s="1"/>
  <c r="T44" i="411"/>
  <c r="S44" i="411"/>
  <c r="N43" i="411"/>
  <c r="O43" i="411" s="1"/>
  <c r="P43" i="411" s="1"/>
  <c r="Q43" i="411" s="1"/>
  <c r="R43" i="411" s="1"/>
  <c r="S43" i="411" s="1"/>
  <c r="T43" i="411" s="1"/>
  <c r="U43" i="411" s="1"/>
  <c r="V43" i="411" s="1"/>
  <c r="W43" i="411" s="1"/>
  <c r="X43" i="411" s="1"/>
  <c r="B43" i="411" s="1"/>
  <c r="M43" i="411"/>
  <c r="F43" i="411"/>
  <c r="O42" i="411"/>
  <c r="P42" i="411" s="1"/>
  <c r="Q42" i="411" s="1"/>
  <c r="R42" i="411" s="1"/>
  <c r="S42" i="411" s="1"/>
  <c r="T42" i="411" s="1"/>
  <c r="U42" i="411" s="1"/>
  <c r="V42" i="411" s="1"/>
  <c r="W42" i="411" s="1"/>
  <c r="X42" i="411" s="1"/>
  <c r="B42" i="411" s="1"/>
  <c r="J18" i="411" s="1"/>
  <c r="N42" i="411"/>
  <c r="M42" i="411"/>
  <c r="F42" i="411"/>
  <c r="M41" i="411"/>
  <c r="N41" i="411" s="1"/>
  <c r="O41" i="411" s="1"/>
  <c r="P41" i="411" s="1"/>
  <c r="Q41" i="411" s="1"/>
  <c r="R41" i="411" s="1"/>
  <c r="S41" i="411" s="1"/>
  <c r="T41" i="411" s="1"/>
  <c r="U41" i="411" s="1"/>
  <c r="V41" i="411" s="1"/>
  <c r="W41" i="411" s="1"/>
  <c r="X41" i="411" s="1"/>
  <c r="B41" i="411" s="1"/>
  <c r="F41" i="411"/>
  <c r="N40" i="411"/>
  <c r="O40" i="411" s="1"/>
  <c r="P40" i="411" s="1"/>
  <c r="Q40" i="411" s="1"/>
  <c r="R40" i="411" s="1"/>
  <c r="S40" i="411" s="1"/>
  <c r="T40" i="411" s="1"/>
  <c r="U40" i="411" s="1"/>
  <c r="V40" i="411" s="1"/>
  <c r="W40" i="411" s="1"/>
  <c r="X40" i="411" s="1"/>
  <c r="B40" i="411" s="1"/>
  <c r="M40" i="411"/>
  <c r="F40" i="411"/>
  <c r="Q39" i="411"/>
  <c r="R39" i="411" s="1"/>
  <c r="S39" i="411" s="1"/>
  <c r="T39" i="411" s="1"/>
  <c r="U39" i="411" s="1"/>
  <c r="V39" i="411" s="1"/>
  <c r="W39" i="411" s="1"/>
  <c r="X39" i="411" s="1"/>
  <c r="B39" i="411" s="1"/>
  <c r="J9" i="411" s="1"/>
  <c r="O9" i="411" s="1"/>
  <c r="N39" i="411"/>
  <c r="O39" i="411" s="1"/>
  <c r="P39" i="411" s="1"/>
  <c r="M39" i="411"/>
  <c r="F39" i="411"/>
  <c r="R38" i="411"/>
  <c r="S38" i="411" s="1"/>
  <c r="T38" i="411" s="1"/>
  <c r="U38" i="411" s="1"/>
  <c r="V38" i="411" s="1"/>
  <c r="W38" i="411" s="1"/>
  <c r="X38" i="411" s="1"/>
  <c r="B38" i="411" s="1"/>
  <c r="J10" i="411" s="1"/>
  <c r="O10" i="411" s="1"/>
  <c r="N37" i="411"/>
  <c r="O37" i="411" s="1"/>
  <c r="P37" i="411" s="1"/>
  <c r="Q37" i="411" s="1"/>
  <c r="R37" i="411" s="1"/>
  <c r="S37" i="411" s="1"/>
  <c r="T37" i="411" s="1"/>
  <c r="U37" i="411" s="1"/>
  <c r="V37" i="411" s="1"/>
  <c r="W37" i="411" s="1"/>
  <c r="X37" i="411" s="1"/>
  <c r="B37" i="411" s="1"/>
  <c r="M37" i="411"/>
  <c r="F37" i="411"/>
  <c r="M36" i="411"/>
  <c r="N36" i="411" s="1"/>
  <c r="O36" i="411" s="1"/>
  <c r="P36" i="411" s="1"/>
  <c r="Q36" i="411" s="1"/>
  <c r="R36" i="411" s="1"/>
  <c r="S36" i="411" s="1"/>
  <c r="T36" i="411" s="1"/>
  <c r="U36" i="411" s="1"/>
  <c r="V36" i="411" s="1"/>
  <c r="W36" i="411" s="1"/>
  <c r="X36" i="411" s="1"/>
  <c r="B36" i="411" s="1"/>
  <c r="F36" i="411"/>
  <c r="N35" i="411"/>
  <c r="O35" i="411" s="1"/>
  <c r="P35" i="411" s="1"/>
  <c r="Q35" i="411" s="1"/>
  <c r="R35" i="411" s="1"/>
  <c r="S35" i="411" s="1"/>
  <c r="T35" i="411" s="1"/>
  <c r="U35" i="411" s="1"/>
  <c r="V35" i="411" s="1"/>
  <c r="W35" i="411" s="1"/>
  <c r="X35" i="411" s="1"/>
  <c r="B35" i="411" s="1"/>
  <c r="M35" i="411"/>
  <c r="F35" i="411"/>
  <c r="N34" i="411"/>
  <c r="O34" i="411" s="1"/>
  <c r="P34" i="411" s="1"/>
  <c r="Q34" i="411" s="1"/>
  <c r="R34" i="411" s="1"/>
  <c r="S34" i="411" s="1"/>
  <c r="T34" i="411" s="1"/>
  <c r="U34" i="411" s="1"/>
  <c r="V34" i="411" s="1"/>
  <c r="W34" i="411" s="1"/>
  <c r="X34" i="411" s="1"/>
  <c r="B34" i="411" s="1"/>
  <c r="J4" i="411" s="1"/>
  <c r="O4" i="411" s="1"/>
  <c r="M34" i="411"/>
  <c r="F34" i="411"/>
  <c r="N33" i="411"/>
  <c r="O33" i="411" s="1"/>
  <c r="P33" i="411" s="1"/>
  <c r="Q33" i="411" s="1"/>
  <c r="R33" i="411" s="1"/>
  <c r="S33" i="411" s="1"/>
  <c r="T33" i="411" s="1"/>
  <c r="U33" i="411" s="1"/>
  <c r="V33" i="411" s="1"/>
  <c r="W33" i="411" s="1"/>
  <c r="X33" i="411" s="1"/>
  <c r="B33" i="411" s="1"/>
  <c r="J7" i="411" s="1"/>
  <c r="O7" i="411" s="1"/>
  <c r="M33" i="411"/>
  <c r="F33" i="411"/>
  <c r="M32" i="411"/>
  <c r="N32" i="411" s="1"/>
  <c r="O32" i="411" s="1"/>
  <c r="P32" i="411" s="1"/>
  <c r="Q32" i="411" s="1"/>
  <c r="R32" i="411" s="1"/>
  <c r="S32" i="411" s="1"/>
  <c r="T32" i="411" s="1"/>
  <c r="U32" i="411" s="1"/>
  <c r="V32" i="411" s="1"/>
  <c r="W32" i="411" s="1"/>
  <c r="X32" i="411" s="1"/>
  <c r="B32" i="411" s="1"/>
  <c r="J3" i="411" s="1"/>
  <c r="O3" i="411" s="1"/>
  <c r="F32" i="411"/>
  <c r="V31" i="411"/>
  <c r="W31" i="411" s="1"/>
  <c r="X31" i="411" s="1"/>
  <c r="B31" i="411" s="1"/>
  <c r="N31" i="411"/>
  <c r="O31" i="411" s="1"/>
  <c r="P31" i="411" s="1"/>
  <c r="Q31" i="411" s="1"/>
  <c r="R31" i="411" s="1"/>
  <c r="S31" i="411" s="1"/>
  <c r="T31" i="411" s="1"/>
  <c r="U31" i="411" s="1"/>
  <c r="M31" i="411"/>
  <c r="F31" i="411"/>
  <c r="T30" i="411"/>
  <c r="U30" i="411" s="1"/>
  <c r="V30" i="411" s="1"/>
  <c r="W30" i="411" s="1"/>
  <c r="X30" i="411" s="1"/>
  <c r="B30" i="411" s="1"/>
  <c r="N30" i="411"/>
  <c r="O30" i="411" s="1"/>
  <c r="P30" i="411" s="1"/>
  <c r="Q30" i="411" s="1"/>
  <c r="R30" i="411" s="1"/>
  <c r="S30" i="411" s="1"/>
  <c r="M30" i="411"/>
  <c r="F30" i="411"/>
  <c r="R29" i="411"/>
  <c r="S29" i="411" s="1"/>
  <c r="T29" i="411" s="1"/>
  <c r="U29" i="411" s="1"/>
  <c r="V29" i="411" s="1"/>
  <c r="W29" i="411" s="1"/>
  <c r="X29" i="411" s="1"/>
  <c r="B29" i="411" s="1"/>
  <c r="J8" i="411" s="1"/>
  <c r="O8" i="411" s="1"/>
  <c r="N29" i="411"/>
  <c r="O29" i="411" s="1"/>
  <c r="P29" i="411" s="1"/>
  <c r="Q29" i="411" s="1"/>
  <c r="M29" i="411"/>
  <c r="F29" i="411"/>
  <c r="M28" i="411"/>
  <c r="N28" i="411" s="1"/>
  <c r="O28" i="411" s="1"/>
  <c r="P28" i="411" s="1"/>
  <c r="Q28" i="411" s="1"/>
  <c r="R28" i="411" s="1"/>
  <c r="S28" i="411" s="1"/>
  <c r="T28" i="411" s="1"/>
  <c r="U28" i="411" s="1"/>
  <c r="V28" i="411" s="1"/>
  <c r="W28" i="411" s="1"/>
  <c r="X28" i="411" s="1"/>
  <c r="B28" i="411" s="1"/>
  <c r="J2" i="411" s="1"/>
  <c r="O2" i="411" s="1"/>
  <c r="F28" i="411"/>
  <c r="V27" i="411"/>
  <c r="W27" i="411" s="1"/>
  <c r="X27" i="411" s="1"/>
  <c r="B27" i="411" s="1"/>
  <c r="N27" i="411"/>
  <c r="O27" i="411" s="1"/>
  <c r="P27" i="411" s="1"/>
  <c r="Q27" i="411" s="1"/>
  <c r="R27" i="411" s="1"/>
  <c r="S27" i="411" s="1"/>
  <c r="T27" i="411" s="1"/>
  <c r="U27" i="411" s="1"/>
  <c r="M27" i="411"/>
  <c r="F27" i="411"/>
  <c r="T26" i="411"/>
  <c r="U26" i="411" s="1"/>
  <c r="V26" i="411" s="1"/>
  <c r="W26" i="411" s="1"/>
  <c r="X26" i="411" s="1"/>
  <c r="B26" i="411" s="1"/>
  <c r="J5" i="411" s="1"/>
  <c r="O5" i="411" s="1"/>
  <c r="N26" i="411"/>
  <c r="O26" i="411" s="1"/>
  <c r="P26" i="411" s="1"/>
  <c r="Q26" i="411" s="1"/>
  <c r="R26" i="411" s="1"/>
  <c r="S26" i="411" s="1"/>
  <c r="M26" i="411"/>
  <c r="F26" i="411"/>
  <c r="O18" i="411"/>
  <c r="J6" i="411"/>
  <c r="O6" i="411" s="1"/>
  <c r="D29" i="374"/>
  <c r="G29" i="374" s="1"/>
  <c r="A5" i="374"/>
  <c r="G6" i="398"/>
  <c r="K6" i="398" s="1"/>
  <c r="G5" i="398"/>
  <c r="G4" i="342"/>
  <c r="G4" i="270"/>
  <c r="B3" i="270"/>
  <c r="B35" i="298"/>
  <c r="A35" i="298"/>
  <c r="B32" i="298"/>
  <c r="A32" i="298"/>
  <c r="B30" i="298"/>
  <c r="A30" i="298"/>
  <c r="B19" i="298"/>
  <c r="A19" i="298"/>
  <c r="B5" i="298"/>
  <c r="A5" i="298"/>
  <c r="A1" i="298"/>
  <c r="A1" i="370"/>
  <c r="A1" i="310"/>
  <c r="B35" i="370"/>
  <c r="A35" i="370"/>
  <c r="A32" i="370"/>
  <c r="B30" i="370"/>
  <c r="A30" i="370"/>
  <c r="B19" i="370"/>
  <c r="A19" i="370"/>
  <c r="B5" i="370"/>
  <c r="A5" i="370"/>
  <c r="B35" i="310"/>
  <c r="A35" i="310"/>
  <c r="B32" i="310"/>
  <c r="A32" i="310"/>
  <c r="B30" i="310"/>
  <c r="A30" i="310"/>
  <c r="A19" i="310"/>
  <c r="B19" i="310"/>
  <c r="B5" i="310"/>
  <c r="A5" i="310"/>
  <c r="B17" i="391"/>
  <c r="B14" i="391"/>
  <c r="G4" i="279"/>
  <c r="B3" i="279"/>
  <c r="B4" i="279"/>
  <c r="G4" i="278"/>
  <c r="B3" i="278"/>
  <c r="G4" i="400"/>
  <c r="B3" i="400"/>
  <c r="B3" i="261"/>
  <c r="G4" i="261"/>
  <c r="B3" i="276"/>
  <c r="G4" i="276"/>
  <c r="G4" i="392"/>
  <c r="B3" i="392"/>
  <c r="G4" i="274"/>
  <c r="B4" i="274"/>
  <c r="B3" i="274"/>
  <c r="G4" i="273"/>
  <c r="B3" i="273"/>
  <c r="G4" i="272"/>
  <c r="B3" i="272"/>
  <c r="G4" i="121"/>
  <c r="B3" i="121"/>
  <c r="F4" i="197"/>
  <c r="B4" i="197"/>
  <c r="A1" i="197"/>
  <c r="M4" i="398"/>
  <c r="M3" i="398"/>
  <c r="L4" i="398"/>
  <c r="L3" i="398"/>
  <c r="K4" i="398"/>
  <c r="K5" i="398"/>
  <c r="K3" i="398"/>
  <c r="G4" i="398"/>
  <c r="H7" i="403"/>
  <c r="H8" i="403"/>
  <c r="H9" i="403"/>
  <c r="H10" i="403"/>
  <c r="G7" i="403"/>
  <c r="G8" i="403"/>
  <c r="G9" i="403"/>
  <c r="G10" i="403"/>
  <c r="G11" i="403"/>
  <c r="G6" i="403"/>
  <c r="H6" i="403" s="1"/>
  <c r="F36" i="403"/>
  <c r="F35" i="403"/>
  <c r="F34" i="403"/>
  <c r="F32" i="403"/>
  <c r="F31" i="403"/>
  <c r="F30" i="403"/>
  <c r="D21" i="403"/>
  <c r="D19" i="403"/>
  <c r="F19" i="403" s="1"/>
  <c r="F11" i="403"/>
  <c r="F10" i="403"/>
  <c r="F9" i="403"/>
  <c r="F8" i="403"/>
  <c r="F7" i="403"/>
  <c r="B14" i="361"/>
  <c r="C14" i="361"/>
  <c r="E14" i="361"/>
  <c r="D13" i="361"/>
  <c r="B13" i="361"/>
  <c r="C13" i="361"/>
  <c r="E13" i="361"/>
  <c r="D11" i="361"/>
  <c r="B19" i="362"/>
  <c r="C19" i="362"/>
  <c r="E19" i="362"/>
  <c r="B12" i="383"/>
  <c r="C12" i="383"/>
  <c r="E12" i="383"/>
  <c r="B12" i="360"/>
  <c r="C12" i="360"/>
  <c r="E12" i="360"/>
  <c r="D12" i="389"/>
  <c r="D18" i="388"/>
  <c r="B18" i="388"/>
  <c r="C18" i="388"/>
  <c r="E18" i="388"/>
  <c r="D20" i="388"/>
  <c r="D11" i="389"/>
  <c r="E397" i="213"/>
  <c r="H396" i="213"/>
  <c r="F396" i="213"/>
  <c r="F19" i="362" s="1"/>
  <c r="G19" i="362" s="1"/>
  <c r="D17" i="388"/>
  <c r="G4" i="262"/>
  <c r="D29" i="298"/>
  <c r="D29" i="370"/>
  <c r="D29" i="310"/>
  <c r="G38" i="405" l="1"/>
  <c r="J13" i="411"/>
  <c r="O13" i="411" s="1"/>
  <c r="J20" i="411"/>
  <c r="O20" i="411" s="1"/>
  <c r="J19" i="411"/>
  <c r="O19" i="411" s="1"/>
  <c r="J12" i="411"/>
  <c r="O12" i="411" s="1"/>
  <c r="J21" i="411"/>
  <c r="O21" i="411" s="1"/>
  <c r="J17" i="411"/>
  <c r="O17" i="411" s="1"/>
  <c r="J16" i="411"/>
  <c r="O16" i="411" s="1"/>
  <c r="J11" i="411"/>
  <c r="O11" i="411" s="1"/>
  <c r="P1" i="411" s="1"/>
  <c r="O1" i="411" s="1"/>
  <c r="D44" i="374" s="1"/>
  <c r="F14" i="361"/>
  <c r="G14" i="361" s="1"/>
  <c r="D26" i="298" l="1"/>
  <c r="D26" i="370"/>
  <c r="D26" i="310"/>
  <c r="D27" i="310"/>
  <c r="B35" i="331" l="1"/>
  <c r="F35" i="331"/>
  <c r="D22" i="268"/>
  <c r="B23" i="268"/>
  <c r="F23" i="268"/>
  <c r="M18" i="268"/>
  <c r="M16" i="268"/>
  <c r="M17" i="268"/>
  <c r="M15" i="268"/>
  <c r="B19" i="358"/>
  <c r="C19" i="358"/>
  <c r="E19" i="358"/>
  <c r="D19" i="358"/>
  <c r="D9" i="345"/>
  <c r="B20" i="354" l="1"/>
  <c r="C20" i="354"/>
  <c r="D18" i="354"/>
  <c r="D21" i="354" s="1"/>
  <c r="D17" i="354"/>
  <c r="D20" i="354" s="1"/>
  <c r="E20" i="354" s="1"/>
  <c r="D15" i="342"/>
  <c r="D14" i="342"/>
  <c r="D13" i="342"/>
  <c r="D12" i="342"/>
  <c r="D17" i="353"/>
  <c r="D19" i="353"/>
  <c r="B19" i="353"/>
  <c r="C19" i="353"/>
  <c r="E19" i="353"/>
  <c r="B12" i="352"/>
  <c r="C12" i="352"/>
  <c r="E12" i="352"/>
  <c r="F395" i="213"/>
  <c r="H395" i="213"/>
  <c r="E15" i="279"/>
  <c r="H16" i="391"/>
  <c r="B4" i="278"/>
  <c r="D16" i="214"/>
  <c r="D8" i="378"/>
  <c r="D7" i="378"/>
  <c r="F27" i="276"/>
  <c r="F13" i="276"/>
  <c r="B4" i="276"/>
  <c r="F29" i="392"/>
  <c r="F15" i="392"/>
  <c r="F29" i="274"/>
  <c r="F28" i="274"/>
  <c r="F14" i="274"/>
  <c r="B4" i="273"/>
  <c r="F32" i="272"/>
  <c r="F30" i="121"/>
  <c r="D15" i="234"/>
  <c r="F12" i="352" l="1"/>
  <c r="G12" i="352" s="1"/>
  <c r="F12" i="383"/>
  <c r="G12" i="383" s="1"/>
  <c r="F12" i="360"/>
  <c r="G12" i="360" s="1"/>
  <c r="E17" i="197"/>
  <c r="F30" i="405" l="1"/>
  <c r="F36" i="405" s="1"/>
  <c r="F37" i="405" s="1"/>
  <c r="E14" i="374"/>
  <c r="G70" i="409" l="1"/>
  <c r="C22" i="410"/>
  <c r="F67" i="409"/>
  <c r="F66" i="409"/>
  <c r="F62" i="409"/>
  <c r="F58" i="409"/>
  <c r="F57" i="409"/>
  <c r="G55" i="409" s="1"/>
  <c r="F54" i="409"/>
  <c r="F53" i="409"/>
  <c r="G50" i="409" s="1"/>
  <c r="F52" i="409"/>
  <c r="F51" i="409"/>
  <c r="F49" i="409"/>
  <c r="F48" i="409"/>
  <c r="F46" i="409"/>
  <c r="F45" i="409"/>
  <c r="F44" i="409"/>
  <c r="F42" i="409"/>
  <c r="F41" i="409"/>
  <c r="F40" i="409"/>
  <c r="G38" i="409" s="1"/>
  <c r="F37" i="409"/>
  <c r="F36" i="409"/>
  <c r="F35" i="409"/>
  <c r="F34" i="409"/>
  <c r="G32" i="409" s="1"/>
  <c r="F33" i="409"/>
  <c r="F31" i="409"/>
  <c r="F30" i="409"/>
  <c r="F29" i="409"/>
  <c r="F28" i="409"/>
  <c r="E28" i="409"/>
  <c r="F27" i="409"/>
  <c r="F26" i="409"/>
  <c r="F25" i="409"/>
  <c r="F24" i="409"/>
  <c r="G23" i="409" s="1"/>
  <c r="F22" i="409"/>
  <c r="F21" i="409"/>
  <c r="F20" i="409"/>
  <c r="F19" i="409"/>
  <c r="F18" i="409"/>
  <c r="G17" i="409"/>
  <c r="F16" i="409"/>
  <c r="E16" i="409"/>
  <c r="E15" i="409"/>
  <c r="F15" i="409" s="1"/>
  <c r="G14" i="409" s="1"/>
  <c r="F13" i="409"/>
  <c r="E11" i="409"/>
  <c r="F11" i="409" s="1"/>
  <c r="F10" i="409"/>
  <c r="F9" i="409"/>
  <c r="F8" i="409"/>
  <c r="F7" i="409"/>
  <c r="G6" i="409" l="1"/>
  <c r="D5" i="404" l="1"/>
  <c r="D10" i="405"/>
  <c r="D33" i="214" l="1"/>
  <c r="D34" i="214"/>
  <c r="D28" i="214"/>
  <c r="D27" i="214"/>
  <c r="D14" i="214"/>
  <c r="A1" i="403" l="1"/>
  <c r="P29" i="408"/>
  <c r="A1" i="404"/>
  <c r="Q52" i="408"/>
  <c r="D27" i="408"/>
  <c r="D21" i="408"/>
  <c r="D15" i="408"/>
  <c r="D32" i="402"/>
  <c r="D24" i="402" l="1"/>
  <c r="D16" i="402"/>
  <c r="Q56" i="402" s="1"/>
  <c r="B3" i="262"/>
  <c r="B4" i="262"/>
  <c r="B34" i="298"/>
  <c r="H21" i="310" l="1"/>
  <c r="N30" i="408"/>
  <c r="B22" i="262"/>
  <c r="C22" i="262"/>
  <c r="E22" i="262"/>
  <c r="B23" i="262"/>
  <c r="C23" i="262"/>
  <c r="E23" i="262"/>
  <c r="H389" i="213"/>
  <c r="H390" i="213"/>
  <c r="F390" i="213" s="1"/>
  <c r="H391" i="213"/>
  <c r="F391" i="213" s="1"/>
  <c r="H392" i="213"/>
  <c r="F392" i="213" s="1"/>
  <c r="H393" i="213"/>
  <c r="F393" i="213" s="1"/>
  <c r="H394" i="213"/>
  <c r="Q29" i="408" l="1"/>
  <c r="P30" i="408"/>
  <c r="F389" i="213"/>
  <c r="B9" i="262" l="1"/>
  <c r="C9" i="262"/>
  <c r="E9" i="262"/>
  <c r="B10" i="262"/>
  <c r="C10" i="262"/>
  <c r="E10" i="262"/>
  <c r="B11" i="262"/>
  <c r="C11" i="262"/>
  <c r="E11" i="262"/>
  <c r="B12" i="262"/>
  <c r="C12" i="262"/>
  <c r="E12" i="262"/>
  <c r="B13" i="262"/>
  <c r="C13" i="262"/>
  <c r="E13" i="262"/>
  <c r="B14" i="262"/>
  <c r="C14" i="262"/>
  <c r="E14" i="262"/>
  <c r="B15" i="262"/>
  <c r="C15" i="262"/>
  <c r="E15" i="262"/>
  <c r="B16" i="262"/>
  <c r="C16" i="262"/>
  <c r="E16" i="262"/>
  <c r="B17" i="262"/>
  <c r="C17" i="262"/>
  <c r="E17" i="262"/>
  <c r="B18" i="262"/>
  <c r="C18" i="262"/>
  <c r="E18" i="262"/>
  <c r="B19" i="262"/>
  <c r="C19" i="262"/>
  <c r="E19" i="262"/>
  <c r="B20" i="262"/>
  <c r="C20" i="262"/>
  <c r="E20" i="262"/>
  <c r="B21" i="262"/>
  <c r="C21" i="262"/>
  <c r="E21" i="262"/>
  <c r="J36" i="408" l="1"/>
  <c r="J35" i="408"/>
  <c r="D28" i="408"/>
  <c r="D25" i="408"/>
  <c r="D22" i="408"/>
  <c r="D19" i="408"/>
  <c r="D16" i="408"/>
  <c r="D13" i="408"/>
  <c r="E6" i="408"/>
  <c r="A1" i="405"/>
  <c r="A1" i="410" s="1"/>
  <c r="D15" i="405"/>
  <c r="D14" i="405"/>
  <c r="D11" i="405"/>
  <c r="D21" i="405"/>
  <c r="C21" i="405"/>
  <c r="C15" i="405"/>
  <c r="C14" i="405"/>
  <c r="C12" i="405"/>
  <c r="C11" i="405"/>
  <c r="C10" i="405"/>
  <c r="C9" i="405"/>
  <c r="C8" i="405"/>
  <c r="A39" i="397"/>
  <c r="A32" i="397"/>
  <c r="A33" i="397"/>
  <c r="A34" i="397"/>
  <c r="A35" i="397"/>
  <c r="A36" i="397"/>
  <c r="A37" i="397"/>
  <c r="A38" i="397"/>
  <c r="A31" i="397"/>
  <c r="BA36" i="407"/>
  <c r="H36" i="407"/>
  <c r="G36" i="407"/>
  <c r="F36" i="407"/>
  <c r="A35" i="407"/>
  <c r="A34" i="407"/>
  <c r="A33" i="407"/>
  <c r="A32" i="407"/>
  <c r="A31" i="407"/>
  <c r="B22" i="407"/>
  <c r="D20" i="407"/>
  <c r="B20" i="407"/>
  <c r="D19" i="407"/>
  <c r="B19" i="407"/>
  <c r="D18" i="407"/>
  <c r="B18" i="407"/>
  <c r="B17" i="407"/>
  <c r="B12" i="407"/>
  <c r="D10" i="407"/>
  <c r="D9" i="407"/>
  <c r="A2" i="407"/>
  <c r="J36" i="405"/>
  <c r="D17" i="378" l="1"/>
  <c r="D16" i="378"/>
  <c r="D15" i="378"/>
  <c r="D14" i="378"/>
  <c r="E355" i="213"/>
  <c r="E356" i="213"/>
  <c r="E362" i="213"/>
  <c r="E363" i="213"/>
  <c r="D11" i="378"/>
  <c r="E7" i="378"/>
  <c r="C8" i="378"/>
  <c r="C74" i="238" l="1"/>
  <c r="H379" i="213"/>
  <c r="H378" i="213"/>
  <c r="H377" i="213"/>
  <c r="H334" i="213"/>
  <c r="H335" i="213"/>
  <c r="H336" i="213"/>
  <c r="H337" i="213"/>
  <c r="H338" i="213"/>
  <c r="H339" i="213"/>
  <c r="H340" i="213"/>
  <c r="H341" i="213"/>
  <c r="F341" i="213" s="1"/>
  <c r="H342" i="213"/>
  <c r="H343" i="213"/>
  <c r="H374" i="213"/>
  <c r="H375" i="213"/>
  <c r="H376" i="213"/>
  <c r="F334" i="213" l="1"/>
  <c r="F335" i="213"/>
  <c r="F9" i="279" l="1"/>
  <c r="F9" i="262"/>
  <c r="G9" i="262" s="1"/>
  <c r="A37" i="405" a="1"/>
  <c r="A37" i="405" s="1"/>
  <c r="G37" i="405" s="1"/>
  <c r="G36" i="405"/>
  <c r="F34" i="405"/>
  <c r="G34" i="405" s="1"/>
  <c r="F33" i="405"/>
  <c r="G33" i="405" s="1"/>
  <c r="G30" i="405"/>
  <c r="G29" i="405" s="1"/>
  <c r="G22" i="405"/>
  <c r="G17" i="405"/>
  <c r="G16" i="405"/>
  <c r="A15" i="405" a="1"/>
  <c r="A15" i="405" s="1"/>
  <c r="A14" i="405" a="1"/>
  <c r="A14" i="405" s="1"/>
  <c r="F12" i="405"/>
  <c r="D12" i="405"/>
  <c r="A12" i="405" a="1"/>
  <c r="A12" i="405" s="1"/>
  <c r="A11" i="405" a="1"/>
  <c r="A11" i="405" s="1"/>
  <c r="A10" i="405" a="1"/>
  <c r="A10" i="405" s="1"/>
  <c r="D9" i="405"/>
  <c r="A9" i="405" a="1"/>
  <c r="A9" i="405" s="1"/>
  <c r="D8" i="405"/>
  <c r="D6" i="404"/>
  <c r="F6" i="404" s="1"/>
  <c r="H13" i="403"/>
  <c r="C11" i="403"/>
  <c r="H11" i="403" s="1"/>
  <c r="T41" i="402"/>
  <c r="D33" i="402"/>
  <c r="D30" i="402"/>
  <c r="D25" i="402"/>
  <c r="D22" i="402"/>
  <c r="D17" i="402"/>
  <c r="Q57" i="402" s="1"/>
  <c r="D14" i="402"/>
  <c r="Q58" i="402" l="1"/>
  <c r="Q55" i="402"/>
  <c r="E38" i="397"/>
  <c r="P47" i="408"/>
  <c r="G15" i="405"/>
  <c r="G11" i="405"/>
  <c r="G12" i="405"/>
  <c r="G35" i="405"/>
  <c r="E34" i="407"/>
  <c r="G14" i="405"/>
  <c r="G32" i="405"/>
  <c r="G31" i="405" s="1"/>
  <c r="G21" i="405"/>
  <c r="G20" i="405" s="1"/>
  <c r="G23" i="405" s="1"/>
  <c r="G10" i="405"/>
  <c r="G9" i="405"/>
  <c r="G8" i="405"/>
  <c r="F5" i="404"/>
  <c r="E21" i="403"/>
  <c r="F18" i="403"/>
  <c r="G45" i="405" l="1"/>
  <c r="AO34" i="407"/>
  <c r="AR34" i="407"/>
  <c r="AQ34" i="407"/>
  <c r="AP34" i="407"/>
  <c r="AV34" i="407"/>
  <c r="AS34" i="407"/>
  <c r="AT34" i="407"/>
  <c r="AU34" i="407"/>
  <c r="G13" i="405"/>
  <c r="G7" i="405"/>
  <c r="G18" i="405" s="1"/>
  <c r="G24" i="405" s="1"/>
  <c r="H12" i="403"/>
  <c r="H14" i="403" s="1"/>
  <c r="C41" i="403" s="1"/>
  <c r="F7" i="404"/>
  <c r="F8" i="404" s="1"/>
  <c r="E25" i="403"/>
  <c r="F24" i="403"/>
  <c r="F22" i="403"/>
  <c r="F21" i="403"/>
  <c r="G46" i="405" l="1"/>
  <c r="G48" i="405" s="1"/>
  <c r="BB34" i="407"/>
  <c r="BC34" i="407" s="1"/>
  <c r="P43" i="408"/>
  <c r="E34" i="397"/>
  <c r="E26" i="403"/>
  <c r="F25" i="403"/>
  <c r="G49" i="405" l="1"/>
  <c r="G50" i="405" s="1"/>
  <c r="J34" i="397"/>
  <c r="R34" i="397"/>
  <c r="Z34" i="397"/>
  <c r="AH34" i="397"/>
  <c r="AP34" i="397"/>
  <c r="AX34" i="397"/>
  <c r="AY34" i="397"/>
  <c r="L34" i="397"/>
  <c r="T34" i="397"/>
  <c r="AB34" i="397"/>
  <c r="AJ34" i="397"/>
  <c r="AR34" i="397"/>
  <c r="AZ34" i="397"/>
  <c r="Q34" i="397"/>
  <c r="Y34" i="397"/>
  <c r="AG34" i="397"/>
  <c r="AO34" i="397"/>
  <c r="AW34" i="397"/>
  <c r="M34" i="397"/>
  <c r="U34" i="397"/>
  <c r="AC34" i="397"/>
  <c r="AK34" i="397"/>
  <c r="AS34" i="397"/>
  <c r="BA34" i="397"/>
  <c r="K34" i="397"/>
  <c r="S34" i="397"/>
  <c r="AA34" i="397"/>
  <c r="AI34" i="397"/>
  <c r="N34" i="397"/>
  <c r="V34" i="397"/>
  <c r="AD34" i="397"/>
  <c r="AL34" i="397"/>
  <c r="AT34" i="397"/>
  <c r="I34" i="397"/>
  <c r="O34" i="397"/>
  <c r="W34" i="397"/>
  <c r="AE34" i="397"/>
  <c r="AM34" i="397"/>
  <c r="AU34" i="397"/>
  <c r="P34" i="397"/>
  <c r="X34" i="397"/>
  <c r="AF34" i="397"/>
  <c r="AN34" i="397"/>
  <c r="AV34" i="397"/>
  <c r="AQ34" i="397"/>
  <c r="E27" i="403"/>
  <c r="F27" i="403" s="1"/>
  <c r="F26" i="403"/>
  <c r="P45" i="402" l="1"/>
  <c r="L43" i="405"/>
  <c r="F37" i="403"/>
  <c r="C42" i="403" s="1"/>
  <c r="C43" i="403" s="1"/>
  <c r="BB34" i="397"/>
  <c r="BC34" i="397" s="1"/>
  <c r="P40" i="408"/>
  <c r="C44" i="403" l="1"/>
  <c r="G52" i="245"/>
  <c r="E52" i="245"/>
  <c r="G50" i="245"/>
  <c r="G49" i="245"/>
  <c r="G48" i="245"/>
  <c r="E50" i="245"/>
  <c r="E49" i="245"/>
  <c r="E48" i="245"/>
  <c r="C45" i="403" l="1"/>
  <c r="C46" i="403" s="1"/>
  <c r="M33" i="403" l="1"/>
  <c r="E33" i="407"/>
  <c r="C23" i="238"/>
  <c r="H22" i="238"/>
  <c r="P42" i="408" l="1"/>
  <c r="E33" i="397"/>
  <c r="AE33" i="407"/>
  <c r="AJ33" i="407"/>
  <c r="K33" i="407"/>
  <c r="V33" i="407"/>
  <c r="AU33" i="407"/>
  <c r="AB33" i="407"/>
  <c r="AO33" i="407"/>
  <c r="N33" i="407"/>
  <c r="Z33" i="407"/>
  <c r="O33" i="407"/>
  <c r="AM33" i="407"/>
  <c r="S33" i="407"/>
  <c r="AS33" i="407"/>
  <c r="T33" i="407"/>
  <c r="AG33" i="407"/>
  <c r="AF33" i="407"/>
  <c r="R33" i="407"/>
  <c r="AV33" i="407"/>
  <c r="Y33" i="407"/>
  <c r="AD33" i="407"/>
  <c r="AK33" i="407"/>
  <c r="L33" i="407"/>
  <c r="AN33" i="407"/>
  <c r="X33" i="407"/>
  <c r="AC33" i="407"/>
  <c r="AQ33" i="407"/>
  <c r="Q33" i="407"/>
  <c r="AH33" i="407"/>
  <c r="AA33" i="407"/>
  <c r="AP33" i="407"/>
  <c r="U33" i="407"/>
  <c r="AI33" i="407"/>
  <c r="AT33" i="407"/>
  <c r="P33" i="407"/>
  <c r="W33" i="407"/>
  <c r="M33" i="407"/>
  <c r="AL33" i="407"/>
  <c r="AR33" i="407"/>
  <c r="E36" i="397"/>
  <c r="P45" i="408"/>
  <c r="B18" i="270"/>
  <c r="B19" i="270"/>
  <c r="B20" i="270"/>
  <c r="C18" i="270"/>
  <c r="E18" i="270"/>
  <c r="C19" i="270"/>
  <c r="E19" i="270"/>
  <c r="C20" i="270"/>
  <c r="E20" i="270"/>
  <c r="H388" i="213"/>
  <c r="F388" i="213" s="1"/>
  <c r="H387" i="213"/>
  <c r="F387" i="213" s="1"/>
  <c r="H51" i="213"/>
  <c r="H92" i="213"/>
  <c r="H93" i="213"/>
  <c r="AC33" i="397" l="1"/>
  <c r="K33" i="397"/>
  <c r="AE33" i="397"/>
  <c r="I33" i="397"/>
  <c r="Z33" i="397"/>
  <c r="AS33" i="397"/>
  <c r="S33" i="397"/>
  <c r="Q33" i="397"/>
  <c r="AH33" i="397"/>
  <c r="L33" i="397"/>
  <c r="BA33" i="397"/>
  <c r="AA33" i="397"/>
  <c r="AU33" i="397"/>
  <c r="Y33" i="397"/>
  <c r="AP33" i="397"/>
  <c r="T33" i="397"/>
  <c r="AI33" i="397"/>
  <c r="P33" i="397"/>
  <c r="AB33" i="397"/>
  <c r="AQ33" i="397"/>
  <c r="AO33" i="397"/>
  <c r="AD33" i="397"/>
  <c r="AW33" i="397"/>
  <c r="AL33" i="397"/>
  <c r="AK33" i="397"/>
  <c r="AT33" i="397"/>
  <c r="R33" i="397"/>
  <c r="AM33" i="397"/>
  <c r="N33" i="397"/>
  <c r="AG33" i="397"/>
  <c r="V33" i="397"/>
  <c r="X33" i="397"/>
  <c r="M33" i="397"/>
  <c r="AY33" i="397"/>
  <c r="AF33" i="397"/>
  <c r="AR33" i="397"/>
  <c r="AN33" i="397"/>
  <c r="AV33" i="397"/>
  <c r="AX33" i="397"/>
  <c r="AJ33" i="397"/>
  <c r="U33" i="397"/>
  <c r="O33" i="397"/>
  <c r="J33" i="397"/>
  <c r="AZ33" i="397"/>
  <c r="W33" i="397"/>
  <c r="BB33" i="407"/>
  <c r="BC33" i="407" s="1"/>
  <c r="R36" i="397"/>
  <c r="Z36" i="397"/>
  <c r="AH36" i="397"/>
  <c r="AP36" i="397"/>
  <c r="S36" i="397"/>
  <c r="L36" i="397"/>
  <c r="T36" i="397"/>
  <c r="AB36" i="397"/>
  <c r="AJ36" i="397"/>
  <c r="AR36" i="397"/>
  <c r="Y36" i="397"/>
  <c r="AG36" i="397"/>
  <c r="AO36" i="397"/>
  <c r="K36" i="397"/>
  <c r="M36" i="397"/>
  <c r="U36" i="397"/>
  <c r="AC36" i="397"/>
  <c r="AK36" i="397"/>
  <c r="AS36" i="397"/>
  <c r="AA36" i="397"/>
  <c r="AI36" i="397"/>
  <c r="AQ36" i="397"/>
  <c r="N36" i="397"/>
  <c r="V36" i="397"/>
  <c r="AD36" i="397"/>
  <c r="AL36" i="397"/>
  <c r="AT36" i="397"/>
  <c r="O36" i="397"/>
  <c r="W36" i="397"/>
  <c r="AE36" i="397"/>
  <c r="AM36" i="397"/>
  <c r="AU36" i="397"/>
  <c r="P36" i="397"/>
  <c r="X36" i="397"/>
  <c r="AF36" i="397"/>
  <c r="AN36" i="397"/>
  <c r="AV36" i="397"/>
  <c r="Q36" i="397"/>
  <c r="B14" i="270"/>
  <c r="C14" i="270"/>
  <c r="E14" i="270"/>
  <c r="F33" i="400"/>
  <c r="B19" i="400"/>
  <c r="C19" i="400"/>
  <c r="D19" i="400"/>
  <c r="G19" i="400" s="1"/>
  <c r="B12" i="400"/>
  <c r="H384" i="213"/>
  <c r="F384" i="213" s="1"/>
  <c r="H386" i="213"/>
  <c r="F386" i="213" s="1"/>
  <c r="B4" i="400"/>
  <c r="B33" i="400"/>
  <c r="B32" i="400"/>
  <c r="F26" i="400"/>
  <c r="D18" i="400"/>
  <c r="G18" i="400" s="1"/>
  <c r="C18" i="400"/>
  <c r="B18" i="400"/>
  <c r="C12" i="400"/>
  <c r="E11" i="400"/>
  <c r="C11" i="400"/>
  <c r="B11" i="400"/>
  <c r="E10" i="400"/>
  <c r="C10" i="400"/>
  <c r="B10" i="400"/>
  <c r="E9" i="400"/>
  <c r="C9" i="400"/>
  <c r="B9" i="400"/>
  <c r="E8" i="400"/>
  <c r="C8" i="400"/>
  <c r="B8" i="400"/>
  <c r="B4" i="261"/>
  <c r="F28" i="276"/>
  <c r="F30" i="392"/>
  <c r="H231" i="213"/>
  <c r="F231" i="213" s="1"/>
  <c r="H385" i="213"/>
  <c r="F385" i="213" s="1"/>
  <c r="C51" i="245"/>
  <c r="E47" i="245"/>
  <c r="D39" i="310"/>
  <c r="J8" i="363"/>
  <c r="B11" i="383"/>
  <c r="C11" i="383"/>
  <c r="E11" i="383"/>
  <c r="D8" i="352"/>
  <c r="D11" i="238"/>
  <c r="E2" i="238"/>
  <c r="E3" i="238"/>
  <c r="BB33" i="397" l="1"/>
  <c r="BC33" i="397" s="1"/>
  <c r="BB36" i="397"/>
  <c r="BC36" i="397" s="1"/>
  <c r="C49" i="245"/>
  <c r="C48" i="245"/>
  <c r="C50" i="245"/>
  <c r="C52" i="245"/>
  <c r="G21" i="400"/>
  <c r="F13" i="391" s="1"/>
  <c r="F33" i="272"/>
  <c r="B4" i="272"/>
  <c r="H397" i="213"/>
  <c r="F397" i="213" s="1"/>
  <c r="E8" i="212"/>
  <c r="G5" i="212"/>
  <c r="F25" i="400" s="1"/>
  <c r="G7" i="212" l="1"/>
  <c r="F31" i="121"/>
  <c r="B4" i="121"/>
  <c r="B4" i="378"/>
  <c r="H380" i="213"/>
  <c r="H383" i="213" l="1"/>
  <c r="F383" i="213"/>
  <c r="H382" i="213"/>
  <c r="F382" i="213" s="1"/>
  <c r="B3" i="347"/>
  <c r="B4" i="399"/>
  <c r="B3" i="399"/>
  <c r="F30" i="399"/>
  <c r="B30" i="399"/>
  <c r="F29" i="399"/>
  <c r="B29" i="399"/>
  <c r="F23" i="399"/>
  <c r="F22" i="399"/>
  <c r="F15" i="399"/>
  <c r="D15" i="399"/>
  <c r="G15" i="399" s="1"/>
  <c r="G18" i="399" s="1"/>
  <c r="C15" i="399"/>
  <c r="B15" i="399"/>
  <c r="E10" i="399"/>
  <c r="C10" i="399"/>
  <c r="B10" i="399"/>
  <c r="E9" i="399"/>
  <c r="C9" i="399"/>
  <c r="B9" i="399"/>
  <c r="E8" i="399"/>
  <c r="C8" i="399"/>
  <c r="B8" i="399"/>
  <c r="G4" i="399"/>
  <c r="B4" i="385"/>
  <c r="K8" i="384"/>
  <c r="L8" i="384" s="1"/>
  <c r="B4" i="384"/>
  <c r="H381" i="213"/>
  <c r="F381" i="213" s="1"/>
  <c r="F380" i="213"/>
  <c r="B4" i="389"/>
  <c r="B9" i="370"/>
  <c r="H373" i="213"/>
  <c r="F373" i="213" s="1"/>
  <c r="B11" i="352"/>
  <c r="C11" i="352"/>
  <c r="E11" i="352"/>
  <c r="B13" i="352"/>
  <c r="C13" i="352"/>
  <c r="E13" i="352"/>
  <c r="H372" i="213"/>
  <c r="F372" i="213" s="1"/>
  <c r="E11" i="360"/>
  <c r="C11" i="360"/>
  <c r="B11" i="360"/>
  <c r="B6" i="370"/>
  <c r="B10" i="345"/>
  <c r="C10" i="345"/>
  <c r="E10" i="345"/>
  <c r="H371" i="213"/>
  <c r="F371" i="213" s="1"/>
  <c r="H370" i="213"/>
  <c r="F370" i="213" s="1"/>
  <c r="F10" i="345" s="1"/>
  <c r="G10" i="345" s="1"/>
  <c r="H369" i="213"/>
  <c r="F369" i="213" s="1"/>
  <c r="E369" i="213"/>
  <c r="C13" i="342"/>
  <c r="B13" i="342"/>
  <c r="C14" i="342"/>
  <c r="B14" i="342"/>
  <c r="B17" i="353"/>
  <c r="C17" i="353"/>
  <c r="E17" i="353"/>
  <c r="H368" i="213"/>
  <c r="F368" i="213" s="1"/>
  <c r="H351" i="213"/>
  <c r="H354" i="213"/>
  <c r="H355" i="213"/>
  <c r="H356" i="213"/>
  <c r="H357" i="213"/>
  <c r="H358" i="213"/>
  <c r="H359" i="213"/>
  <c r="H360" i="213"/>
  <c r="H361" i="213"/>
  <c r="H362" i="213"/>
  <c r="H363" i="213"/>
  <c r="H364" i="213"/>
  <c r="H365" i="213"/>
  <c r="H366" i="213"/>
  <c r="H367" i="213"/>
  <c r="F367" i="213" s="1"/>
  <c r="F9" i="400" l="1"/>
  <c r="G9" i="400" s="1"/>
  <c r="F20" i="354"/>
  <c r="G20" i="354" s="1"/>
  <c r="F11" i="360"/>
  <c r="G11" i="360" s="1"/>
  <c r="F11" i="383"/>
  <c r="G11" i="383" s="1"/>
  <c r="F11" i="352"/>
  <c r="G11" i="352" s="1"/>
  <c r="D22" i="399"/>
  <c r="G22" i="399" s="1"/>
  <c r="D23" i="399"/>
  <c r="G23" i="399" s="1"/>
  <c r="E13" i="342"/>
  <c r="E14" i="342"/>
  <c r="E29" i="214"/>
  <c r="F33" i="214"/>
  <c r="F34" i="214"/>
  <c r="E16" i="214"/>
  <c r="E17" i="374"/>
  <c r="D9" i="397"/>
  <c r="D10" i="397" s="1"/>
  <c r="E14" i="214" l="1"/>
  <c r="E27" i="214"/>
  <c r="E15" i="214"/>
  <c r="E24" i="214"/>
  <c r="E23" i="214"/>
  <c r="E34" i="214"/>
  <c r="H34" i="214" s="1"/>
  <c r="E22" i="214"/>
  <c r="E33" i="214"/>
  <c r="H33" i="214" s="1"/>
  <c r="E21" i="214"/>
  <c r="E25" i="214"/>
  <c r="E32" i="214"/>
  <c r="E20" i="214"/>
  <c r="E13" i="214"/>
  <c r="E31" i="214"/>
  <c r="E19" i="214"/>
  <c r="E26" i="214"/>
  <c r="E30" i="214"/>
  <c r="E18" i="214"/>
  <c r="E17" i="214"/>
  <c r="E28" i="214"/>
  <c r="G25" i="399"/>
  <c r="G40" i="397"/>
  <c r="H40" i="397" l="1"/>
  <c r="F40" i="397"/>
  <c r="B11" i="261" l="1"/>
  <c r="C11" i="261"/>
  <c r="E11" i="261"/>
  <c r="B20" i="279"/>
  <c r="C20" i="279"/>
  <c r="E20" i="279"/>
  <c r="B21" i="279"/>
  <c r="C21" i="279"/>
  <c r="E21" i="279"/>
  <c r="B18" i="279"/>
  <c r="C18" i="279"/>
  <c r="E18" i="279"/>
  <c r="B19" i="279"/>
  <c r="C19" i="279"/>
  <c r="E19" i="279"/>
  <c r="F374" i="213"/>
  <c r="F375" i="213"/>
  <c r="F376" i="213"/>
  <c r="F377" i="213"/>
  <c r="F378" i="213"/>
  <c r="F379" i="213"/>
  <c r="B9" i="392"/>
  <c r="C9" i="392"/>
  <c r="E9" i="392"/>
  <c r="B10" i="392"/>
  <c r="C10" i="392"/>
  <c r="E10" i="392"/>
  <c r="F366" i="213"/>
  <c r="B9" i="121"/>
  <c r="C9" i="121"/>
  <c r="E9" i="121"/>
  <c r="F32" i="378"/>
  <c r="F37" i="378"/>
  <c r="F36" i="378"/>
  <c r="F204" i="213"/>
  <c r="F398" i="213"/>
  <c r="F336" i="213"/>
  <c r="F337" i="213"/>
  <c r="F338" i="213"/>
  <c r="F339" i="213"/>
  <c r="F340" i="213"/>
  <c r="F342" i="213"/>
  <c r="F343" i="213"/>
  <c r="F344" i="213"/>
  <c r="F345" i="213"/>
  <c r="F346" i="213"/>
  <c r="F347" i="213"/>
  <c r="F348" i="213"/>
  <c r="F349" i="213"/>
  <c r="D19" i="378"/>
  <c r="E19" i="378" s="1"/>
  <c r="D18" i="378"/>
  <c r="E18" i="378" s="1"/>
  <c r="E17" i="378"/>
  <c r="E16" i="378"/>
  <c r="E14" i="378"/>
  <c r="E8" i="378"/>
  <c r="E9" i="378" s="1"/>
  <c r="E11" i="378"/>
  <c r="E12" i="378" s="1"/>
  <c r="E22" i="378"/>
  <c r="C22" i="378"/>
  <c r="B22" i="378"/>
  <c r="E21" i="378"/>
  <c r="C21" i="378"/>
  <c r="B21" i="378"/>
  <c r="E20" i="378"/>
  <c r="C20" i="378"/>
  <c r="B20" i="378"/>
  <c r="C19" i="378"/>
  <c r="B19" i="378"/>
  <c r="C18" i="378"/>
  <c r="B18" i="378"/>
  <c r="C17" i="378"/>
  <c r="B17" i="378"/>
  <c r="C16" i="378"/>
  <c r="B16" i="378"/>
  <c r="E15" i="378"/>
  <c r="C15" i="378"/>
  <c r="B15" i="378"/>
  <c r="C14" i="378"/>
  <c r="B14" i="378"/>
  <c r="C11" i="378"/>
  <c r="B11" i="378"/>
  <c r="B8" i="378"/>
  <c r="C7" i="378"/>
  <c r="B7" i="378"/>
  <c r="F363" i="213"/>
  <c r="F14" i="378" s="1"/>
  <c r="F362" i="213"/>
  <c r="F16" i="378" s="1"/>
  <c r="F361" i="213"/>
  <c r="F22" i="378" s="1"/>
  <c r="G22" i="378" s="1"/>
  <c r="F360" i="213"/>
  <c r="F21" i="378" s="1"/>
  <c r="G21" i="378" s="1"/>
  <c r="F359" i="213"/>
  <c r="F20" i="378" s="1"/>
  <c r="G20" i="378" s="1"/>
  <c r="F358" i="213"/>
  <c r="F19" i="378" s="1"/>
  <c r="F357" i="213"/>
  <c r="F18" i="378" s="1"/>
  <c r="F356" i="213"/>
  <c r="F17" i="378" s="1"/>
  <c r="F355" i="213"/>
  <c r="F15" i="378" s="1"/>
  <c r="F354" i="213"/>
  <c r="F351" i="213"/>
  <c r="F8" i="378" s="1"/>
  <c r="H350" i="213"/>
  <c r="F350" i="213" s="1"/>
  <c r="F11" i="378" s="1"/>
  <c r="I11" i="279" l="1"/>
  <c r="F10" i="279"/>
  <c r="G14" i="378"/>
  <c r="G16" i="378"/>
  <c r="G17" i="378"/>
  <c r="F10" i="392"/>
  <c r="G10" i="392" s="1"/>
  <c r="G18" i="378"/>
  <c r="G15" i="378"/>
  <c r="G19" i="378"/>
  <c r="G8" i="378"/>
  <c r="G11" i="378"/>
  <c r="F12" i="378" s="1"/>
  <c r="G12" i="378" s="1"/>
  <c r="H353" i="213" l="1"/>
  <c r="F353" i="213" s="1"/>
  <c r="B4" i="392"/>
  <c r="B30" i="392"/>
  <c r="B29" i="392"/>
  <c r="F23" i="392"/>
  <c r="F22" i="392"/>
  <c r="D15" i="392"/>
  <c r="G15" i="392" s="1"/>
  <c r="G18" i="392" s="1"/>
  <c r="F10" i="391" s="1"/>
  <c r="C15" i="392"/>
  <c r="B15" i="392"/>
  <c r="E8" i="392"/>
  <c r="D23" i="392" s="1"/>
  <c r="C8" i="392"/>
  <c r="B8" i="392"/>
  <c r="G23" i="392" l="1"/>
  <c r="D22" i="392"/>
  <c r="G22" i="392" s="1"/>
  <c r="G25" i="392" l="1"/>
  <c r="G10" i="391" s="1"/>
  <c r="H352" i="213" l="1"/>
  <c r="F352" i="213" s="1"/>
  <c r="A1" i="400" l="1"/>
  <c r="F11" i="238"/>
  <c r="A1" i="367" l="1"/>
  <c r="A1" i="399"/>
  <c r="A1" i="353"/>
  <c r="A1" i="262"/>
  <c r="A1" i="273"/>
  <c r="A1" i="357"/>
  <c r="A1" i="384"/>
  <c r="A1" i="389"/>
  <c r="A1" i="274"/>
  <c r="A1" i="268"/>
  <c r="A1" i="385"/>
  <c r="A1" i="358"/>
  <c r="A1" i="331"/>
  <c r="A1" i="363"/>
  <c r="A1" i="265"/>
  <c r="A1" i="338"/>
  <c r="A1" i="332"/>
  <c r="A1" i="364"/>
  <c r="A1" i="347"/>
  <c r="A1" i="352"/>
  <c r="A1" i="260"/>
  <c r="A1" i="365"/>
  <c r="A1" i="276"/>
  <c r="A1" i="342"/>
  <c r="A1" i="258"/>
  <c r="A1" i="333"/>
  <c r="A1" i="266"/>
  <c r="A1" i="386"/>
  <c r="A1" i="366"/>
  <c r="A1" i="261"/>
  <c r="A1" i="354"/>
  <c r="A1" i="359"/>
  <c r="A1" i="334"/>
  <c r="A1" i="267"/>
  <c r="A1" i="387"/>
  <c r="A1" i="392"/>
  <c r="A1" i="378"/>
  <c r="A1" i="355"/>
  <c r="A1" i="381"/>
  <c r="A1" i="335"/>
  <c r="A1" i="269"/>
  <c r="A1" i="383"/>
  <c r="A1" i="368"/>
  <c r="A1" i="121"/>
  <c r="A1" i="278"/>
  <c r="A1" i="345"/>
  <c r="A1" i="382"/>
  <c r="A1" i="336"/>
  <c r="A1" i="360"/>
  <c r="A1" i="362"/>
  <c r="A1" i="329"/>
  <c r="A1" i="272"/>
  <c r="A1" i="279"/>
  <c r="A1" i="356"/>
  <c r="A1" i="263"/>
  <c r="A1" i="388"/>
  <c r="A1" i="361"/>
  <c r="A1" i="270"/>
  <c r="F39" i="279" l="1"/>
  <c r="E9" i="279" l="1"/>
  <c r="E10" i="279"/>
  <c r="E11" i="279"/>
  <c r="E12" i="279"/>
  <c r="E13" i="279"/>
  <c r="E14" i="279"/>
  <c r="E16" i="279"/>
  <c r="E17" i="279"/>
  <c r="B10" i="279"/>
  <c r="C10" i="279"/>
  <c r="B11" i="279"/>
  <c r="C11" i="279"/>
  <c r="B12" i="279"/>
  <c r="C12" i="279"/>
  <c r="B13" i="279"/>
  <c r="C13" i="279"/>
  <c r="B14" i="279"/>
  <c r="C14" i="279"/>
  <c r="B15" i="279"/>
  <c r="C15" i="279"/>
  <c r="C9" i="279"/>
  <c r="F364" i="213"/>
  <c r="F9" i="121" s="1"/>
  <c r="G9" i="121" s="1"/>
  <c r="F365" i="213"/>
  <c r="B17" i="364"/>
  <c r="C17" i="364"/>
  <c r="E17" i="364"/>
  <c r="B16" i="364"/>
  <c r="C16" i="364"/>
  <c r="E16" i="364"/>
  <c r="B20" i="362"/>
  <c r="C20" i="362"/>
  <c r="E20" i="362"/>
  <c r="B20" i="388"/>
  <c r="C20" i="388"/>
  <c r="E20" i="388"/>
  <c r="B4" i="386"/>
  <c r="B16" i="385"/>
  <c r="C16" i="385"/>
  <c r="E16" i="385"/>
  <c r="B21" i="389"/>
  <c r="C21" i="389"/>
  <c r="H333" i="213"/>
  <c r="F333" i="213" s="1"/>
  <c r="F9" i="392" l="1"/>
  <c r="G9" i="392" s="1"/>
  <c r="E23" i="378" l="1"/>
  <c r="C23" i="378"/>
  <c r="B23" i="378"/>
  <c r="D36" i="378" l="1"/>
  <c r="D37" i="378" s="1"/>
  <c r="H332" i="213"/>
  <c r="F332" i="213" s="1"/>
  <c r="I8" i="363"/>
  <c r="I8" i="355"/>
  <c r="C11" i="238" l="1"/>
  <c r="F19" i="262" l="1"/>
  <c r="G19" i="262" s="1"/>
  <c r="F18" i="262"/>
  <c r="G18" i="262" s="1"/>
  <c r="F17" i="262"/>
  <c r="G17" i="262" s="1"/>
  <c r="F16" i="262"/>
  <c r="G16" i="262" s="1"/>
  <c r="F15" i="262"/>
  <c r="G15" i="262" s="1"/>
  <c r="F12" i="262"/>
  <c r="G12" i="262" s="1"/>
  <c r="F20" i="262"/>
  <c r="G20" i="262" s="1"/>
  <c r="F10" i="262"/>
  <c r="G10" i="262" s="1"/>
  <c r="F23" i="262"/>
  <c r="G23" i="262" s="1"/>
  <c r="F11" i="262"/>
  <c r="G11" i="262" s="1"/>
  <c r="F22" i="262"/>
  <c r="G22" i="262" s="1"/>
  <c r="F14" i="262"/>
  <c r="G14" i="262" s="1"/>
  <c r="F21" i="262"/>
  <c r="G21" i="262" s="1"/>
  <c r="F13" i="262"/>
  <c r="G13" i="262" s="1"/>
  <c r="C26" i="238"/>
  <c r="F15" i="279"/>
  <c r="F16" i="279"/>
  <c r="F14" i="279"/>
  <c r="F21" i="279"/>
  <c r="F20" i="279"/>
  <c r="F19" i="279"/>
  <c r="F18" i="279"/>
  <c r="F17" i="279"/>
  <c r="C16" i="238"/>
  <c r="F13" i="279"/>
  <c r="G13" i="279" s="1"/>
  <c r="D37" i="402" l="1"/>
  <c r="D22" i="397" s="1"/>
  <c r="P50" i="408"/>
  <c r="D32" i="408"/>
  <c r="D6" i="408"/>
  <c r="P55" i="402"/>
  <c r="D5" i="402"/>
  <c r="D12" i="397" s="1"/>
  <c r="B3" i="359"/>
  <c r="B19" i="389"/>
  <c r="C19" i="389"/>
  <c r="E19" i="389"/>
  <c r="B20" i="389"/>
  <c r="C20" i="389"/>
  <c r="E20" i="389"/>
  <c r="E18" i="354"/>
  <c r="B17" i="354"/>
  <c r="C17" i="354"/>
  <c r="E17" i="354"/>
  <c r="B18" i="354"/>
  <c r="C18" i="354"/>
  <c r="B19" i="354"/>
  <c r="C19" i="354"/>
  <c r="E19" i="354"/>
  <c r="B21" i="354"/>
  <c r="C21" i="354"/>
  <c r="E21" i="354"/>
  <c r="B3" i="354"/>
  <c r="F41" i="389"/>
  <c r="B41" i="389"/>
  <c r="F40" i="389"/>
  <c r="B40" i="389"/>
  <c r="F34" i="389"/>
  <c r="F33" i="389"/>
  <c r="F26" i="389"/>
  <c r="D26" i="389"/>
  <c r="C26" i="389"/>
  <c r="B26" i="389"/>
  <c r="E18" i="389"/>
  <c r="C18" i="389"/>
  <c r="B18" i="389"/>
  <c r="E17" i="389"/>
  <c r="C17" i="389"/>
  <c r="B17" i="389"/>
  <c r="E16" i="389"/>
  <c r="C16" i="389"/>
  <c r="B16" i="389"/>
  <c r="E15" i="389"/>
  <c r="C15" i="389"/>
  <c r="B15" i="389"/>
  <c r="E14" i="389"/>
  <c r="C14" i="389"/>
  <c r="B14" i="389"/>
  <c r="E13" i="389"/>
  <c r="C13" i="389"/>
  <c r="B13" i="389"/>
  <c r="E12" i="389"/>
  <c r="C12" i="389"/>
  <c r="B12" i="389"/>
  <c r="E11" i="389"/>
  <c r="C11" i="389"/>
  <c r="B11" i="389"/>
  <c r="E10" i="389"/>
  <c r="C10" i="389"/>
  <c r="B10" i="389"/>
  <c r="E9" i="389"/>
  <c r="C9" i="389"/>
  <c r="B9" i="389"/>
  <c r="E8" i="389"/>
  <c r="C8" i="389"/>
  <c r="B8" i="389"/>
  <c r="G4" i="389"/>
  <c r="B3" i="389"/>
  <c r="B18" i="362"/>
  <c r="C18" i="362"/>
  <c r="E18" i="362"/>
  <c r="B19" i="388"/>
  <c r="C19" i="388"/>
  <c r="E19" i="388"/>
  <c r="B20" i="353"/>
  <c r="C20" i="353"/>
  <c r="E20" i="353"/>
  <c r="F40" i="388"/>
  <c r="B40" i="388"/>
  <c r="F39" i="388"/>
  <c r="B39" i="388"/>
  <c r="F33" i="388"/>
  <c r="F32" i="388"/>
  <c r="F25" i="388"/>
  <c r="D25" i="388"/>
  <c r="C25" i="388"/>
  <c r="B25" i="388"/>
  <c r="E17" i="388"/>
  <c r="C17" i="388"/>
  <c r="B17" i="388"/>
  <c r="E16" i="388"/>
  <c r="C16" i="388"/>
  <c r="B16" i="388"/>
  <c r="E15" i="388"/>
  <c r="C15" i="388"/>
  <c r="B15" i="388"/>
  <c r="E14" i="388"/>
  <c r="C14" i="388"/>
  <c r="B14" i="388"/>
  <c r="E13" i="388"/>
  <c r="C13" i="388"/>
  <c r="B13" i="388"/>
  <c r="E12" i="388"/>
  <c r="C12" i="388"/>
  <c r="B12" i="388"/>
  <c r="E11" i="388"/>
  <c r="C11" i="388"/>
  <c r="B11" i="388"/>
  <c r="E10" i="388"/>
  <c r="C10" i="388"/>
  <c r="B10" i="388"/>
  <c r="E9" i="388"/>
  <c r="C9" i="388"/>
  <c r="B9" i="388"/>
  <c r="E8" i="388"/>
  <c r="C8" i="388"/>
  <c r="B8" i="388"/>
  <c r="G4" i="388"/>
  <c r="B4" i="388"/>
  <c r="B3" i="388"/>
  <c r="B19" i="366"/>
  <c r="C19" i="366"/>
  <c r="E19" i="366"/>
  <c r="B20" i="366"/>
  <c r="C20" i="366"/>
  <c r="B19" i="386"/>
  <c r="C19" i="386"/>
  <c r="E19" i="386"/>
  <c r="B3" i="357"/>
  <c r="B3" i="358"/>
  <c r="F34" i="387"/>
  <c r="B34" i="387"/>
  <c r="F33" i="387"/>
  <c r="B33" i="387"/>
  <c r="F27" i="387"/>
  <c r="F26" i="387"/>
  <c r="F19" i="387"/>
  <c r="D19" i="387"/>
  <c r="C19" i="387"/>
  <c r="B19" i="387"/>
  <c r="D14" i="387"/>
  <c r="E14" i="387" s="1"/>
  <c r="C14" i="387"/>
  <c r="B14" i="387"/>
  <c r="E13" i="387"/>
  <c r="C13" i="387"/>
  <c r="B13" i="387"/>
  <c r="E12" i="387"/>
  <c r="C12" i="387"/>
  <c r="B12" i="387"/>
  <c r="E11" i="387"/>
  <c r="C11" i="387"/>
  <c r="B11" i="387"/>
  <c r="C10" i="387"/>
  <c r="B10" i="387"/>
  <c r="C9" i="387"/>
  <c r="B9" i="387"/>
  <c r="E8" i="387"/>
  <c r="C8" i="387"/>
  <c r="B8" i="387"/>
  <c r="G4" i="387"/>
  <c r="B4" i="387"/>
  <c r="B3" i="387"/>
  <c r="B20" i="358"/>
  <c r="C20" i="358"/>
  <c r="E20" i="358"/>
  <c r="F39" i="386"/>
  <c r="B39" i="386"/>
  <c r="F38" i="386"/>
  <c r="B38" i="386"/>
  <c r="F32" i="386"/>
  <c r="F31" i="386"/>
  <c r="F24" i="386"/>
  <c r="D24" i="386"/>
  <c r="C24" i="386"/>
  <c r="B24" i="386"/>
  <c r="E18" i="386"/>
  <c r="C18" i="386"/>
  <c r="B18" i="386"/>
  <c r="E17" i="386"/>
  <c r="C17" i="386"/>
  <c r="B17" i="386"/>
  <c r="E16" i="386"/>
  <c r="C16" i="386"/>
  <c r="B16" i="386"/>
  <c r="E15" i="386"/>
  <c r="C15" i="386"/>
  <c r="B15" i="386"/>
  <c r="E14" i="386"/>
  <c r="C14" i="386"/>
  <c r="B14" i="386"/>
  <c r="E13" i="386"/>
  <c r="C13" i="386"/>
  <c r="B13" i="386"/>
  <c r="E12" i="386"/>
  <c r="C12" i="386"/>
  <c r="B12" i="386"/>
  <c r="E11" i="386"/>
  <c r="C11" i="386"/>
  <c r="B11" i="386"/>
  <c r="E10" i="386"/>
  <c r="C10" i="386"/>
  <c r="B10" i="386"/>
  <c r="E9" i="386"/>
  <c r="C9" i="386"/>
  <c r="B9" i="386"/>
  <c r="E8" i="386"/>
  <c r="C8" i="386"/>
  <c r="B8" i="386"/>
  <c r="G4" i="386"/>
  <c r="B3" i="386"/>
  <c r="B3" i="385"/>
  <c r="F36" i="385"/>
  <c r="B36" i="385"/>
  <c r="F35" i="385"/>
  <c r="B35" i="385"/>
  <c r="F29" i="385"/>
  <c r="F28" i="385"/>
  <c r="F21" i="385"/>
  <c r="D21" i="385"/>
  <c r="C21" i="385"/>
  <c r="B21" i="385"/>
  <c r="E15" i="385"/>
  <c r="C15" i="385"/>
  <c r="B15" i="385"/>
  <c r="E14" i="385"/>
  <c r="C14" i="385"/>
  <c r="B14" i="385"/>
  <c r="E13" i="385"/>
  <c r="C13" i="385"/>
  <c r="B13" i="385"/>
  <c r="E12" i="385"/>
  <c r="C12" i="385"/>
  <c r="B12" i="385"/>
  <c r="E11" i="385"/>
  <c r="C11" i="385"/>
  <c r="B11" i="385"/>
  <c r="E10" i="385"/>
  <c r="C10" i="385"/>
  <c r="B10" i="385"/>
  <c r="E9" i="385"/>
  <c r="C9" i="385"/>
  <c r="B9" i="385"/>
  <c r="E8" i="385"/>
  <c r="C8" i="385"/>
  <c r="B8" i="385"/>
  <c r="G4" i="385"/>
  <c r="B3" i="384"/>
  <c r="D10" i="355"/>
  <c r="F34" i="384"/>
  <c r="B34" i="384"/>
  <c r="F33" i="384"/>
  <c r="B33" i="384"/>
  <c r="F27" i="384"/>
  <c r="F26" i="384"/>
  <c r="F19" i="384"/>
  <c r="D19" i="384"/>
  <c r="C19" i="384"/>
  <c r="B19" i="384"/>
  <c r="D14" i="384"/>
  <c r="E14" i="384" s="1"/>
  <c r="C14" i="384"/>
  <c r="B14" i="384"/>
  <c r="D13" i="384"/>
  <c r="E13" i="384" s="1"/>
  <c r="C13" i="384"/>
  <c r="B13" i="384"/>
  <c r="E12" i="384"/>
  <c r="C12" i="384"/>
  <c r="B12" i="384"/>
  <c r="E11" i="384"/>
  <c r="C11" i="384"/>
  <c r="B11" i="384"/>
  <c r="D10" i="384"/>
  <c r="E10" i="384" s="1"/>
  <c r="C10" i="384"/>
  <c r="B10" i="384"/>
  <c r="I9" i="384"/>
  <c r="E9" i="384"/>
  <c r="C9" i="384"/>
  <c r="B9" i="384"/>
  <c r="I8" i="384"/>
  <c r="E8" i="384"/>
  <c r="C8" i="384"/>
  <c r="B8" i="384"/>
  <c r="G4" i="384"/>
  <c r="D8" i="360"/>
  <c r="B4" i="360"/>
  <c r="B3" i="360"/>
  <c r="F33" i="383"/>
  <c r="B33" i="383"/>
  <c r="F32" i="383"/>
  <c r="B32" i="383"/>
  <c r="F26" i="383"/>
  <c r="F25" i="383"/>
  <c r="F18" i="383"/>
  <c r="D18" i="383"/>
  <c r="C18" i="383"/>
  <c r="B18" i="383"/>
  <c r="E13" i="383"/>
  <c r="C13" i="383"/>
  <c r="B13" i="383"/>
  <c r="E10" i="383"/>
  <c r="C10" i="383"/>
  <c r="B10" i="383"/>
  <c r="E9" i="383"/>
  <c r="C9" i="383"/>
  <c r="B9" i="383"/>
  <c r="D8" i="383"/>
  <c r="E8" i="383" s="1"/>
  <c r="C8" i="383"/>
  <c r="B8" i="383"/>
  <c r="G4" i="383"/>
  <c r="B4" i="383"/>
  <c r="B3" i="383"/>
  <c r="B3" i="258"/>
  <c r="B3" i="356"/>
  <c r="B3" i="345"/>
  <c r="B3" i="355"/>
  <c r="B3" i="342"/>
  <c r="B3" i="353"/>
  <c r="B3" i="352"/>
  <c r="D31" i="386" l="1"/>
  <c r="D32" i="386"/>
  <c r="D32" i="388"/>
  <c r="D33" i="388"/>
  <c r="G33" i="388" s="1"/>
  <c r="K6" i="408"/>
  <c r="D12" i="407"/>
  <c r="D22" i="407"/>
  <c r="G18" i="383"/>
  <c r="G21" i="383" s="1"/>
  <c r="F7" i="298" s="1"/>
  <c r="G19" i="384"/>
  <c r="G22" i="384" s="1"/>
  <c r="F11" i="370" s="1"/>
  <c r="G19" i="387"/>
  <c r="G22" i="387" s="1"/>
  <c r="F16" i="370" s="1"/>
  <c r="G21" i="385"/>
  <c r="G24" i="385" s="1"/>
  <c r="F13" i="370" s="1"/>
  <c r="G26" i="389"/>
  <c r="G29" i="389" s="1"/>
  <c r="F10" i="370" s="1"/>
  <c r="D33" i="389"/>
  <c r="G33" i="389" s="1"/>
  <c r="D34" i="389"/>
  <c r="G34" i="389" s="1"/>
  <c r="G32" i="388"/>
  <c r="G25" i="388"/>
  <c r="G28" i="388" s="1"/>
  <c r="F8" i="370" s="1"/>
  <c r="G24" i="386"/>
  <c r="G27" i="386" s="1"/>
  <c r="F15" i="370" s="1"/>
  <c r="D26" i="384"/>
  <c r="G26" i="384" s="1"/>
  <c r="D28" i="385"/>
  <c r="G28" i="385" s="1"/>
  <c r="G32" i="386"/>
  <c r="G31" i="386"/>
  <c r="D29" i="385"/>
  <c r="G29" i="385" s="1"/>
  <c r="D27" i="384"/>
  <c r="G27" i="384" s="1"/>
  <c r="D25" i="383"/>
  <c r="G25" i="383" s="1"/>
  <c r="D26" i="383"/>
  <c r="G26" i="383" s="1"/>
  <c r="AS38" i="397" l="1"/>
  <c r="G35" i="388"/>
  <c r="G8" i="370" s="1"/>
  <c r="G29" i="384"/>
  <c r="G11" i="370" s="1"/>
  <c r="G34" i="386"/>
  <c r="G15" i="370" s="1"/>
  <c r="G36" i="389"/>
  <c r="G10" i="370" s="1"/>
  <c r="G31" i="385"/>
  <c r="G13" i="370" s="1"/>
  <c r="G28" i="383"/>
  <c r="AP38" i="397" l="1"/>
  <c r="AV38" i="397"/>
  <c r="AO38" i="397"/>
  <c r="AT38" i="397"/>
  <c r="AQ38" i="397"/>
  <c r="AU38" i="397"/>
  <c r="AR38" i="397"/>
  <c r="G7" i="298"/>
  <c r="BB38" i="397" l="1"/>
  <c r="BC38" i="397" s="1"/>
  <c r="B3" i="338"/>
  <c r="B3" i="269"/>
  <c r="B3" i="267"/>
  <c r="B3" i="266"/>
  <c r="B3" i="265"/>
  <c r="B3" i="263"/>
  <c r="B3" i="260"/>
  <c r="B3" i="336"/>
  <c r="B3" i="335"/>
  <c r="B3" i="334"/>
  <c r="B3" i="333"/>
  <c r="B3" i="332"/>
  <c r="B3" i="331"/>
  <c r="B3" i="268"/>
  <c r="B3" i="382"/>
  <c r="B4" i="382"/>
  <c r="B3" i="381"/>
  <c r="B4" i="381"/>
  <c r="A18" i="374" l="1"/>
  <c r="A13" i="374"/>
  <c r="D25" i="310"/>
  <c r="D24" i="310"/>
  <c r="D23" i="310"/>
  <c r="D22" i="310"/>
  <c r="D21" i="310"/>
  <c r="D20" i="310"/>
  <c r="E6" i="238"/>
  <c r="B30" i="382"/>
  <c r="D15" i="382"/>
  <c r="C15" i="382"/>
  <c r="B15" i="382"/>
  <c r="D15" i="381"/>
  <c r="C15" i="381"/>
  <c r="B15" i="381"/>
  <c r="B30" i="381"/>
  <c r="B29" i="381"/>
  <c r="A14" i="374" l="1"/>
  <c r="A15" i="374" s="1"/>
  <c r="D27" i="298"/>
  <c r="D25" i="298"/>
  <c r="D24" i="298"/>
  <c r="D23" i="298"/>
  <c r="D22" i="298"/>
  <c r="D20" i="298"/>
  <c r="D21" i="298" s="1"/>
  <c r="D27" i="370"/>
  <c r="D25" i="370"/>
  <c r="D24" i="370"/>
  <c r="D23" i="370"/>
  <c r="D22" i="370"/>
  <c r="D21" i="370"/>
  <c r="D20" i="370"/>
  <c r="F23" i="382"/>
  <c r="F23" i="381"/>
  <c r="F22" i="381"/>
  <c r="D30" i="382"/>
  <c r="D23" i="382"/>
  <c r="D22" i="382"/>
  <c r="G22" i="382" s="1"/>
  <c r="G16" i="382"/>
  <c r="G15" i="382"/>
  <c r="G18" i="382" s="1"/>
  <c r="F21" i="370" s="1"/>
  <c r="G10" i="382"/>
  <c r="G9" i="382"/>
  <c r="G8" i="382"/>
  <c r="G4" i="382"/>
  <c r="D30" i="381"/>
  <c r="F29" i="381"/>
  <c r="F30" i="381" s="1"/>
  <c r="D29" i="381"/>
  <c r="G15" i="381"/>
  <c r="G18" i="381" s="1"/>
  <c r="G10" i="381"/>
  <c r="G9" i="381"/>
  <c r="D23" i="381"/>
  <c r="G8" i="381"/>
  <c r="G4" i="381"/>
  <c r="A30" i="374" l="1"/>
  <c r="G11" i="382"/>
  <c r="G11" i="381"/>
  <c r="E20" i="298" s="1"/>
  <c r="G23" i="382"/>
  <c r="G25" i="382" s="1"/>
  <c r="F20" i="298"/>
  <c r="F20" i="370"/>
  <c r="F20" i="310"/>
  <c r="E21" i="298"/>
  <c r="E21" i="370"/>
  <c r="E21" i="310"/>
  <c r="F21" i="310"/>
  <c r="F21" i="298"/>
  <c r="E20" i="310"/>
  <c r="E20" i="370"/>
  <c r="D22" i="381"/>
  <c r="G22" i="381" s="1"/>
  <c r="G23" i="381"/>
  <c r="I9" i="355"/>
  <c r="G21" i="298" l="1"/>
  <c r="G21" i="370"/>
  <c r="G21" i="310"/>
  <c r="G25" i="381"/>
  <c r="G20" i="298" s="1"/>
  <c r="Z31" i="380"/>
  <c r="Z27" i="380" s="1"/>
  <c r="L31" i="380"/>
  <c r="L27" i="380" s="1"/>
  <c r="M14" i="380"/>
  <c r="Z13" i="380"/>
  <c r="M13" i="380"/>
  <c r="L13" i="380"/>
  <c r="Z11" i="380"/>
  <c r="Z8" i="380" s="1"/>
  <c r="L11" i="380"/>
  <c r="G20" i="310" l="1"/>
  <c r="G20" i="370"/>
  <c r="L8" i="380"/>
  <c r="L39" i="380" s="1"/>
  <c r="Z35" i="380"/>
  <c r="Z39" i="380"/>
  <c r="L35" i="380" l="1"/>
  <c r="L41" i="380" s="1"/>
  <c r="L44" i="380" s="1"/>
  <c r="Z41" i="380"/>
  <c r="Z44" i="380" s="1"/>
  <c r="E15" i="374" l="1"/>
  <c r="J58" i="378" l="1"/>
  <c r="J56" i="378"/>
  <c r="J48" i="378"/>
  <c r="J45" i="378"/>
  <c r="J43" i="378"/>
  <c r="F42" i="378"/>
  <c r="G36" i="378"/>
  <c r="G32" i="378"/>
  <c r="I15" i="391" s="1"/>
  <c r="G31" i="378"/>
  <c r="H15" i="391" s="1"/>
  <c r="G37" i="378"/>
  <c r="G38" i="378" l="1"/>
  <c r="G33" i="378"/>
  <c r="J50" i="378"/>
  <c r="M43" i="378" s="1"/>
  <c r="G15" i="391" l="1"/>
  <c r="D27" i="378"/>
  <c r="G27" i="378" s="1"/>
  <c r="G28" i="378" s="1"/>
  <c r="F15" i="391" l="1"/>
  <c r="J14" i="214"/>
  <c r="J15" i="214" s="1"/>
  <c r="J16" i="214" s="1"/>
  <c r="J17" i="214" s="1"/>
  <c r="J18" i="214" s="1"/>
  <c r="J19" i="214" s="1"/>
  <c r="J20" i="214" s="1"/>
  <c r="J21" i="214" s="1"/>
  <c r="J22" i="214" s="1"/>
  <c r="J23" i="214" s="1"/>
  <c r="J24" i="214" s="1"/>
  <c r="J25" i="214" s="1"/>
  <c r="J26" i="214" s="1"/>
  <c r="J27" i="214" s="1"/>
  <c r="J28" i="214" s="1"/>
  <c r="J29" i="214" s="1"/>
  <c r="J30" i="214" s="1"/>
  <c r="J31" i="214" s="1"/>
  <c r="J32" i="214" s="1"/>
  <c r="I9" i="363" l="1"/>
  <c r="F47" i="245" l="1"/>
  <c r="G47" i="245"/>
  <c r="D47" i="245"/>
  <c r="G4" i="329" l="1"/>
  <c r="B4" i="329"/>
  <c r="B3" i="329"/>
  <c r="G46" i="374" l="1"/>
  <c r="G45" i="374"/>
  <c r="F42" i="374"/>
  <c r="F43" i="374" s="1"/>
  <c r="G40" i="374"/>
  <c r="G39" i="374"/>
  <c r="F37" i="374"/>
  <c r="G37" i="374" s="1"/>
  <c r="F38" i="374"/>
  <c r="G38" i="374" s="1"/>
  <c r="D36" i="374"/>
  <c r="D35" i="374"/>
  <c r="A31" i="374"/>
  <c r="D28" i="374"/>
  <c r="G28" i="374" s="1"/>
  <c r="E18" i="374"/>
  <c r="F12" i="374"/>
  <c r="H11" i="238"/>
  <c r="D28" i="370"/>
  <c r="F35" i="245"/>
  <c r="F34" i="245"/>
  <c r="F40" i="245"/>
  <c r="F54" i="245" s="1"/>
  <c r="F39" i="245"/>
  <c r="F38" i="245"/>
  <c r="F37" i="245"/>
  <c r="F36" i="245"/>
  <c r="F18" i="374" l="1"/>
  <c r="F32" i="374"/>
  <c r="G32" i="374" s="1"/>
  <c r="E19" i="374"/>
  <c r="G42" i="374"/>
  <c r="G31" i="374"/>
  <c r="G43" i="374"/>
  <c r="G35" i="374" l="1"/>
  <c r="G30" i="374"/>
  <c r="G33" i="374"/>
  <c r="G36" i="374"/>
  <c r="G34" i="374" l="1"/>
  <c r="G27" i="374"/>
  <c r="C34" i="245" l="1"/>
  <c r="D36" i="310" s="1"/>
  <c r="G4" i="269"/>
  <c r="B4" i="269"/>
  <c r="G4" i="267"/>
  <c r="B4" i="267"/>
  <c r="G4" i="266"/>
  <c r="B4" i="266"/>
  <c r="G4" i="260"/>
  <c r="B4" i="260"/>
  <c r="G4" i="336"/>
  <c r="B4" i="336"/>
  <c r="B4" i="335"/>
  <c r="G4" i="334"/>
  <c r="B4" i="334"/>
  <c r="G4" i="333"/>
  <c r="B4" i="333"/>
  <c r="G4" i="332"/>
  <c r="B4" i="332"/>
  <c r="G4" i="331"/>
  <c r="B4" i="331"/>
  <c r="G4" i="268"/>
  <c r="B4" i="268"/>
  <c r="B4" i="265"/>
  <c r="G4" i="263"/>
  <c r="B4" i="263"/>
  <c r="G4" i="265"/>
  <c r="G4" i="258"/>
  <c r="B4" i="258"/>
  <c r="B4" i="345"/>
  <c r="B4" i="342"/>
  <c r="G4" i="347"/>
  <c r="B4" i="347"/>
  <c r="G4" i="338"/>
  <c r="B4" i="338"/>
  <c r="E31" i="197"/>
  <c r="E32" i="197" s="1"/>
  <c r="E24" i="197"/>
  <c r="E18" i="197"/>
  <c r="H329" i="213" l="1"/>
  <c r="F329" i="213" s="1"/>
  <c r="H330" i="213"/>
  <c r="F330" i="213" s="1"/>
  <c r="H297" i="213"/>
  <c r="F297" i="213" s="1"/>
  <c r="H298" i="213"/>
  <c r="F298" i="213" s="1"/>
  <c r="H299" i="213"/>
  <c r="F299" i="213" s="1"/>
  <c r="H300" i="213"/>
  <c r="F300" i="213" s="1"/>
  <c r="H301" i="213"/>
  <c r="F301" i="213" s="1"/>
  <c r="H302" i="213"/>
  <c r="F302" i="213" s="1"/>
  <c r="H303" i="213"/>
  <c r="F303" i="213" s="1"/>
  <c r="H304" i="213"/>
  <c r="F304" i="213" s="1"/>
  <c r="H305" i="213"/>
  <c r="F305" i="213" s="1"/>
  <c r="H306" i="213"/>
  <c r="F306" i="213" s="1"/>
  <c r="H307" i="213"/>
  <c r="F307" i="213" s="1"/>
  <c r="H308" i="213"/>
  <c r="F308" i="213" s="1"/>
  <c r="H309" i="213"/>
  <c r="F309" i="213" s="1"/>
  <c r="H310" i="213"/>
  <c r="F310" i="213" s="1"/>
  <c r="H311" i="213"/>
  <c r="F311" i="213" s="1"/>
  <c r="H312" i="213"/>
  <c r="F312" i="213" s="1"/>
  <c r="H313" i="213"/>
  <c r="F313" i="213" s="1"/>
  <c r="H314" i="213"/>
  <c r="F314" i="213" s="1"/>
  <c r="F19" i="270" s="1"/>
  <c r="G19" i="270" s="1"/>
  <c r="H315" i="213"/>
  <c r="F315" i="213" s="1"/>
  <c r="H316" i="213"/>
  <c r="F316" i="213" s="1"/>
  <c r="H317" i="213"/>
  <c r="F317" i="213" s="1"/>
  <c r="H318" i="213"/>
  <c r="F318" i="213" s="1"/>
  <c r="H319" i="213"/>
  <c r="F319" i="213" s="1"/>
  <c r="H320" i="213"/>
  <c r="F320" i="213" s="1"/>
  <c r="H321" i="213"/>
  <c r="F321" i="213" s="1"/>
  <c r="H322" i="213"/>
  <c r="F322" i="213" s="1"/>
  <c r="H323" i="213"/>
  <c r="F323" i="213" s="1"/>
  <c r="H324" i="213"/>
  <c r="F324" i="213" s="1"/>
  <c r="H325" i="213"/>
  <c r="F325" i="213" s="1"/>
  <c r="H326" i="213"/>
  <c r="F326" i="213" s="1"/>
  <c r="H327" i="213"/>
  <c r="F327" i="213" s="1"/>
  <c r="H328" i="213"/>
  <c r="F328" i="213" s="1"/>
  <c r="H261" i="213"/>
  <c r="F261" i="213" s="1"/>
  <c r="H262" i="213"/>
  <c r="F262" i="213" s="1"/>
  <c r="H263" i="213"/>
  <c r="F263" i="213" s="1"/>
  <c r="H264" i="213"/>
  <c r="F264" i="213" s="1"/>
  <c r="H265" i="213"/>
  <c r="F265" i="213" s="1"/>
  <c r="H266" i="213"/>
  <c r="F266" i="213" s="1"/>
  <c r="H267" i="213"/>
  <c r="F267" i="213" s="1"/>
  <c r="H268" i="213"/>
  <c r="F268" i="213" s="1"/>
  <c r="H269" i="213"/>
  <c r="F269" i="213" s="1"/>
  <c r="H270" i="213"/>
  <c r="F270" i="213" s="1"/>
  <c r="H271" i="213"/>
  <c r="F271" i="213" s="1"/>
  <c r="H272" i="213"/>
  <c r="F272" i="213" s="1"/>
  <c r="H273" i="213"/>
  <c r="F273" i="213" s="1"/>
  <c r="H274" i="213"/>
  <c r="F274" i="213" s="1"/>
  <c r="H275" i="213"/>
  <c r="F275" i="213" s="1"/>
  <c r="H276" i="213"/>
  <c r="F276" i="213" s="1"/>
  <c r="H277" i="213"/>
  <c r="F277" i="213" s="1"/>
  <c r="H278" i="213"/>
  <c r="F278" i="213" s="1"/>
  <c r="H279" i="213"/>
  <c r="F279" i="213" s="1"/>
  <c r="H280" i="213"/>
  <c r="F280" i="213" s="1"/>
  <c r="H281" i="213"/>
  <c r="F281" i="213" s="1"/>
  <c r="H282" i="213"/>
  <c r="F282" i="213" s="1"/>
  <c r="H283" i="213"/>
  <c r="F283" i="213" s="1"/>
  <c r="H284" i="213"/>
  <c r="F284" i="213" s="1"/>
  <c r="H285" i="213"/>
  <c r="F285" i="213" s="1"/>
  <c r="H286" i="213"/>
  <c r="F286" i="213" s="1"/>
  <c r="H287" i="213"/>
  <c r="F287" i="213" s="1"/>
  <c r="H288" i="213"/>
  <c r="F288" i="213" s="1"/>
  <c r="H289" i="213"/>
  <c r="F289" i="213" s="1"/>
  <c r="H290" i="213"/>
  <c r="F290" i="213" s="1"/>
  <c r="H291" i="213"/>
  <c r="F291" i="213" s="1"/>
  <c r="H292" i="213"/>
  <c r="F292" i="213" s="1"/>
  <c r="H293" i="213"/>
  <c r="F293" i="213" s="1"/>
  <c r="H294" i="213"/>
  <c r="F294" i="213" s="1"/>
  <c r="H295" i="213"/>
  <c r="F295" i="213" s="1"/>
  <c r="H296" i="213"/>
  <c r="F296" i="213" s="1"/>
  <c r="H251" i="213"/>
  <c r="F251" i="213" s="1"/>
  <c r="H252" i="213"/>
  <c r="F252" i="213" s="1"/>
  <c r="H253" i="213"/>
  <c r="F253" i="213" s="1"/>
  <c r="H254" i="213"/>
  <c r="F254" i="213" s="1"/>
  <c r="H255" i="213"/>
  <c r="F255" i="213" s="1"/>
  <c r="H256" i="213"/>
  <c r="F256" i="213" s="1"/>
  <c r="H257" i="213"/>
  <c r="F257" i="213" s="1"/>
  <c r="H258" i="213"/>
  <c r="F258" i="213" s="1"/>
  <c r="H259" i="213"/>
  <c r="F259" i="213" s="1"/>
  <c r="H260" i="213"/>
  <c r="F260" i="213" s="1"/>
  <c r="H216" i="213"/>
  <c r="F216" i="213" s="1"/>
  <c r="H222" i="213"/>
  <c r="F222" i="213" s="1"/>
  <c r="H221" i="213"/>
  <c r="F221" i="213" s="1"/>
  <c r="H220" i="213"/>
  <c r="F220" i="213" s="1"/>
  <c r="H219" i="213"/>
  <c r="F219" i="213" s="1"/>
  <c r="H218" i="213"/>
  <c r="F218" i="213" s="1"/>
  <c r="H217" i="213"/>
  <c r="F217" i="213" s="1"/>
  <c r="H215" i="213"/>
  <c r="F215" i="213" s="1"/>
  <c r="H214" i="213"/>
  <c r="F214" i="213" s="1"/>
  <c r="H213" i="213"/>
  <c r="F213" i="213" s="1"/>
  <c r="H212" i="213"/>
  <c r="F212" i="213" s="1"/>
  <c r="H211" i="213"/>
  <c r="F211" i="213" s="1"/>
  <c r="H210" i="213"/>
  <c r="F210" i="213" s="1"/>
  <c r="H209" i="213"/>
  <c r="F209" i="213" s="1"/>
  <c r="H208" i="213"/>
  <c r="F208" i="213" s="1"/>
  <c r="H207" i="213"/>
  <c r="F207" i="213" s="1"/>
  <c r="H206" i="213"/>
  <c r="F206" i="213" s="1"/>
  <c r="H205" i="213"/>
  <c r="F205" i="213" s="1"/>
  <c r="H239" i="213"/>
  <c r="F239" i="213" s="1"/>
  <c r="H331" i="213"/>
  <c r="F11" i="261" l="1"/>
  <c r="G11" i="261" s="1"/>
  <c r="F11" i="400"/>
  <c r="G11" i="400" s="1"/>
  <c r="F8" i="392"/>
  <c r="F331" i="213"/>
  <c r="F23" i="378"/>
  <c r="G23" i="378" s="1"/>
  <c r="G8" i="392" l="1"/>
  <c r="G11" i="392" s="1"/>
  <c r="F4" i="398"/>
  <c r="E10" i="391"/>
  <c r="D77" i="264"/>
  <c r="F153" i="264"/>
  <c r="L20" i="336"/>
  <c r="K19" i="336"/>
  <c r="K23" i="336" s="1"/>
  <c r="D28" i="298"/>
  <c r="G11" i="238"/>
  <c r="E9" i="336"/>
  <c r="E8" i="336"/>
  <c r="D78" i="264"/>
  <c r="E9" i="268"/>
  <c r="D23" i="268" s="1"/>
  <c r="G23" i="268" s="1"/>
  <c r="C9" i="268"/>
  <c r="B9" i="268"/>
  <c r="B26" i="335"/>
  <c r="F19" i="335"/>
  <c r="D152" i="264"/>
  <c r="F152" i="264" s="1"/>
  <c r="F151" i="264"/>
  <c r="D18" i="366"/>
  <c r="E18" i="366" s="1"/>
  <c r="H250" i="213"/>
  <c r="H249" i="213"/>
  <c r="H248" i="213"/>
  <c r="H247" i="213"/>
  <c r="G4" i="366"/>
  <c r="B4" i="366"/>
  <c r="B3" i="366"/>
  <c r="G4" i="358"/>
  <c r="B4" i="358"/>
  <c r="G4" i="368"/>
  <c r="B4" i="368"/>
  <c r="B3" i="368"/>
  <c r="F34" i="368"/>
  <c r="B34" i="368"/>
  <c r="F33" i="368"/>
  <c r="B33" i="368"/>
  <c r="F27" i="368"/>
  <c r="F26" i="368"/>
  <c r="F19" i="368"/>
  <c r="D19" i="368"/>
  <c r="C19" i="368"/>
  <c r="B19" i="368"/>
  <c r="D14" i="368"/>
  <c r="E14" i="368" s="1"/>
  <c r="C14" i="368"/>
  <c r="B14" i="368"/>
  <c r="E13" i="368"/>
  <c r="C13" i="368"/>
  <c r="B13" i="368"/>
  <c r="E12" i="368"/>
  <c r="C12" i="368"/>
  <c r="B12" i="368"/>
  <c r="E11" i="368"/>
  <c r="C11" i="368"/>
  <c r="B11" i="368"/>
  <c r="E10" i="368"/>
  <c r="C10" i="368"/>
  <c r="B10" i="368"/>
  <c r="E9" i="368"/>
  <c r="C9" i="368"/>
  <c r="B9" i="368"/>
  <c r="E8" i="368"/>
  <c r="C8" i="368"/>
  <c r="B8" i="368"/>
  <c r="G4" i="357"/>
  <c r="B4" i="357"/>
  <c r="G4" i="367"/>
  <c r="B4" i="367"/>
  <c r="B3" i="367"/>
  <c r="F34" i="367"/>
  <c r="B34" i="367"/>
  <c r="F33" i="367"/>
  <c r="B33" i="367"/>
  <c r="F27" i="367"/>
  <c r="F26" i="367"/>
  <c r="F19" i="367"/>
  <c r="D19" i="367"/>
  <c r="C19" i="367"/>
  <c r="B19" i="367"/>
  <c r="D14" i="367"/>
  <c r="E14" i="367" s="1"/>
  <c r="C14" i="367"/>
  <c r="B14" i="367"/>
  <c r="E13" i="367"/>
  <c r="C13" i="367"/>
  <c r="B13" i="367"/>
  <c r="E12" i="367"/>
  <c r="C12" i="367"/>
  <c r="B12" i="367"/>
  <c r="E11" i="367"/>
  <c r="C11" i="367"/>
  <c r="B11" i="367"/>
  <c r="C10" i="367"/>
  <c r="B10" i="367"/>
  <c r="C9" i="367"/>
  <c r="B9" i="367"/>
  <c r="E8" i="367"/>
  <c r="C8" i="367"/>
  <c r="B8" i="367"/>
  <c r="F40" i="366"/>
  <c r="B40" i="366"/>
  <c r="F39" i="366"/>
  <c r="B39" i="366"/>
  <c r="F33" i="366"/>
  <c r="F32" i="366"/>
  <c r="F25" i="366"/>
  <c r="D25" i="366"/>
  <c r="C25" i="366"/>
  <c r="B25" i="366"/>
  <c r="C18" i="366"/>
  <c r="B18" i="366"/>
  <c r="E17" i="366"/>
  <c r="C17" i="366"/>
  <c r="B17" i="366"/>
  <c r="E16" i="366"/>
  <c r="C16" i="366"/>
  <c r="B16" i="366"/>
  <c r="E15" i="366"/>
  <c r="C15" i="366"/>
  <c r="B15" i="366"/>
  <c r="E14" i="366"/>
  <c r="C14" i="366"/>
  <c r="B14" i="366"/>
  <c r="E13" i="366"/>
  <c r="C13" i="366"/>
  <c r="B13" i="366"/>
  <c r="E12" i="366"/>
  <c r="C12" i="366"/>
  <c r="B12" i="366"/>
  <c r="E11" i="366"/>
  <c r="C11" i="366"/>
  <c r="B11" i="366"/>
  <c r="E10" i="366"/>
  <c r="C10" i="366"/>
  <c r="B10" i="366"/>
  <c r="E9" i="366"/>
  <c r="C9" i="366"/>
  <c r="B9" i="366"/>
  <c r="E8" i="366"/>
  <c r="C8" i="366"/>
  <c r="B8" i="366"/>
  <c r="G4" i="365"/>
  <c r="B4" i="365"/>
  <c r="B3" i="365"/>
  <c r="G4" i="359"/>
  <c r="B4" i="359"/>
  <c r="F30" i="365"/>
  <c r="B30" i="365"/>
  <c r="F29" i="365"/>
  <c r="B29" i="365"/>
  <c r="F23" i="365"/>
  <c r="F22" i="365"/>
  <c r="F15" i="365"/>
  <c r="D15" i="365"/>
  <c r="C15" i="365"/>
  <c r="B15" i="365"/>
  <c r="E10" i="365"/>
  <c r="C10" i="365"/>
  <c r="B10" i="365"/>
  <c r="E9" i="365"/>
  <c r="C9" i="365"/>
  <c r="B9" i="365"/>
  <c r="E8" i="365"/>
  <c r="C8" i="365"/>
  <c r="B8" i="365"/>
  <c r="G4" i="364"/>
  <c r="B4" i="364"/>
  <c r="B3" i="364"/>
  <c r="F37" i="364"/>
  <c r="B37" i="364"/>
  <c r="F36" i="364"/>
  <c r="B36" i="364"/>
  <c r="F30" i="364"/>
  <c r="F29" i="364"/>
  <c r="F22" i="364"/>
  <c r="D22" i="364"/>
  <c r="C22" i="364"/>
  <c r="B22" i="364"/>
  <c r="E15" i="364"/>
  <c r="C15" i="364"/>
  <c r="B15" i="364"/>
  <c r="E14" i="364"/>
  <c r="C14" i="364"/>
  <c r="B14" i="364"/>
  <c r="E13" i="364"/>
  <c r="C13" i="364"/>
  <c r="B13" i="364"/>
  <c r="E12" i="364"/>
  <c r="C12" i="364"/>
  <c r="B12" i="364"/>
  <c r="E11" i="364"/>
  <c r="C11" i="364"/>
  <c r="B11" i="364"/>
  <c r="E10" i="364"/>
  <c r="C10" i="364"/>
  <c r="B10" i="364"/>
  <c r="E9" i="364"/>
  <c r="C9" i="364"/>
  <c r="B9" i="364"/>
  <c r="E8" i="364"/>
  <c r="C8" i="364"/>
  <c r="B8" i="364"/>
  <c r="E10" i="355"/>
  <c r="D10" i="363"/>
  <c r="E10" i="363" s="1"/>
  <c r="G4" i="363"/>
  <c r="B4" i="363"/>
  <c r="B3" i="363"/>
  <c r="F34" i="363"/>
  <c r="B34" i="363"/>
  <c r="F33" i="363"/>
  <c r="B33" i="363"/>
  <c r="F27" i="363"/>
  <c r="F26" i="363"/>
  <c r="F19" i="363"/>
  <c r="D19" i="363"/>
  <c r="C19" i="363"/>
  <c r="B19" i="363"/>
  <c r="D14" i="363"/>
  <c r="E14" i="363" s="1"/>
  <c r="C14" i="363"/>
  <c r="B14" i="363"/>
  <c r="D13" i="363"/>
  <c r="E13" i="363" s="1"/>
  <c r="C13" i="363"/>
  <c r="B13" i="363"/>
  <c r="E12" i="363"/>
  <c r="C12" i="363"/>
  <c r="B12" i="363"/>
  <c r="E11" i="363"/>
  <c r="C11" i="363"/>
  <c r="B11" i="363"/>
  <c r="C10" i="363"/>
  <c r="B10" i="363"/>
  <c r="E9" i="363"/>
  <c r="C9" i="363"/>
  <c r="B9" i="363"/>
  <c r="E8" i="363"/>
  <c r="C8" i="363"/>
  <c r="B8" i="363"/>
  <c r="D12" i="361"/>
  <c r="E12" i="361" s="1"/>
  <c r="H246" i="213"/>
  <c r="F246" i="213" s="1"/>
  <c r="E11" i="361"/>
  <c r="H245" i="213"/>
  <c r="H244" i="213"/>
  <c r="F244" i="213" s="1"/>
  <c r="H243" i="213"/>
  <c r="G4" i="362"/>
  <c r="B4" i="362"/>
  <c r="B3" i="362"/>
  <c r="F40" i="362"/>
  <c r="B40" i="362"/>
  <c r="F39" i="362"/>
  <c r="B39" i="362"/>
  <c r="F33" i="362"/>
  <c r="F32" i="362"/>
  <c r="F25" i="362"/>
  <c r="D25" i="362"/>
  <c r="C25" i="362"/>
  <c r="B25" i="362"/>
  <c r="D17" i="362"/>
  <c r="E17" i="362" s="1"/>
  <c r="C17" i="362"/>
  <c r="B17" i="362"/>
  <c r="E16" i="362"/>
  <c r="C16" i="362"/>
  <c r="B16" i="362"/>
  <c r="E15" i="362"/>
  <c r="C15" i="362"/>
  <c r="B15" i="362"/>
  <c r="E14" i="362"/>
  <c r="C14" i="362"/>
  <c r="B14" i="362"/>
  <c r="E13" i="362"/>
  <c r="C13" i="362"/>
  <c r="B13" i="362"/>
  <c r="E12" i="362"/>
  <c r="C12" i="362"/>
  <c r="B12" i="362"/>
  <c r="E11" i="362"/>
  <c r="C11" i="362"/>
  <c r="B11" i="362"/>
  <c r="E10" i="362"/>
  <c r="C10" i="362"/>
  <c r="B10" i="362"/>
  <c r="E9" i="362"/>
  <c r="C9" i="362"/>
  <c r="B9" i="362"/>
  <c r="E8" i="362"/>
  <c r="C8" i="362"/>
  <c r="B8" i="362"/>
  <c r="G4" i="361"/>
  <c r="B4" i="361"/>
  <c r="B3" i="361"/>
  <c r="F40" i="361"/>
  <c r="B40" i="361"/>
  <c r="F39" i="361"/>
  <c r="B39" i="361"/>
  <c r="F33" i="361"/>
  <c r="F32" i="361"/>
  <c r="F25" i="361"/>
  <c r="D25" i="361"/>
  <c r="C25" i="361"/>
  <c r="B25" i="361"/>
  <c r="E20" i="361"/>
  <c r="C20" i="361"/>
  <c r="B20" i="361"/>
  <c r="E19" i="361"/>
  <c r="C19" i="361"/>
  <c r="B19" i="361"/>
  <c r="E18" i="361"/>
  <c r="C18" i="361"/>
  <c r="B18" i="361"/>
  <c r="E17" i="361"/>
  <c r="C17" i="361"/>
  <c r="B17" i="361"/>
  <c r="E16" i="361"/>
  <c r="C16" i="361"/>
  <c r="B16" i="361"/>
  <c r="E15" i="361"/>
  <c r="C15" i="361"/>
  <c r="B15" i="361"/>
  <c r="C12" i="361"/>
  <c r="B12" i="361"/>
  <c r="C11" i="361"/>
  <c r="B11" i="361"/>
  <c r="E10" i="361"/>
  <c r="C10" i="361"/>
  <c r="B10" i="361"/>
  <c r="E9" i="361"/>
  <c r="C9" i="361"/>
  <c r="B9" i="361"/>
  <c r="E8" i="361"/>
  <c r="C8" i="361"/>
  <c r="B8" i="361"/>
  <c r="E8" i="360"/>
  <c r="G4" i="360"/>
  <c r="F33" i="360"/>
  <c r="B33" i="360"/>
  <c r="F32" i="360"/>
  <c r="B32" i="360"/>
  <c r="F26" i="360"/>
  <c r="F25" i="360"/>
  <c r="F18" i="360"/>
  <c r="D18" i="360"/>
  <c r="C18" i="360"/>
  <c r="B18" i="360"/>
  <c r="E13" i="360"/>
  <c r="C13" i="360"/>
  <c r="B13" i="360"/>
  <c r="E10" i="360"/>
  <c r="C10" i="360"/>
  <c r="B10" i="360"/>
  <c r="E9" i="360"/>
  <c r="C9" i="360"/>
  <c r="B9" i="360"/>
  <c r="C8" i="360"/>
  <c r="B8" i="360"/>
  <c r="F34" i="359"/>
  <c r="B34" i="359"/>
  <c r="F33" i="359"/>
  <c r="B33" i="359"/>
  <c r="F27" i="359"/>
  <c r="F26" i="359"/>
  <c r="F19" i="359"/>
  <c r="D19" i="359"/>
  <c r="C19" i="359"/>
  <c r="B19" i="359"/>
  <c r="D14" i="359"/>
  <c r="E14" i="359" s="1"/>
  <c r="C14" i="359"/>
  <c r="B14" i="359"/>
  <c r="E13" i="359"/>
  <c r="C13" i="359"/>
  <c r="B13" i="359"/>
  <c r="E12" i="359"/>
  <c r="C12" i="359"/>
  <c r="B12" i="359"/>
  <c r="E11" i="359"/>
  <c r="C11" i="359"/>
  <c r="B11" i="359"/>
  <c r="E10" i="359"/>
  <c r="C10" i="359"/>
  <c r="B10" i="359"/>
  <c r="E9" i="359"/>
  <c r="C9" i="359"/>
  <c r="B9" i="359"/>
  <c r="E8" i="359"/>
  <c r="C8" i="359"/>
  <c r="B8" i="359"/>
  <c r="D14" i="357"/>
  <c r="E14" i="357" s="1"/>
  <c r="F40" i="358"/>
  <c r="B40" i="358"/>
  <c r="F39" i="358"/>
  <c r="B39" i="358"/>
  <c r="F33" i="358"/>
  <c r="F32" i="358"/>
  <c r="F25" i="358"/>
  <c r="D25" i="358"/>
  <c r="C25" i="358"/>
  <c r="B25" i="358"/>
  <c r="E18" i="358"/>
  <c r="C18" i="358"/>
  <c r="B18" i="358"/>
  <c r="E17" i="358"/>
  <c r="C17" i="358"/>
  <c r="B17" i="358"/>
  <c r="E16" i="358"/>
  <c r="C16" i="358"/>
  <c r="B16" i="358"/>
  <c r="E15" i="358"/>
  <c r="C15" i="358"/>
  <c r="B15" i="358"/>
  <c r="E14" i="358"/>
  <c r="C14" i="358"/>
  <c r="B14" i="358"/>
  <c r="E13" i="358"/>
  <c r="C13" i="358"/>
  <c r="B13" i="358"/>
  <c r="E12" i="358"/>
  <c r="C12" i="358"/>
  <c r="B12" i="358"/>
  <c r="E11" i="358"/>
  <c r="C11" i="358"/>
  <c r="B11" i="358"/>
  <c r="E10" i="358"/>
  <c r="C10" i="358"/>
  <c r="B10" i="358"/>
  <c r="E9" i="358"/>
  <c r="C9" i="358"/>
  <c r="B9" i="358"/>
  <c r="E8" i="358"/>
  <c r="C8" i="358"/>
  <c r="B8" i="358"/>
  <c r="F34" i="357"/>
  <c r="B34" i="357"/>
  <c r="F33" i="357"/>
  <c r="B33" i="357"/>
  <c r="F27" i="357"/>
  <c r="F26" i="357"/>
  <c r="F19" i="357"/>
  <c r="D19" i="357"/>
  <c r="C19" i="357"/>
  <c r="B19" i="357"/>
  <c r="C14" i="357"/>
  <c r="B14" i="357"/>
  <c r="E13" i="357"/>
  <c r="C13" i="357"/>
  <c r="B13" i="357"/>
  <c r="E12" i="357"/>
  <c r="C12" i="357"/>
  <c r="B12" i="357"/>
  <c r="E11" i="357"/>
  <c r="C11" i="357"/>
  <c r="B11" i="357"/>
  <c r="C10" i="357"/>
  <c r="B10" i="357"/>
  <c r="C9" i="357"/>
  <c r="B9" i="357"/>
  <c r="E8" i="357"/>
  <c r="C8" i="357"/>
  <c r="B8" i="357"/>
  <c r="B9" i="356"/>
  <c r="C9" i="356"/>
  <c r="E9" i="356"/>
  <c r="G4" i="356"/>
  <c r="B4" i="356"/>
  <c r="F29" i="356"/>
  <c r="B29" i="356"/>
  <c r="F28" i="356"/>
  <c r="B28" i="356"/>
  <c r="F22" i="356"/>
  <c r="F21" i="356"/>
  <c r="F14" i="356"/>
  <c r="D14" i="356"/>
  <c r="C14" i="356"/>
  <c r="B14" i="356"/>
  <c r="E8" i="356"/>
  <c r="C8" i="356"/>
  <c r="B8" i="356"/>
  <c r="G4" i="355"/>
  <c r="B4" i="355"/>
  <c r="F34" i="355"/>
  <c r="B34" i="355"/>
  <c r="F33" i="355"/>
  <c r="B33" i="355"/>
  <c r="F27" i="355"/>
  <c r="F26" i="355"/>
  <c r="F19" i="355"/>
  <c r="D19" i="355"/>
  <c r="C19" i="355"/>
  <c r="B19" i="355"/>
  <c r="D14" i="355"/>
  <c r="E14" i="355" s="1"/>
  <c r="C14" i="355"/>
  <c r="B14" i="355"/>
  <c r="D13" i="355"/>
  <c r="E13" i="355" s="1"/>
  <c r="C13" i="355"/>
  <c r="B13" i="355"/>
  <c r="E12" i="355"/>
  <c r="C12" i="355"/>
  <c r="B12" i="355"/>
  <c r="E11" i="355"/>
  <c r="C11" i="355"/>
  <c r="B11" i="355"/>
  <c r="C10" i="355"/>
  <c r="B10" i="355"/>
  <c r="E9" i="355"/>
  <c r="C9" i="355"/>
  <c r="B9" i="355"/>
  <c r="E8" i="355"/>
  <c r="C8" i="355"/>
  <c r="B8" i="355"/>
  <c r="H242" i="213"/>
  <c r="F242" i="213" s="1"/>
  <c r="H241" i="213"/>
  <c r="F241" i="213" s="1"/>
  <c r="G4" i="354"/>
  <c r="B4" i="354"/>
  <c r="F41" i="354"/>
  <c r="B41" i="354"/>
  <c r="F40" i="354"/>
  <c r="B40" i="354"/>
  <c r="F34" i="354"/>
  <c r="F33" i="354"/>
  <c r="F26" i="354"/>
  <c r="D26" i="354"/>
  <c r="C26" i="354"/>
  <c r="B26" i="354"/>
  <c r="E16" i="354"/>
  <c r="C16" i="354"/>
  <c r="B16" i="354"/>
  <c r="E15" i="354"/>
  <c r="C15" i="354"/>
  <c r="B15" i="354"/>
  <c r="E14" i="354"/>
  <c r="C14" i="354"/>
  <c r="B14" i="354"/>
  <c r="E13" i="354"/>
  <c r="C13" i="354"/>
  <c r="B13" i="354"/>
  <c r="E12" i="354"/>
  <c r="C12" i="354"/>
  <c r="B12" i="354"/>
  <c r="E11" i="354"/>
  <c r="C11" i="354"/>
  <c r="B11" i="354"/>
  <c r="E10" i="354"/>
  <c r="C10" i="354"/>
  <c r="B10" i="354"/>
  <c r="E9" i="354"/>
  <c r="C9" i="354"/>
  <c r="B9" i="354"/>
  <c r="E8" i="354"/>
  <c r="C8" i="354"/>
  <c r="B8" i="354"/>
  <c r="G4" i="353"/>
  <c r="B4" i="353"/>
  <c r="F40" i="353"/>
  <c r="B40" i="353"/>
  <c r="F39" i="353"/>
  <c r="B39" i="353"/>
  <c r="F33" i="353"/>
  <c r="F32" i="353"/>
  <c r="F25" i="353"/>
  <c r="D25" i="353"/>
  <c r="C25" i="353"/>
  <c r="B25" i="353"/>
  <c r="D18" i="353"/>
  <c r="C18" i="353"/>
  <c r="B18" i="353"/>
  <c r="E16" i="353"/>
  <c r="C16" i="353"/>
  <c r="B16" i="353"/>
  <c r="E15" i="353"/>
  <c r="C15" i="353"/>
  <c r="B15" i="353"/>
  <c r="E14" i="353"/>
  <c r="C14" i="353"/>
  <c r="B14" i="353"/>
  <c r="E13" i="353"/>
  <c r="C13" i="353"/>
  <c r="B13" i="353"/>
  <c r="E12" i="353"/>
  <c r="C12" i="353"/>
  <c r="B12" i="353"/>
  <c r="E11" i="353"/>
  <c r="C11" i="353"/>
  <c r="B11" i="353"/>
  <c r="E10" i="353"/>
  <c r="C10" i="353"/>
  <c r="B10" i="353"/>
  <c r="E9" i="353"/>
  <c r="C9" i="353"/>
  <c r="B9" i="353"/>
  <c r="E8" i="353"/>
  <c r="C8" i="353"/>
  <c r="B8" i="353"/>
  <c r="E8" i="352"/>
  <c r="G4" i="352"/>
  <c r="B4" i="352"/>
  <c r="F33" i="352"/>
  <c r="B33" i="352"/>
  <c r="F32" i="352"/>
  <c r="B32" i="352"/>
  <c r="F26" i="352"/>
  <c r="F25" i="352"/>
  <c r="F18" i="352"/>
  <c r="D18" i="352"/>
  <c r="C18" i="352"/>
  <c r="B18" i="352"/>
  <c r="E10" i="352"/>
  <c r="C10" i="352"/>
  <c r="B10" i="352"/>
  <c r="E9" i="352"/>
  <c r="C9" i="352"/>
  <c r="B9" i="352"/>
  <c r="C8" i="352"/>
  <c r="B8" i="352"/>
  <c r="H240" i="213"/>
  <c r="F240" i="213" s="1"/>
  <c r="H238" i="213"/>
  <c r="F238" i="213" s="1"/>
  <c r="H237" i="213"/>
  <c r="H236" i="213"/>
  <c r="F236" i="213" s="1"/>
  <c r="F30" i="347"/>
  <c r="B30" i="347"/>
  <c r="F29" i="347"/>
  <c r="B29" i="347"/>
  <c r="F23" i="347"/>
  <c r="F22" i="347"/>
  <c r="F15" i="347"/>
  <c r="D15" i="347"/>
  <c r="C15" i="347"/>
  <c r="B15" i="347"/>
  <c r="E10" i="347"/>
  <c r="C10" i="347"/>
  <c r="B10" i="347"/>
  <c r="E9" i="347"/>
  <c r="C9" i="347"/>
  <c r="B9" i="347"/>
  <c r="E8" i="347"/>
  <c r="C8" i="347"/>
  <c r="B8" i="347"/>
  <c r="H235" i="213"/>
  <c r="F32" i="345"/>
  <c r="B32" i="345"/>
  <c r="F31" i="345"/>
  <c r="B31" i="345"/>
  <c r="F25" i="345"/>
  <c r="F24" i="345"/>
  <c r="F17" i="345"/>
  <c r="D17" i="345"/>
  <c r="C17" i="345"/>
  <c r="B17" i="345"/>
  <c r="D12" i="345"/>
  <c r="E12" i="345" s="1"/>
  <c r="C12" i="345"/>
  <c r="B12" i="345"/>
  <c r="D11" i="345"/>
  <c r="E11" i="345" s="1"/>
  <c r="C11" i="345"/>
  <c r="B11" i="345"/>
  <c r="E9" i="345"/>
  <c r="C9" i="345"/>
  <c r="B9" i="345"/>
  <c r="E8" i="345"/>
  <c r="C8" i="345"/>
  <c r="B8" i="345"/>
  <c r="H234" i="213"/>
  <c r="F234" i="213" s="1"/>
  <c r="H233" i="213"/>
  <c r="F233" i="213" s="1"/>
  <c r="H232" i="213"/>
  <c r="F35" i="342"/>
  <c r="B35" i="342"/>
  <c r="F34" i="342"/>
  <c r="B34" i="342"/>
  <c r="F28" i="342"/>
  <c r="F27" i="342"/>
  <c r="F20" i="342"/>
  <c r="D20" i="342"/>
  <c r="C20" i="342"/>
  <c r="B20" i="342"/>
  <c r="E15" i="342"/>
  <c r="C15" i="342"/>
  <c r="B15" i="342"/>
  <c r="C12" i="342"/>
  <c r="B12" i="342"/>
  <c r="E11" i="342"/>
  <c r="C11" i="342"/>
  <c r="B11" i="342"/>
  <c r="E10" i="342"/>
  <c r="C10" i="342"/>
  <c r="B10" i="342"/>
  <c r="E9" i="342"/>
  <c r="C9" i="342"/>
  <c r="B9" i="342"/>
  <c r="E8" i="342"/>
  <c r="C8" i="342"/>
  <c r="B8" i="342"/>
  <c r="H230" i="213"/>
  <c r="F230" i="213" s="1"/>
  <c r="F17" i="353" s="1"/>
  <c r="G17" i="353" s="1"/>
  <c r="H229" i="213"/>
  <c r="H228" i="213"/>
  <c r="F228" i="213" s="1"/>
  <c r="H227" i="213"/>
  <c r="F227" i="213" s="1"/>
  <c r="H226" i="213"/>
  <c r="F30" i="338"/>
  <c r="B30" i="338"/>
  <c r="F29" i="338"/>
  <c r="B29" i="338"/>
  <c r="F23" i="338"/>
  <c r="F22" i="338"/>
  <c r="F15" i="338"/>
  <c r="D15" i="338"/>
  <c r="C15" i="338"/>
  <c r="B15" i="338"/>
  <c r="E10" i="338"/>
  <c r="C10" i="338"/>
  <c r="B10" i="338"/>
  <c r="D9" i="338"/>
  <c r="E9" i="338" s="1"/>
  <c r="C9" i="338"/>
  <c r="B9" i="338"/>
  <c r="E8" i="338"/>
  <c r="C8" i="338"/>
  <c r="B8" i="338"/>
  <c r="H224" i="213"/>
  <c r="F224" i="213" s="1"/>
  <c r="H225" i="213"/>
  <c r="F225" i="213" s="1"/>
  <c r="H223" i="213"/>
  <c r="H6" i="213"/>
  <c r="F6" i="213" s="1"/>
  <c r="H7" i="213"/>
  <c r="F7" i="213" s="1"/>
  <c r="H8" i="213"/>
  <c r="F8" i="213" s="1"/>
  <c r="H9" i="213"/>
  <c r="F9" i="213" s="1"/>
  <c r="H10" i="213"/>
  <c r="F10" i="213" s="1"/>
  <c r="H11" i="213"/>
  <c r="F11" i="213" s="1"/>
  <c r="H12" i="213"/>
  <c r="F12" i="213" s="1"/>
  <c r="H13" i="213"/>
  <c r="F13" i="213" s="1"/>
  <c r="H14" i="213"/>
  <c r="F14" i="213" s="1"/>
  <c r="H15" i="213"/>
  <c r="F15" i="213" s="1"/>
  <c r="H16" i="213"/>
  <c r="F16" i="213" s="1"/>
  <c r="H17" i="213"/>
  <c r="H18" i="213"/>
  <c r="F18" i="213" s="1"/>
  <c r="H19" i="213"/>
  <c r="H20" i="213"/>
  <c r="F20" i="213" s="1"/>
  <c r="H21" i="213"/>
  <c r="F21" i="213" s="1"/>
  <c r="H22" i="213"/>
  <c r="F22" i="213" s="1"/>
  <c r="H23" i="213"/>
  <c r="F23" i="213" s="1"/>
  <c r="H24" i="213"/>
  <c r="F24" i="213" s="1"/>
  <c r="H25" i="213"/>
  <c r="F25" i="213" s="1"/>
  <c r="H26" i="213"/>
  <c r="F26" i="213" s="1"/>
  <c r="H27" i="213"/>
  <c r="F27" i="213" s="1"/>
  <c r="H28" i="213"/>
  <c r="F28" i="213" s="1"/>
  <c r="H29" i="213"/>
  <c r="F29" i="213" s="1"/>
  <c r="F10" i="399" s="1"/>
  <c r="G10" i="399" s="1"/>
  <c r="H30" i="213"/>
  <c r="H31" i="213"/>
  <c r="H32" i="213"/>
  <c r="F32" i="213" s="1"/>
  <c r="H33" i="213"/>
  <c r="F33" i="213" s="1"/>
  <c r="H34" i="213"/>
  <c r="H35" i="213"/>
  <c r="F35" i="213" s="1"/>
  <c r="H36" i="213"/>
  <c r="F36" i="213" s="1"/>
  <c r="H37" i="213"/>
  <c r="F37" i="213" s="1"/>
  <c r="H38" i="213"/>
  <c r="F38" i="213" s="1"/>
  <c r="H39" i="213"/>
  <c r="H40" i="213"/>
  <c r="F40" i="213" s="1"/>
  <c r="H41" i="213"/>
  <c r="F41" i="213" s="1"/>
  <c r="H42" i="213"/>
  <c r="F42" i="213" s="1"/>
  <c r="H43" i="213"/>
  <c r="F43" i="213" s="1"/>
  <c r="H44" i="213"/>
  <c r="F44" i="213" s="1"/>
  <c r="H45" i="213"/>
  <c r="F45" i="213" s="1"/>
  <c r="H46" i="213"/>
  <c r="F46" i="213" s="1"/>
  <c r="H47" i="213"/>
  <c r="F47" i="213" s="1"/>
  <c r="H48" i="213"/>
  <c r="F48" i="213" s="1"/>
  <c r="H49" i="213"/>
  <c r="F49" i="213" s="1"/>
  <c r="H50" i="213"/>
  <c r="F50" i="213" s="1"/>
  <c r="F51" i="213"/>
  <c r="H52" i="213"/>
  <c r="F52" i="213" s="1"/>
  <c r="H53" i="213"/>
  <c r="F53" i="213" s="1"/>
  <c r="H54" i="213"/>
  <c r="F54" i="213" s="1"/>
  <c r="H55" i="213"/>
  <c r="H56" i="213"/>
  <c r="F56" i="213" s="1"/>
  <c r="H57" i="213"/>
  <c r="H58" i="213"/>
  <c r="F58" i="213" s="1"/>
  <c r="H59" i="213"/>
  <c r="F59" i="213" s="1"/>
  <c r="H60" i="213"/>
  <c r="F60" i="213" s="1"/>
  <c r="H61" i="213"/>
  <c r="F61" i="213" s="1"/>
  <c r="H62" i="213"/>
  <c r="F62" i="213" s="1"/>
  <c r="H63" i="213"/>
  <c r="F63" i="213" s="1"/>
  <c r="H64" i="213"/>
  <c r="F64" i="213" s="1"/>
  <c r="H65" i="213"/>
  <c r="F65" i="213" s="1"/>
  <c r="H66" i="213"/>
  <c r="H67" i="213"/>
  <c r="F67" i="213" s="1"/>
  <c r="H68" i="213"/>
  <c r="H69" i="213"/>
  <c r="H70" i="213"/>
  <c r="H71" i="213"/>
  <c r="F71" i="213" s="1"/>
  <c r="H72" i="213"/>
  <c r="F72" i="213" s="1"/>
  <c r="H73" i="213"/>
  <c r="F73" i="213" s="1"/>
  <c r="H74" i="213"/>
  <c r="F74" i="213" s="1"/>
  <c r="H75" i="213"/>
  <c r="F75" i="213" s="1"/>
  <c r="H76" i="213"/>
  <c r="F76" i="213" s="1"/>
  <c r="H77" i="213"/>
  <c r="F77" i="213" s="1"/>
  <c r="H78" i="213"/>
  <c r="F78" i="213" s="1"/>
  <c r="H79" i="213"/>
  <c r="F79" i="213" s="1"/>
  <c r="H80" i="213"/>
  <c r="H81" i="213"/>
  <c r="H82" i="213"/>
  <c r="H83" i="213"/>
  <c r="H84" i="213"/>
  <c r="H85" i="213"/>
  <c r="H86" i="213"/>
  <c r="H87" i="213"/>
  <c r="F87" i="213" s="1"/>
  <c r="H88" i="213"/>
  <c r="F88" i="213" s="1"/>
  <c r="H89" i="213"/>
  <c r="F89" i="213" s="1"/>
  <c r="F13" i="342" s="1"/>
  <c r="G13" i="342" s="1"/>
  <c r="H90" i="213"/>
  <c r="F90" i="213" s="1"/>
  <c r="H91" i="213"/>
  <c r="F92" i="213"/>
  <c r="F93" i="213"/>
  <c r="H94" i="213"/>
  <c r="F94" i="213" s="1"/>
  <c r="H95" i="213"/>
  <c r="F95" i="213" s="1"/>
  <c r="H96" i="213"/>
  <c r="F96" i="213" s="1"/>
  <c r="H97" i="213"/>
  <c r="F97" i="213" s="1"/>
  <c r="H98" i="213"/>
  <c r="F98" i="213" s="1"/>
  <c r="H99" i="213"/>
  <c r="F99" i="213" s="1"/>
  <c r="H100" i="213"/>
  <c r="F100" i="213" s="1"/>
  <c r="H101" i="213"/>
  <c r="F101" i="213" s="1"/>
  <c r="H102" i="213"/>
  <c r="F102" i="213" s="1"/>
  <c r="H103" i="213"/>
  <c r="F103" i="213" s="1"/>
  <c r="H104" i="213"/>
  <c r="F104" i="213" s="1"/>
  <c r="H105" i="213"/>
  <c r="F105" i="213" s="1"/>
  <c r="H106" i="213"/>
  <c r="F106" i="213" s="1"/>
  <c r="H107" i="213"/>
  <c r="F107" i="213" s="1"/>
  <c r="H108" i="213"/>
  <c r="F108" i="213" s="1"/>
  <c r="H109" i="213"/>
  <c r="F109" i="213" s="1"/>
  <c r="H110" i="213"/>
  <c r="F110" i="213" s="1"/>
  <c r="H111" i="213"/>
  <c r="H112" i="213"/>
  <c r="H113" i="213"/>
  <c r="H114" i="213"/>
  <c r="H115" i="213"/>
  <c r="H116" i="213"/>
  <c r="H117" i="213"/>
  <c r="H118" i="213"/>
  <c r="H119" i="213"/>
  <c r="H120" i="213"/>
  <c r="H121" i="213"/>
  <c r="H122" i="213"/>
  <c r="H123" i="213"/>
  <c r="H124" i="213"/>
  <c r="H125" i="213"/>
  <c r="H126" i="213"/>
  <c r="H127" i="213"/>
  <c r="H128" i="213"/>
  <c r="F128" i="213" s="1"/>
  <c r="H129" i="213"/>
  <c r="H130" i="213"/>
  <c r="H131" i="213"/>
  <c r="F131" i="213" s="1"/>
  <c r="H132" i="213"/>
  <c r="F132" i="213" s="1"/>
  <c r="H133" i="213"/>
  <c r="F133" i="213" s="1"/>
  <c r="H134" i="213"/>
  <c r="F134" i="213" s="1"/>
  <c r="H135" i="213"/>
  <c r="H136" i="213"/>
  <c r="F136" i="213" s="1"/>
  <c r="H137" i="213"/>
  <c r="F137" i="213" s="1"/>
  <c r="F10" i="400" s="1"/>
  <c r="G10" i="400" s="1"/>
  <c r="H138" i="213"/>
  <c r="F138" i="213" s="1"/>
  <c r="H139" i="213"/>
  <c r="H140" i="213"/>
  <c r="H141" i="213"/>
  <c r="H142" i="213"/>
  <c r="H143" i="213"/>
  <c r="H144" i="213"/>
  <c r="H145" i="213"/>
  <c r="H146" i="213"/>
  <c r="F146" i="213" s="1"/>
  <c r="H147" i="213"/>
  <c r="F147" i="213" s="1"/>
  <c r="H148" i="213"/>
  <c r="F148" i="213" s="1"/>
  <c r="H149" i="213"/>
  <c r="F149" i="213" s="1"/>
  <c r="H150" i="213"/>
  <c r="F150" i="213" s="1"/>
  <c r="H151" i="213"/>
  <c r="H152" i="213"/>
  <c r="H153" i="213"/>
  <c r="H154" i="213"/>
  <c r="F154" i="213" s="1"/>
  <c r="H155" i="213"/>
  <c r="F155" i="213" s="1"/>
  <c r="H156" i="213"/>
  <c r="F156" i="213" s="1"/>
  <c r="H157" i="213"/>
  <c r="F157" i="213" s="1"/>
  <c r="H158" i="213"/>
  <c r="F158" i="213" s="1"/>
  <c r="F13" i="352" s="1"/>
  <c r="G13" i="352" s="1"/>
  <c r="H159" i="213"/>
  <c r="F159" i="213" s="1"/>
  <c r="H160" i="213"/>
  <c r="F160" i="213" s="1"/>
  <c r="H161" i="213"/>
  <c r="F161" i="213" s="1"/>
  <c r="H162" i="213"/>
  <c r="F162" i="213" s="1"/>
  <c r="H163" i="213"/>
  <c r="F163" i="213" s="1"/>
  <c r="H164" i="213"/>
  <c r="F164" i="213" s="1"/>
  <c r="H165" i="213"/>
  <c r="F165" i="213" s="1"/>
  <c r="H166" i="213"/>
  <c r="F166" i="213" s="1"/>
  <c r="H167" i="213"/>
  <c r="F167" i="213" s="1"/>
  <c r="H168" i="213"/>
  <c r="F168" i="213" s="1"/>
  <c r="H169" i="213"/>
  <c r="F169" i="213" s="1"/>
  <c r="H170" i="213"/>
  <c r="F170" i="213" s="1"/>
  <c r="H171" i="213"/>
  <c r="F171" i="213" s="1"/>
  <c r="H172" i="213"/>
  <c r="F172" i="213" s="1"/>
  <c r="H173" i="213"/>
  <c r="F173" i="213" s="1"/>
  <c r="H174" i="213"/>
  <c r="F174" i="213" s="1"/>
  <c r="H175" i="213"/>
  <c r="F175" i="213" s="1"/>
  <c r="H176" i="213"/>
  <c r="F176" i="213" s="1"/>
  <c r="H177" i="213"/>
  <c r="F177" i="213" s="1"/>
  <c r="H178" i="213"/>
  <c r="F178" i="213" s="1"/>
  <c r="H179" i="213"/>
  <c r="F179" i="213" s="1"/>
  <c r="H180" i="213"/>
  <c r="F180" i="213" s="1"/>
  <c r="H181" i="213"/>
  <c r="F181" i="213" s="1"/>
  <c r="H182" i="213"/>
  <c r="F182" i="213" s="1"/>
  <c r="H183" i="213"/>
  <c r="F183" i="213" s="1"/>
  <c r="H184" i="213"/>
  <c r="F184" i="213" s="1"/>
  <c r="H185" i="213"/>
  <c r="F185" i="213" s="1"/>
  <c r="H186" i="213"/>
  <c r="F186" i="213" s="1"/>
  <c r="H187" i="213"/>
  <c r="F187" i="213" s="1"/>
  <c r="H188" i="213"/>
  <c r="F188" i="213" s="1"/>
  <c r="H189" i="213"/>
  <c r="F189" i="213" s="1"/>
  <c r="H190" i="213"/>
  <c r="F190" i="213" s="1"/>
  <c r="H191" i="213"/>
  <c r="F191" i="213" s="1"/>
  <c r="H192" i="213"/>
  <c r="F192" i="213" s="1"/>
  <c r="H193" i="213"/>
  <c r="F193" i="213" s="1"/>
  <c r="H194" i="213"/>
  <c r="F194" i="213" s="1"/>
  <c r="H195" i="213"/>
  <c r="F195" i="213" s="1"/>
  <c r="H196" i="213"/>
  <c r="F196" i="213" s="1"/>
  <c r="H197" i="213"/>
  <c r="F197" i="213" s="1"/>
  <c r="H198" i="213"/>
  <c r="F198" i="213" s="1"/>
  <c r="H199" i="213"/>
  <c r="F199" i="213" s="1"/>
  <c r="H200" i="213"/>
  <c r="F200" i="213" s="1"/>
  <c r="H201" i="213"/>
  <c r="H202" i="213"/>
  <c r="H203" i="213"/>
  <c r="H5" i="213"/>
  <c r="F5" i="213" s="1"/>
  <c r="C42" i="238"/>
  <c r="C41" i="238"/>
  <c r="C43" i="238"/>
  <c r="F16" i="336"/>
  <c r="F15" i="336"/>
  <c r="B30" i="336"/>
  <c r="B29" i="336"/>
  <c r="B28" i="336"/>
  <c r="F23" i="336"/>
  <c r="F22" i="336"/>
  <c r="C16" i="336"/>
  <c r="D15" i="336"/>
  <c r="C15" i="336"/>
  <c r="B15" i="336"/>
  <c r="E10" i="336"/>
  <c r="D22" i="336" s="1"/>
  <c r="C10" i="336"/>
  <c r="B10" i="336"/>
  <c r="B9" i="336"/>
  <c r="C8" i="336"/>
  <c r="B8" i="336"/>
  <c r="F32" i="214"/>
  <c r="H32" i="214" s="1"/>
  <c r="F13" i="335"/>
  <c r="F20" i="335"/>
  <c r="B27" i="335"/>
  <c r="B25" i="335"/>
  <c r="D13" i="335"/>
  <c r="C13" i="335"/>
  <c r="B13" i="335"/>
  <c r="C8" i="335"/>
  <c r="B8" i="335"/>
  <c r="F41" i="331"/>
  <c r="F40" i="331"/>
  <c r="F27" i="331"/>
  <c r="C17" i="331"/>
  <c r="E17" i="331"/>
  <c r="B18" i="331"/>
  <c r="C18" i="331"/>
  <c r="B19" i="331"/>
  <c r="C19" i="331"/>
  <c r="E19" i="331"/>
  <c r="B20" i="331"/>
  <c r="C20" i="331"/>
  <c r="E20" i="331"/>
  <c r="F14" i="334"/>
  <c r="F26" i="334"/>
  <c r="F25" i="334"/>
  <c r="B26" i="334"/>
  <c r="B25" i="334"/>
  <c r="F20" i="334"/>
  <c r="F19" i="334"/>
  <c r="D14" i="334"/>
  <c r="C14" i="334"/>
  <c r="B14" i="334"/>
  <c r="E9" i="334"/>
  <c r="C9" i="334"/>
  <c r="E8" i="334"/>
  <c r="C8" i="334"/>
  <c r="F17" i="333"/>
  <c r="C12" i="333"/>
  <c r="E12" i="333"/>
  <c r="B31" i="333"/>
  <c r="B30" i="333"/>
  <c r="F25" i="333"/>
  <c r="F24" i="333"/>
  <c r="C19" i="333"/>
  <c r="C18" i="333"/>
  <c r="D17" i="333"/>
  <c r="C17" i="333"/>
  <c r="B17" i="333"/>
  <c r="E11" i="333"/>
  <c r="C11" i="333"/>
  <c r="E10" i="333"/>
  <c r="C10" i="333"/>
  <c r="E9" i="333"/>
  <c r="C9" i="333"/>
  <c r="E8" i="333"/>
  <c r="C8" i="333"/>
  <c r="F24" i="332"/>
  <c r="B29" i="332"/>
  <c r="F29" i="332"/>
  <c r="F30" i="332"/>
  <c r="F16" i="332"/>
  <c r="C17" i="332"/>
  <c r="C18" i="332"/>
  <c r="B30" i="332"/>
  <c r="F23" i="332"/>
  <c r="D16" i="332"/>
  <c r="C16" i="332"/>
  <c r="B16" i="332"/>
  <c r="E11" i="332"/>
  <c r="C11" i="332"/>
  <c r="E10" i="332"/>
  <c r="C10" i="332"/>
  <c r="E9" i="332"/>
  <c r="C9" i="332"/>
  <c r="E8" i="332"/>
  <c r="C8" i="332"/>
  <c r="D134" i="264"/>
  <c r="F133" i="264" s="1"/>
  <c r="F130" i="264"/>
  <c r="F127" i="264"/>
  <c r="F124" i="264"/>
  <c r="F121" i="264"/>
  <c r="F118" i="264"/>
  <c r="F115" i="264"/>
  <c r="F109" i="264"/>
  <c r="F103" i="264"/>
  <c r="F100" i="264"/>
  <c r="F97" i="264"/>
  <c r="F94" i="264"/>
  <c r="F91" i="264"/>
  <c r="F8" i="335"/>
  <c r="G8" i="335" s="1"/>
  <c r="G9" i="335" s="1"/>
  <c r="F88" i="264"/>
  <c r="F85" i="264"/>
  <c r="F82" i="264"/>
  <c r="F9" i="336" s="1"/>
  <c r="G9" i="336" s="1"/>
  <c r="F79" i="264"/>
  <c r="F143" i="264"/>
  <c r="F18" i="331" s="1"/>
  <c r="G18" i="331" s="1"/>
  <c r="D149" i="264"/>
  <c r="F149" i="264" s="1"/>
  <c r="F16" i="331" s="1"/>
  <c r="G16" i="331" s="1"/>
  <c r="D148" i="264"/>
  <c r="F147" i="264" s="1"/>
  <c r="F14" i="331" s="1"/>
  <c r="G14" i="331" s="1"/>
  <c r="D146" i="264"/>
  <c r="D145" i="264"/>
  <c r="D142" i="264"/>
  <c r="D141" i="264"/>
  <c r="D140" i="264"/>
  <c r="D139" i="264"/>
  <c r="D138" i="264"/>
  <c r="F137" i="264" s="1"/>
  <c r="F20" i="331" s="1"/>
  <c r="G20" i="331" s="1"/>
  <c r="D136" i="264"/>
  <c r="F135" i="264" s="1"/>
  <c r="F19" i="331" s="1"/>
  <c r="G19" i="331" s="1"/>
  <c r="D114" i="264"/>
  <c r="D113" i="264"/>
  <c r="D107" i="264"/>
  <c r="F106" i="264" s="1"/>
  <c r="E208" i="213"/>
  <c r="E18" i="331" s="1"/>
  <c r="D76" i="264"/>
  <c r="F75" i="264" s="1"/>
  <c r="F13" i="331" s="1"/>
  <c r="G13" i="331" s="1"/>
  <c r="D75" i="264"/>
  <c r="B41" i="331"/>
  <c r="B40" i="331"/>
  <c r="F34" i="331"/>
  <c r="D27" i="331"/>
  <c r="C27" i="331"/>
  <c r="B27" i="331"/>
  <c r="E22" i="331"/>
  <c r="C22" i="331"/>
  <c r="B22" i="331"/>
  <c r="E21" i="331"/>
  <c r="C21" i="331"/>
  <c r="B21" i="331"/>
  <c r="E16" i="331"/>
  <c r="C16" i="331"/>
  <c r="B16" i="331"/>
  <c r="E15" i="331"/>
  <c r="C15" i="331"/>
  <c r="B15" i="331"/>
  <c r="E14" i="331"/>
  <c r="C14" i="331"/>
  <c r="B14" i="331"/>
  <c r="E13" i="331"/>
  <c r="C13" i="331"/>
  <c r="B13" i="331"/>
  <c r="E12" i="331"/>
  <c r="C12" i="331"/>
  <c r="E11" i="331"/>
  <c r="C11" i="331"/>
  <c r="E10" i="331"/>
  <c r="C10" i="331"/>
  <c r="E9" i="331"/>
  <c r="C9" i="331"/>
  <c r="B9" i="331"/>
  <c r="C8" i="331"/>
  <c r="B8" i="331"/>
  <c r="F28" i="268"/>
  <c r="F15" i="268"/>
  <c r="D58" i="234"/>
  <c r="F58" i="234" s="1"/>
  <c r="D57" i="234"/>
  <c r="F57" i="234" s="1"/>
  <c r="D56" i="234"/>
  <c r="F56" i="234" s="1"/>
  <c r="D55" i="234"/>
  <c r="F55" i="234" s="1"/>
  <c r="D54" i="234"/>
  <c r="F54" i="234" s="1"/>
  <c r="D53" i="234"/>
  <c r="F53" i="234" s="1"/>
  <c r="D52" i="234"/>
  <c r="F52" i="234" s="1"/>
  <c r="D51" i="234"/>
  <c r="F51" i="234" s="1"/>
  <c r="E8" i="335"/>
  <c r="D20" i="335" s="1"/>
  <c r="F29" i="329"/>
  <c r="F28" i="329"/>
  <c r="D50" i="234"/>
  <c r="F50" i="234" s="1"/>
  <c r="D49" i="234"/>
  <c r="F49" i="234" s="1"/>
  <c r="B9" i="329"/>
  <c r="C9" i="329"/>
  <c r="E9" i="329"/>
  <c r="B29" i="329"/>
  <c r="B28" i="329"/>
  <c r="F23" i="329"/>
  <c r="F22" i="329"/>
  <c r="F15" i="329"/>
  <c r="D15" i="329"/>
  <c r="C15" i="329"/>
  <c r="B15" i="329"/>
  <c r="E10" i="329"/>
  <c r="C10" i="329"/>
  <c r="B10" i="329"/>
  <c r="E8" i="329"/>
  <c r="C8" i="329"/>
  <c r="B8" i="329"/>
  <c r="C21" i="234"/>
  <c r="B39" i="279"/>
  <c r="B38" i="279"/>
  <c r="F32" i="279"/>
  <c r="F31" i="279"/>
  <c r="D26" i="279"/>
  <c r="C26" i="279"/>
  <c r="B26" i="279"/>
  <c r="C17" i="279"/>
  <c r="C16" i="279"/>
  <c r="E8" i="279"/>
  <c r="C8" i="279"/>
  <c r="B8" i="279"/>
  <c r="F15" i="278"/>
  <c r="F14" i="278"/>
  <c r="D14" i="234"/>
  <c r="B28" i="278"/>
  <c r="F21" i="278"/>
  <c r="F20" i="278"/>
  <c r="D15" i="278"/>
  <c r="C15" i="278"/>
  <c r="B15" i="278"/>
  <c r="D14" i="278"/>
  <c r="C14" i="278"/>
  <c r="B14" i="278"/>
  <c r="G10" i="278"/>
  <c r="D21" i="278"/>
  <c r="D20" i="278"/>
  <c r="C22" i="234"/>
  <c r="D22" i="234" s="1"/>
  <c r="B28" i="276"/>
  <c r="B27" i="276"/>
  <c r="F21" i="276"/>
  <c r="F20" i="276"/>
  <c r="D13" i="276"/>
  <c r="C13" i="276"/>
  <c r="B13" i="276"/>
  <c r="E8" i="276"/>
  <c r="D20" i="276" s="1"/>
  <c r="C8" i="276"/>
  <c r="B8" i="276"/>
  <c r="B14" i="273"/>
  <c r="C14" i="273"/>
  <c r="E14" i="273"/>
  <c r="B29" i="274"/>
  <c r="B28" i="274"/>
  <c r="F22" i="274"/>
  <c r="F21" i="274"/>
  <c r="D14" i="274"/>
  <c r="G14" i="274" s="1"/>
  <c r="G17" i="274" s="1"/>
  <c r="C14" i="274"/>
  <c r="B14" i="274"/>
  <c r="E8" i="274"/>
  <c r="D21" i="274" s="1"/>
  <c r="C8" i="274"/>
  <c r="B8" i="274"/>
  <c r="F43" i="273"/>
  <c r="F42" i="273"/>
  <c r="F28" i="273"/>
  <c r="E22" i="273"/>
  <c r="B17" i="273"/>
  <c r="C17" i="273"/>
  <c r="E17" i="273"/>
  <c r="B18" i="273"/>
  <c r="C18" i="273"/>
  <c r="E18" i="273"/>
  <c r="B19" i="273"/>
  <c r="C19" i="273"/>
  <c r="E19" i="273"/>
  <c r="B20" i="273"/>
  <c r="C20" i="273"/>
  <c r="E20" i="273"/>
  <c r="B21" i="273"/>
  <c r="C21" i="273"/>
  <c r="E21" i="273"/>
  <c r="B22" i="273"/>
  <c r="C22" i="273"/>
  <c r="B23" i="273"/>
  <c r="C23" i="273"/>
  <c r="E23" i="273"/>
  <c r="B10" i="273"/>
  <c r="C10" i="273"/>
  <c r="E10" i="273"/>
  <c r="B11" i="273"/>
  <c r="C11" i="273"/>
  <c r="E11" i="273"/>
  <c r="B12" i="273"/>
  <c r="C12" i="273"/>
  <c r="E12" i="273"/>
  <c r="B13" i="273"/>
  <c r="C13" i="273"/>
  <c r="E13" i="273"/>
  <c r="B43" i="273"/>
  <c r="B42" i="273"/>
  <c r="F36" i="273"/>
  <c r="F35" i="273"/>
  <c r="D28" i="273"/>
  <c r="C28" i="273"/>
  <c r="B28" i="273"/>
  <c r="E16" i="273"/>
  <c r="C16" i="273"/>
  <c r="B16" i="273"/>
  <c r="E15" i="273"/>
  <c r="C15" i="273"/>
  <c r="B15" i="273"/>
  <c r="E9" i="273"/>
  <c r="C9" i="273"/>
  <c r="B9" i="273"/>
  <c r="E8" i="273"/>
  <c r="C8" i="273"/>
  <c r="B8" i="273"/>
  <c r="F18" i="272"/>
  <c r="D16" i="234"/>
  <c r="C15" i="234"/>
  <c r="B13" i="272"/>
  <c r="C13" i="272"/>
  <c r="E13" i="272"/>
  <c r="E138" i="213"/>
  <c r="B10" i="272"/>
  <c r="C10" i="272"/>
  <c r="B11" i="272"/>
  <c r="C11" i="272"/>
  <c r="E11" i="272"/>
  <c r="B12" i="272"/>
  <c r="C12" i="272"/>
  <c r="E136" i="213"/>
  <c r="E21" i="389" s="1"/>
  <c r="B33" i="272"/>
  <c r="B32" i="272"/>
  <c r="F26" i="272"/>
  <c r="F25" i="272"/>
  <c r="D18" i="272"/>
  <c r="C18" i="272"/>
  <c r="B18" i="272"/>
  <c r="C9" i="272"/>
  <c r="B9" i="272"/>
  <c r="E8" i="272"/>
  <c r="C8" i="272"/>
  <c r="B8" i="272"/>
  <c r="D48" i="234"/>
  <c r="F48" i="234" s="1"/>
  <c r="B17" i="270"/>
  <c r="C17" i="270"/>
  <c r="E17" i="270"/>
  <c r="B21" i="270"/>
  <c r="C21" i="270"/>
  <c r="E21" i="270"/>
  <c r="B22" i="270"/>
  <c r="C22" i="270"/>
  <c r="E22" i="270"/>
  <c r="B23" i="270"/>
  <c r="C23" i="270"/>
  <c r="E23" i="270"/>
  <c r="B8" i="270"/>
  <c r="C8" i="270"/>
  <c r="E8" i="270"/>
  <c r="B9" i="270"/>
  <c r="C9" i="270"/>
  <c r="E9" i="270"/>
  <c r="B10" i="270"/>
  <c r="C10" i="270"/>
  <c r="E10" i="270"/>
  <c r="B11" i="270"/>
  <c r="C11" i="270"/>
  <c r="E11" i="270"/>
  <c r="B12" i="270"/>
  <c r="C12" i="270"/>
  <c r="E12" i="270"/>
  <c r="B13" i="270"/>
  <c r="C13" i="270"/>
  <c r="E13" i="270"/>
  <c r="B15" i="270"/>
  <c r="C15" i="270"/>
  <c r="E15" i="270"/>
  <c r="B16" i="270"/>
  <c r="C16" i="270"/>
  <c r="B42" i="270"/>
  <c r="B41" i="270"/>
  <c r="F36" i="270"/>
  <c r="D28" i="270"/>
  <c r="C28" i="270"/>
  <c r="B28" i="270"/>
  <c r="B9" i="269"/>
  <c r="C9" i="269"/>
  <c r="E9" i="269"/>
  <c r="B10" i="269"/>
  <c r="C10" i="269"/>
  <c r="E10" i="269"/>
  <c r="B11" i="269"/>
  <c r="C11" i="269"/>
  <c r="E11" i="269"/>
  <c r="B30" i="269"/>
  <c r="B29" i="269"/>
  <c r="F24" i="269"/>
  <c r="D17" i="269"/>
  <c r="G17" i="269" s="1"/>
  <c r="C17" i="269"/>
  <c r="B17" i="269"/>
  <c r="C16" i="269"/>
  <c r="E8" i="269"/>
  <c r="C8" i="269"/>
  <c r="B8" i="269"/>
  <c r="C8" i="268"/>
  <c r="E8" i="268"/>
  <c r="B15" i="268"/>
  <c r="C15" i="268"/>
  <c r="D15" i="268"/>
  <c r="B28" i="268"/>
  <c r="F22" i="268"/>
  <c r="C14" i="268"/>
  <c r="F28" i="267"/>
  <c r="F34" i="267"/>
  <c r="F33" i="267"/>
  <c r="F20" i="267"/>
  <c r="D47" i="234"/>
  <c r="F47" i="234" s="1"/>
  <c r="B9" i="267"/>
  <c r="C9" i="267"/>
  <c r="E9" i="267"/>
  <c r="B10" i="267"/>
  <c r="C10" i="267"/>
  <c r="E10" i="267"/>
  <c r="B11" i="267"/>
  <c r="C11" i="267"/>
  <c r="E11" i="267"/>
  <c r="B12" i="267"/>
  <c r="C12" i="267"/>
  <c r="E12" i="267"/>
  <c r="B13" i="267"/>
  <c r="C13" i="267"/>
  <c r="E13" i="267"/>
  <c r="B14" i="267"/>
  <c r="C14" i="267"/>
  <c r="E14" i="267"/>
  <c r="E110" i="213"/>
  <c r="E8" i="267" s="1"/>
  <c r="B34" i="267"/>
  <c r="B33" i="267"/>
  <c r="D20" i="267"/>
  <c r="C20" i="267"/>
  <c r="B20" i="267"/>
  <c r="C8" i="267"/>
  <c r="B8" i="267"/>
  <c r="B13" i="212"/>
  <c r="B21" i="266" s="1"/>
  <c r="B28" i="266"/>
  <c r="B27" i="266"/>
  <c r="F21" i="266"/>
  <c r="C14" i="266"/>
  <c r="E8" i="266"/>
  <c r="D21" i="266" s="1"/>
  <c r="C8" i="266"/>
  <c r="B29" i="265"/>
  <c r="B28" i="265"/>
  <c r="F22" i="265"/>
  <c r="F21" i="265"/>
  <c r="D14" i="265"/>
  <c r="G14" i="265" s="1"/>
  <c r="G17" i="265" s="1"/>
  <c r="F37" i="298" s="1"/>
  <c r="C14" i="265"/>
  <c r="B14" i="265"/>
  <c r="E8" i="265"/>
  <c r="D21" i="265" s="1"/>
  <c r="C8" i="265"/>
  <c r="D21" i="263"/>
  <c r="D20" i="263"/>
  <c r="G9" i="263"/>
  <c r="E36" i="298" s="1"/>
  <c r="C101" i="213"/>
  <c r="C102" i="213"/>
  <c r="B11" i="331" s="1"/>
  <c r="C103" i="213"/>
  <c r="C104" i="213"/>
  <c r="C105" i="213"/>
  <c r="C106" i="213"/>
  <c r="C107" i="213"/>
  <c r="B8" i="265" s="1"/>
  <c r="C108" i="213"/>
  <c r="B8" i="266" s="1"/>
  <c r="C109" i="213"/>
  <c r="B17" i="331" s="1"/>
  <c r="C93" i="213"/>
  <c r="C94" i="213"/>
  <c r="C95" i="213"/>
  <c r="B9" i="332" s="1"/>
  <c r="C96" i="213"/>
  <c r="B11" i="332" s="1"/>
  <c r="C97" i="213"/>
  <c r="C98" i="213"/>
  <c r="B9" i="334" s="1"/>
  <c r="C99" i="213"/>
  <c r="C100" i="213"/>
  <c r="C92" i="213"/>
  <c r="B12" i="333" s="1"/>
  <c r="D74" i="264"/>
  <c r="D73" i="264"/>
  <c r="D71" i="264"/>
  <c r="E70" i="264" s="1"/>
  <c r="F70" i="264" s="1"/>
  <c r="D69" i="264"/>
  <c r="D68" i="264"/>
  <c r="D67" i="264"/>
  <c r="D66" i="264"/>
  <c r="E65" i="264" s="1"/>
  <c r="F65" i="264" s="1"/>
  <c r="E63" i="264"/>
  <c r="F63" i="264" s="1"/>
  <c r="E61" i="264"/>
  <c r="F61" i="264" s="1"/>
  <c r="D60" i="264"/>
  <c r="E58" i="264" s="1"/>
  <c r="F58" i="264" s="1"/>
  <c r="E55" i="264"/>
  <c r="F55" i="264" s="1"/>
  <c r="E52" i="264"/>
  <c r="F52" i="264" s="1"/>
  <c r="E49" i="264"/>
  <c r="F49" i="264" s="1"/>
  <c r="D48" i="264"/>
  <c r="E47" i="264" s="1"/>
  <c r="F47" i="264" s="1"/>
  <c r="D46" i="264"/>
  <c r="E45" i="264" s="1"/>
  <c r="F45" i="264" s="1"/>
  <c r="D44" i="264"/>
  <c r="D43" i="264"/>
  <c r="D42" i="264"/>
  <c r="D40" i="264"/>
  <c r="E40" i="264" s="1"/>
  <c r="F40" i="264" s="1"/>
  <c r="D39" i="264"/>
  <c r="D38" i="264"/>
  <c r="E38" i="264" s="1"/>
  <c r="F38" i="264" s="1"/>
  <c r="E37" i="264"/>
  <c r="F37" i="264" s="1"/>
  <c r="D36" i="264"/>
  <c r="D35" i="264"/>
  <c r="B12" i="215"/>
  <c r="B15" i="215"/>
  <c r="B14" i="215"/>
  <c r="B14" i="266" s="1"/>
  <c r="B13" i="215"/>
  <c r="B11" i="215"/>
  <c r="B16" i="336" s="1"/>
  <c r="B10" i="215"/>
  <c r="B9" i="215"/>
  <c r="B8" i="215"/>
  <c r="B19" i="333" s="1"/>
  <c r="B7" i="215"/>
  <c r="B18" i="333" s="1"/>
  <c r="D24" i="264"/>
  <c r="D23" i="264"/>
  <c r="D22" i="264"/>
  <c r="D21" i="264"/>
  <c r="D20" i="264"/>
  <c r="D19" i="264"/>
  <c r="D18" i="264"/>
  <c r="D17" i="264"/>
  <c r="D16" i="264"/>
  <c r="D15" i="264"/>
  <c r="D14" i="264"/>
  <c r="D13" i="264"/>
  <c r="D12" i="264"/>
  <c r="D11" i="264"/>
  <c r="D10" i="264"/>
  <c r="E9" i="264" s="1"/>
  <c r="F9" i="264" s="1"/>
  <c r="D9" i="215" s="1"/>
  <c r="D9" i="264"/>
  <c r="D8" i="264"/>
  <c r="D7" i="264"/>
  <c r="D6" i="264"/>
  <c r="D5" i="264"/>
  <c r="D4" i="264"/>
  <c r="D3" i="264"/>
  <c r="B27" i="263"/>
  <c r="F21" i="263"/>
  <c r="F20" i="263"/>
  <c r="D13" i="263"/>
  <c r="G13" i="263" s="1"/>
  <c r="C13" i="263"/>
  <c r="B13" i="263"/>
  <c r="F29" i="262"/>
  <c r="D46" i="234"/>
  <c r="F46" i="234" s="1"/>
  <c r="B44" i="262"/>
  <c r="B43" i="262"/>
  <c r="F37" i="262"/>
  <c r="F36" i="262"/>
  <c r="D29" i="262"/>
  <c r="C29" i="262"/>
  <c r="B29" i="262"/>
  <c r="E8" i="262"/>
  <c r="D36" i="262" s="1"/>
  <c r="C8" i="262"/>
  <c r="B8" i="262"/>
  <c r="F33" i="261"/>
  <c r="F32" i="261"/>
  <c r="F18" i="261"/>
  <c r="D45" i="234"/>
  <c r="F45" i="234" s="1"/>
  <c r="F37" i="260"/>
  <c r="F36" i="260"/>
  <c r="F22" i="260"/>
  <c r="B33" i="261"/>
  <c r="B32" i="261"/>
  <c r="F26" i="261"/>
  <c r="F25" i="261"/>
  <c r="D18" i="261"/>
  <c r="C18" i="261"/>
  <c r="B18" i="261"/>
  <c r="E13" i="261"/>
  <c r="C13" i="261"/>
  <c r="B13" i="261"/>
  <c r="E12" i="261"/>
  <c r="C12" i="261"/>
  <c r="B12" i="261"/>
  <c r="E10" i="261"/>
  <c r="C10" i="261"/>
  <c r="B10" i="261"/>
  <c r="E9" i="261"/>
  <c r="C9" i="261"/>
  <c r="B9" i="261"/>
  <c r="E8" i="261"/>
  <c r="C8" i="261"/>
  <c r="B8" i="261"/>
  <c r="E88" i="213"/>
  <c r="E87" i="213"/>
  <c r="E15" i="260" s="1"/>
  <c r="B37" i="260"/>
  <c r="B36" i="260"/>
  <c r="F30" i="260"/>
  <c r="F29" i="260"/>
  <c r="D22" i="260"/>
  <c r="C22" i="260"/>
  <c r="B22" i="260"/>
  <c r="E17" i="260"/>
  <c r="C17" i="260"/>
  <c r="B17" i="260"/>
  <c r="C16" i="260"/>
  <c r="B16" i="260"/>
  <c r="C15" i="260"/>
  <c r="B15" i="260"/>
  <c r="E14" i="260"/>
  <c r="C14" i="260"/>
  <c r="B14" i="260"/>
  <c r="E13" i="260"/>
  <c r="C13" i="260"/>
  <c r="B13" i="260"/>
  <c r="E12" i="260"/>
  <c r="C12" i="260"/>
  <c r="B12" i="260"/>
  <c r="E11" i="260"/>
  <c r="C11" i="260"/>
  <c r="B11" i="260"/>
  <c r="E10" i="260"/>
  <c r="C10" i="260"/>
  <c r="B10" i="260"/>
  <c r="E9" i="260"/>
  <c r="C9" i="260"/>
  <c r="B9" i="260"/>
  <c r="E8" i="260"/>
  <c r="C8" i="260"/>
  <c r="B8" i="260"/>
  <c r="E36" i="310"/>
  <c r="B17" i="279"/>
  <c r="B9" i="279"/>
  <c r="B16" i="279"/>
  <c r="F30" i="258"/>
  <c r="F29" i="258"/>
  <c r="F15" i="258"/>
  <c r="B30" i="258"/>
  <c r="B29" i="258"/>
  <c r="F23" i="258"/>
  <c r="F22" i="258"/>
  <c r="D15" i="258"/>
  <c r="C15" i="258"/>
  <c r="B15" i="258"/>
  <c r="E10" i="258"/>
  <c r="C10" i="258"/>
  <c r="B10" i="258"/>
  <c r="E9" i="258"/>
  <c r="C9" i="258"/>
  <c r="B9" i="258"/>
  <c r="E8" i="258"/>
  <c r="C8" i="258"/>
  <c r="B8" i="258"/>
  <c r="E43" i="213"/>
  <c r="E48" i="213"/>
  <c r="E49" i="213"/>
  <c r="E10" i="357" s="1"/>
  <c r="D31" i="234"/>
  <c r="F31" i="234" s="1"/>
  <c r="D32" i="234"/>
  <c r="F32" i="234" s="1"/>
  <c r="D33" i="234"/>
  <c r="F33" i="234" s="1"/>
  <c r="D34" i="234"/>
  <c r="F34" i="234" s="1"/>
  <c r="D35" i="234"/>
  <c r="F35" i="234" s="1"/>
  <c r="D36" i="234"/>
  <c r="F36" i="234" s="1"/>
  <c r="D37" i="234"/>
  <c r="F37" i="234" s="1"/>
  <c r="D38" i="234"/>
  <c r="F38" i="234" s="1"/>
  <c r="D39" i="234"/>
  <c r="F39" i="234" s="1"/>
  <c r="D40" i="234"/>
  <c r="F40" i="234" s="1"/>
  <c r="D41" i="234"/>
  <c r="F41" i="234" s="1"/>
  <c r="D42" i="234"/>
  <c r="F42" i="234" s="1"/>
  <c r="D43" i="234"/>
  <c r="F43" i="234" s="1"/>
  <c r="D44" i="234"/>
  <c r="F44" i="234" s="1"/>
  <c r="D30" i="234"/>
  <c r="F30" i="234" s="1"/>
  <c r="E10" i="121"/>
  <c r="E11" i="121"/>
  <c r="E8" i="121"/>
  <c r="G40" i="245"/>
  <c r="G54" i="245" s="1"/>
  <c r="E40" i="245"/>
  <c r="E54" i="245" s="1"/>
  <c r="D40" i="245"/>
  <c r="C40" i="245"/>
  <c r="C54" i="245" s="1"/>
  <c r="G39" i="245"/>
  <c r="D41" i="298" s="1"/>
  <c r="E39" i="245"/>
  <c r="D41" i="370" s="1"/>
  <c r="D39" i="245"/>
  <c r="C39" i="245"/>
  <c r="D41" i="310" s="1"/>
  <c r="G38" i="245"/>
  <c r="D40" i="298" s="1"/>
  <c r="E38" i="245"/>
  <c r="D40" i="370" s="1"/>
  <c r="D38" i="245"/>
  <c r="C38" i="245"/>
  <c r="D40" i="310" s="1"/>
  <c r="G37" i="245"/>
  <c r="D39" i="298" s="1"/>
  <c r="E37" i="245"/>
  <c r="D39" i="370" s="1"/>
  <c r="D37" i="245"/>
  <c r="C37" i="245"/>
  <c r="G36" i="245"/>
  <c r="D38" i="298" s="1"/>
  <c r="E36" i="245"/>
  <c r="D38" i="370" s="1"/>
  <c r="D36" i="245"/>
  <c r="C36" i="245"/>
  <c r="D38" i="310" s="1"/>
  <c r="G35" i="245"/>
  <c r="D37" i="298" s="1"/>
  <c r="E35" i="245"/>
  <c r="D37" i="370" s="1"/>
  <c r="D35" i="245"/>
  <c r="C35" i="245"/>
  <c r="D37" i="310" s="1"/>
  <c r="G34" i="245"/>
  <c r="D36" i="298" s="1"/>
  <c r="E34" i="245"/>
  <c r="D36" i="370" s="1"/>
  <c r="D34" i="245"/>
  <c r="B7" i="212"/>
  <c r="B36" i="378" s="1"/>
  <c r="B9" i="212"/>
  <c r="B6" i="212"/>
  <c r="B26" i="400" s="1"/>
  <c r="B5" i="212"/>
  <c r="B25" i="400" s="1"/>
  <c r="B8" i="212"/>
  <c r="E11" i="238"/>
  <c r="C8" i="214"/>
  <c r="E39" i="236"/>
  <c r="E38" i="236"/>
  <c r="C40" i="236"/>
  <c r="F14" i="236"/>
  <c r="F15" i="236"/>
  <c r="F16" i="236"/>
  <c r="F13" i="236"/>
  <c r="F9" i="236"/>
  <c r="G9" i="236" s="1"/>
  <c r="F13" i="214"/>
  <c r="F14" i="214"/>
  <c r="H14" i="214" s="1"/>
  <c r="F15" i="214"/>
  <c r="H15" i="214" s="1"/>
  <c r="F16" i="214"/>
  <c r="H16" i="214" s="1"/>
  <c r="F17" i="214"/>
  <c r="H17" i="214" s="1"/>
  <c r="F18" i="214"/>
  <c r="H18" i="214" s="1"/>
  <c r="C11" i="374" s="1"/>
  <c r="G11" i="374" s="1"/>
  <c r="F19" i="214"/>
  <c r="H19" i="214" s="1"/>
  <c r="F20" i="214"/>
  <c r="H20" i="214" s="1"/>
  <c r="F21" i="214"/>
  <c r="H21" i="214" s="1"/>
  <c r="C19" i="374" s="1"/>
  <c r="G19" i="374" s="1"/>
  <c r="F22" i="214"/>
  <c r="H22" i="214" s="1"/>
  <c r="F23" i="214"/>
  <c r="H23" i="214" s="1"/>
  <c r="C14" i="374" s="1"/>
  <c r="G14" i="374" s="1"/>
  <c r="F24" i="214"/>
  <c r="H24" i="214" s="1"/>
  <c r="F25" i="214"/>
  <c r="H25" i="214" s="1"/>
  <c r="F26" i="214"/>
  <c r="H26" i="214" s="1"/>
  <c r="F27" i="214"/>
  <c r="H27" i="214" s="1"/>
  <c r="F28" i="214"/>
  <c r="H28" i="214" s="1"/>
  <c r="C17" i="374" s="1"/>
  <c r="G17" i="374" s="1"/>
  <c r="F29" i="214"/>
  <c r="H29" i="214" s="1"/>
  <c r="C18" i="374" s="1"/>
  <c r="G18" i="374" s="1"/>
  <c r="F30" i="214"/>
  <c r="H30" i="214" s="1"/>
  <c r="F31" i="214"/>
  <c r="H31" i="214" s="1"/>
  <c r="D6" i="224"/>
  <c r="F6" i="224" s="1"/>
  <c r="F24" i="121"/>
  <c r="F23" i="121"/>
  <c r="D7" i="224"/>
  <c r="F7" i="224" s="1"/>
  <c r="D8" i="224"/>
  <c r="F8" i="224" s="1"/>
  <c r="E5" i="224"/>
  <c r="F5" i="224" s="1"/>
  <c r="H4" i="225"/>
  <c r="C4" i="225"/>
  <c r="E39" i="219"/>
  <c r="E40" i="219"/>
  <c r="G33" i="219"/>
  <c r="G32" i="219"/>
  <c r="C18" i="219"/>
  <c r="D18" i="219"/>
  <c r="I18" i="219"/>
  <c r="J16" i="219"/>
  <c r="I26" i="219"/>
  <c r="D26" i="219"/>
  <c r="C26" i="219"/>
  <c r="I25" i="219"/>
  <c r="D25" i="219"/>
  <c r="C25" i="219"/>
  <c r="I24" i="219"/>
  <c r="D24" i="219"/>
  <c r="C24" i="219"/>
  <c r="I23" i="219"/>
  <c r="D23" i="219"/>
  <c r="C23" i="219"/>
  <c r="I22" i="219"/>
  <c r="D22" i="219"/>
  <c r="C22" i="219"/>
  <c r="I21" i="219"/>
  <c r="D21" i="219"/>
  <c r="C21" i="219"/>
  <c r="I20" i="219"/>
  <c r="D20" i="219"/>
  <c r="C20" i="219"/>
  <c r="I19" i="219"/>
  <c r="D19" i="219"/>
  <c r="C19" i="219"/>
  <c r="I17" i="219"/>
  <c r="D17" i="219"/>
  <c r="C17" i="219"/>
  <c r="I16" i="219"/>
  <c r="D16" i="219"/>
  <c r="C16" i="219"/>
  <c r="D24" i="197"/>
  <c r="F24" i="197" s="1"/>
  <c r="F27" i="197" s="1"/>
  <c r="J18" i="219"/>
  <c r="I4" i="225"/>
  <c r="J23" i="219"/>
  <c r="J25" i="219"/>
  <c r="J19" i="219"/>
  <c r="J21" i="219"/>
  <c r="J22" i="219"/>
  <c r="B31" i="121"/>
  <c r="D17" i="234"/>
  <c r="D18" i="234"/>
  <c r="D19" i="234"/>
  <c r="D20" i="234"/>
  <c r="D21" i="234"/>
  <c r="D23" i="234"/>
  <c r="D13" i="234"/>
  <c r="B30" i="121"/>
  <c r="B32" i="197"/>
  <c r="B31" i="197"/>
  <c r="B24" i="197"/>
  <c r="D18" i="197"/>
  <c r="F18" i="197" s="1"/>
  <c r="B18" i="197"/>
  <c r="B17" i="197"/>
  <c r="C16" i="121"/>
  <c r="B16" i="121"/>
  <c r="C10" i="121"/>
  <c r="C11" i="121"/>
  <c r="C8" i="121"/>
  <c r="B10" i="121"/>
  <c r="B11" i="121"/>
  <c r="B8" i="121"/>
  <c r="D16" i="121"/>
  <c r="G16" i="121" s="1"/>
  <c r="G19" i="121" s="1"/>
  <c r="D61" i="219"/>
  <c r="D62" i="219"/>
  <c r="D64" i="219"/>
  <c r="D66" i="219"/>
  <c r="D60" i="219"/>
  <c r="D17" i="197"/>
  <c r="F17" i="197" s="1"/>
  <c r="D5" i="215"/>
  <c r="B21" i="216"/>
  <c r="B27" i="216" s="1"/>
  <c r="B17" i="216"/>
  <c r="B26" i="216" s="1"/>
  <c r="D3" i="220"/>
  <c r="F52" i="219"/>
  <c r="B10" i="216"/>
  <c r="B25" i="216" s="1"/>
  <c r="B5" i="216"/>
  <c r="B24" i="216" s="1"/>
  <c r="F13" i="197"/>
  <c r="G9" i="224"/>
  <c r="F2" i="219"/>
  <c r="G2" i="219" s="1"/>
  <c r="F5" i="219"/>
  <c r="E4" i="233"/>
  <c r="D29" i="364" l="1"/>
  <c r="D30" i="364"/>
  <c r="F19" i="358"/>
  <c r="G19" i="358" s="1"/>
  <c r="F13" i="361"/>
  <c r="G13" i="361" s="1"/>
  <c r="D33" i="362"/>
  <c r="D32" i="362"/>
  <c r="G19" i="335"/>
  <c r="D34" i="331"/>
  <c r="D33" i="358"/>
  <c r="D32" i="358"/>
  <c r="G32" i="358" s="1"/>
  <c r="F8" i="400"/>
  <c r="G8" i="400" s="1"/>
  <c r="F19" i="353"/>
  <c r="G19" i="353" s="1"/>
  <c r="G19" i="363"/>
  <c r="G22" i="363" s="1"/>
  <c r="G5" i="402"/>
  <c r="M5" i="402" s="1"/>
  <c r="G6" i="408"/>
  <c r="M6" i="408" s="1"/>
  <c r="F16" i="238"/>
  <c r="D10" i="408"/>
  <c r="D9" i="408"/>
  <c r="D8" i="408"/>
  <c r="H13" i="214"/>
  <c r="E21" i="264"/>
  <c r="F21" i="264" s="1"/>
  <c r="D14" i="215" s="1"/>
  <c r="C15" i="374"/>
  <c r="G15" i="374" s="1"/>
  <c r="E5" i="402"/>
  <c r="D32" i="279"/>
  <c r="G32" i="279" s="1"/>
  <c r="D31" i="279"/>
  <c r="G31" i="279" s="1"/>
  <c r="C12" i="374"/>
  <c r="G12" i="374" s="1"/>
  <c r="E17" i="264"/>
  <c r="F17" i="264" s="1"/>
  <c r="D13" i="215" s="1"/>
  <c r="B17" i="332"/>
  <c r="F141" i="264"/>
  <c r="F22" i="331" s="1"/>
  <c r="G22" i="331" s="1"/>
  <c r="C13" i="374"/>
  <c r="G13" i="374" s="1"/>
  <c r="G16" i="374"/>
  <c r="G15" i="329"/>
  <c r="G18" i="329" s="1"/>
  <c r="D9" i="402"/>
  <c r="D8" i="402"/>
  <c r="D7" i="402"/>
  <c r="F12" i="279"/>
  <c r="G12" i="279" s="1"/>
  <c r="F11" i="279"/>
  <c r="G11" i="279" s="1"/>
  <c r="C25" i="238"/>
  <c r="E12" i="400"/>
  <c r="F9" i="399"/>
  <c r="G9" i="399" s="1"/>
  <c r="F12" i="400"/>
  <c r="G12" i="400" s="1"/>
  <c r="E16" i="391"/>
  <c r="D23" i="121"/>
  <c r="G23" i="121" s="1"/>
  <c r="G15" i="279"/>
  <c r="G21" i="279"/>
  <c r="G14" i="279"/>
  <c r="G18" i="279"/>
  <c r="G20" i="279"/>
  <c r="G10" i="279"/>
  <c r="G19" i="279"/>
  <c r="B23" i="399"/>
  <c r="B37" i="378"/>
  <c r="B23" i="392"/>
  <c r="B22" i="399"/>
  <c r="B22" i="392"/>
  <c r="F9" i="391"/>
  <c r="G27" i="331"/>
  <c r="G30" i="331" s="1"/>
  <c r="F24" i="310" s="1"/>
  <c r="G32" i="214"/>
  <c r="C29" i="336" s="1"/>
  <c r="G33" i="214"/>
  <c r="G34" i="214"/>
  <c r="G19" i="214"/>
  <c r="F17" i="213"/>
  <c r="F17" i="273" s="1"/>
  <c r="G17" i="273" s="1"/>
  <c r="F152" i="213"/>
  <c r="F249" i="213"/>
  <c r="F12" i="366" s="1"/>
  <c r="G12" i="366" s="1"/>
  <c r="F151" i="213"/>
  <c r="F8" i="274" s="1"/>
  <c r="F111" i="213"/>
  <c r="F9" i="267" s="1"/>
  <c r="G9" i="267" s="1"/>
  <c r="F8" i="338"/>
  <c r="G8" i="338" s="1"/>
  <c r="F226" i="213"/>
  <c r="F129" i="213"/>
  <c r="F21" i="270" s="1"/>
  <c r="G21" i="270" s="1"/>
  <c r="F144" i="213"/>
  <c r="F19" i="361" s="1"/>
  <c r="G19" i="361" s="1"/>
  <c r="F80" i="213"/>
  <c r="F8" i="260" s="1"/>
  <c r="G8" i="260" s="1"/>
  <c r="F135" i="213"/>
  <c r="F8" i="383" s="1"/>
  <c r="G8" i="383" s="1"/>
  <c r="F250" i="213"/>
  <c r="F16" i="366" s="1"/>
  <c r="G16" i="366" s="1"/>
  <c r="F142" i="213"/>
  <c r="F11" i="273" s="1"/>
  <c r="G11" i="273" s="1"/>
  <c r="F126" i="213"/>
  <c r="F118" i="213"/>
  <c r="F8" i="269" s="1"/>
  <c r="G8" i="269" s="1"/>
  <c r="F86" i="213"/>
  <c r="F14" i="260" s="1"/>
  <c r="G14" i="260" s="1"/>
  <c r="F70" i="213"/>
  <c r="F30" i="213"/>
  <c r="H4" i="398" s="1"/>
  <c r="I4" i="398" s="1"/>
  <c r="F81" i="213"/>
  <c r="F9" i="260" s="1"/>
  <c r="G9" i="260" s="1"/>
  <c r="F120" i="213"/>
  <c r="F10" i="269" s="1"/>
  <c r="G10" i="269" s="1"/>
  <c r="F127" i="213"/>
  <c r="F201" i="213"/>
  <c r="F8" i="329" s="1"/>
  <c r="G8" i="329" s="1"/>
  <c r="F145" i="213"/>
  <c r="F15" i="273" s="1"/>
  <c r="G15" i="273" s="1"/>
  <c r="F121" i="213"/>
  <c r="F11" i="269" s="1"/>
  <c r="G11" i="269" s="1"/>
  <c r="F143" i="213"/>
  <c r="F12" i="273" s="1"/>
  <c r="G12" i="273" s="1"/>
  <c r="F119" i="213"/>
  <c r="F9" i="269" s="1"/>
  <c r="G9" i="269" s="1"/>
  <c r="F55" i="213"/>
  <c r="F13" i="387" s="1"/>
  <c r="G13" i="387" s="1"/>
  <c r="F31" i="213"/>
  <c r="F9" i="384" s="1"/>
  <c r="G9" i="384" s="1"/>
  <c r="F117" i="213"/>
  <c r="F223" i="213"/>
  <c r="F232" i="213"/>
  <c r="F8" i="359" s="1"/>
  <c r="G8" i="359" s="1"/>
  <c r="F140" i="213"/>
  <c r="F9" i="273" s="1"/>
  <c r="G9" i="273" s="1"/>
  <c r="F124" i="213"/>
  <c r="F9" i="270" s="1"/>
  <c r="G9" i="270" s="1"/>
  <c r="F116" i="213"/>
  <c r="F84" i="213"/>
  <c r="F12" i="260" s="1"/>
  <c r="G12" i="260" s="1"/>
  <c r="F68" i="213"/>
  <c r="F8" i="258" s="1"/>
  <c r="G8" i="258" s="1"/>
  <c r="F229" i="213"/>
  <c r="F14" i="353" s="1"/>
  <c r="G14" i="353" s="1"/>
  <c r="F235" i="213"/>
  <c r="F243" i="213"/>
  <c r="F17" i="362" s="1"/>
  <c r="G17" i="362" s="1"/>
  <c r="F113" i="213"/>
  <c r="F11" i="267" s="1"/>
  <c r="G11" i="267" s="1"/>
  <c r="F248" i="213"/>
  <c r="F11" i="366" s="1"/>
  <c r="G11" i="366" s="1"/>
  <c r="F112" i="213"/>
  <c r="F10" i="267" s="1"/>
  <c r="G10" i="267" s="1"/>
  <c r="F39" i="213"/>
  <c r="F237" i="213"/>
  <c r="F16" i="358" s="1"/>
  <c r="G16" i="358" s="1"/>
  <c r="F141" i="213"/>
  <c r="F10" i="273" s="1"/>
  <c r="G10" i="273" s="1"/>
  <c r="F125" i="213"/>
  <c r="F10" i="270" s="1"/>
  <c r="G10" i="270" s="1"/>
  <c r="F85" i="213"/>
  <c r="F13" i="260" s="1"/>
  <c r="G13" i="260" s="1"/>
  <c r="F69" i="213"/>
  <c r="F203" i="213"/>
  <c r="F10" i="329" s="1"/>
  <c r="G10" i="329" s="1"/>
  <c r="F139" i="213"/>
  <c r="F8" i="273" s="1"/>
  <c r="G8" i="273" s="1"/>
  <c r="F123" i="213"/>
  <c r="F8" i="270" s="1"/>
  <c r="G8" i="270" s="1"/>
  <c r="F115" i="213"/>
  <c r="F13" i="267" s="1"/>
  <c r="G13" i="267" s="1"/>
  <c r="F91" i="213"/>
  <c r="F83" i="213"/>
  <c r="F11" i="260" s="1"/>
  <c r="G11" i="260" s="1"/>
  <c r="F19" i="213"/>
  <c r="F153" i="213"/>
  <c r="F8" i="276" s="1"/>
  <c r="F57" i="213"/>
  <c r="F202" i="213"/>
  <c r="F9" i="329" s="1"/>
  <c r="G9" i="329" s="1"/>
  <c r="F130" i="213"/>
  <c r="F16" i="270" s="1"/>
  <c r="G16" i="270" s="1"/>
  <c r="F122" i="213"/>
  <c r="F18" i="270" s="1"/>
  <c r="G18" i="270" s="1"/>
  <c r="F114" i="213"/>
  <c r="F12" i="267" s="1"/>
  <c r="G12" i="267" s="1"/>
  <c r="F82" i="213"/>
  <c r="F10" i="260" s="1"/>
  <c r="G10" i="260" s="1"/>
  <c r="F66" i="213"/>
  <c r="F11" i="342" s="1"/>
  <c r="G11" i="342" s="1"/>
  <c r="F34" i="213"/>
  <c r="H6" i="398" s="1"/>
  <c r="F245" i="213"/>
  <c r="F16" i="361" s="1"/>
  <c r="G16" i="361" s="1"/>
  <c r="F247" i="213"/>
  <c r="F8" i="365" s="1"/>
  <c r="G8" i="365" s="1"/>
  <c r="G28" i="273"/>
  <c r="G31" i="273" s="1"/>
  <c r="F6" i="391"/>
  <c r="F10" i="338"/>
  <c r="G10" i="338" s="1"/>
  <c r="B33" i="389"/>
  <c r="B32" i="388"/>
  <c r="B26" i="387"/>
  <c r="G13" i="276"/>
  <c r="G16" i="276" s="1"/>
  <c r="G14" i="278"/>
  <c r="G13" i="335"/>
  <c r="G15" i="335" s="1"/>
  <c r="F28" i="370" s="1"/>
  <c r="G15" i="268"/>
  <c r="C35" i="238"/>
  <c r="F20" i="388"/>
  <c r="G20" i="388" s="1"/>
  <c r="F20" i="362"/>
  <c r="G20" i="362" s="1"/>
  <c r="E20" i="366"/>
  <c r="E10" i="367"/>
  <c r="E10" i="387"/>
  <c r="E9" i="367"/>
  <c r="E9" i="387"/>
  <c r="B33" i="388"/>
  <c r="B34" i="389"/>
  <c r="B27" i="387"/>
  <c r="B27" i="384"/>
  <c r="B29" i="385"/>
  <c r="B26" i="383"/>
  <c r="B32" i="386"/>
  <c r="F12" i="367"/>
  <c r="G12" i="367" s="1"/>
  <c r="F12" i="387"/>
  <c r="G12" i="387" s="1"/>
  <c r="F10" i="388"/>
  <c r="G10" i="388" s="1"/>
  <c r="F17" i="386"/>
  <c r="G17" i="386" s="1"/>
  <c r="F18" i="389"/>
  <c r="G18" i="389" s="1"/>
  <c r="F14" i="385"/>
  <c r="G14" i="385" s="1"/>
  <c r="F12" i="361"/>
  <c r="G12" i="361" s="1"/>
  <c r="F12" i="389"/>
  <c r="G12" i="389" s="1"/>
  <c r="F13" i="384"/>
  <c r="G13" i="384" s="1"/>
  <c r="F11" i="367"/>
  <c r="G11" i="367" s="1"/>
  <c r="F11" i="387"/>
  <c r="G11" i="387" s="1"/>
  <c r="F17" i="354"/>
  <c r="G17" i="354" s="1"/>
  <c r="F11" i="389"/>
  <c r="G11" i="389" s="1"/>
  <c r="F17" i="388"/>
  <c r="G17" i="388" s="1"/>
  <c r="F13" i="385"/>
  <c r="G13" i="385" s="1"/>
  <c r="F14" i="367"/>
  <c r="G14" i="367" s="1"/>
  <c r="F14" i="387"/>
  <c r="G14" i="387" s="1"/>
  <c r="F13" i="360"/>
  <c r="G13" i="360" s="1"/>
  <c r="F13" i="383"/>
  <c r="G13" i="383" s="1"/>
  <c r="F20" i="389"/>
  <c r="G20" i="389" s="1"/>
  <c r="F19" i="366"/>
  <c r="G19" i="366" s="1"/>
  <c r="F19" i="386"/>
  <c r="G19" i="386" s="1"/>
  <c r="F13" i="364"/>
  <c r="G13" i="364" s="1"/>
  <c r="F18" i="354"/>
  <c r="G18" i="354" s="1"/>
  <c r="F14" i="389"/>
  <c r="G14" i="389" s="1"/>
  <c r="F13" i="270"/>
  <c r="G13" i="270" s="1"/>
  <c r="F10" i="386"/>
  <c r="G10" i="386" s="1"/>
  <c r="F9" i="367"/>
  <c r="G9" i="367" s="1"/>
  <c r="F9" i="387"/>
  <c r="G9" i="387" s="1"/>
  <c r="B26" i="384"/>
  <c r="B31" i="386"/>
  <c r="B28" i="385"/>
  <c r="B25" i="383"/>
  <c r="G30" i="214"/>
  <c r="J17" i="219"/>
  <c r="B18" i="332"/>
  <c r="G21" i="263"/>
  <c r="G14" i="334"/>
  <c r="G15" i="334" s="1"/>
  <c r="F27" i="310" s="1"/>
  <c r="G15" i="336"/>
  <c r="G22" i="214"/>
  <c r="F112" i="264"/>
  <c r="F145" i="264"/>
  <c r="G18" i="360"/>
  <c r="G21" i="360" s="1"/>
  <c r="F7" i="370" s="1"/>
  <c r="G25" i="362"/>
  <c r="G28" i="362" s="1"/>
  <c r="F8" i="298" s="1"/>
  <c r="G25" i="214"/>
  <c r="G16" i="214"/>
  <c r="C29" i="332" s="1"/>
  <c r="B32" i="366"/>
  <c r="B22" i="381"/>
  <c r="G26" i="279"/>
  <c r="G27" i="279" s="1"/>
  <c r="G17" i="214"/>
  <c r="G14" i="214"/>
  <c r="C33" i="272" s="1"/>
  <c r="B27" i="367"/>
  <c r="B23" i="381"/>
  <c r="B23" i="382"/>
  <c r="E22" i="298"/>
  <c r="E22" i="370"/>
  <c r="G22" i="260"/>
  <c r="G25" i="260" s="1"/>
  <c r="F77" i="264"/>
  <c r="F8" i="336" s="1"/>
  <c r="G8" i="336" s="1"/>
  <c r="G29" i="214"/>
  <c r="G31" i="214"/>
  <c r="E35" i="264"/>
  <c r="F35" i="264" s="1"/>
  <c r="F12" i="333" s="1"/>
  <c r="G12" i="333" s="1"/>
  <c r="G13" i="214"/>
  <c r="C29" i="365" s="1"/>
  <c r="F3" i="219"/>
  <c r="E72" i="264"/>
  <c r="F72" i="264" s="1"/>
  <c r="F17" i="331" s="1"/>
  <c r="G17" i="331" s="1"/>
  <c r="G15" i="347"/>
  <c r="G18" i="347" s="1"/>
  <c r="F14" i="310" s="1"/>
  <c r="G19" i="367"/>
  <c r="G22" i="367" s="1"/>
  <c r="F16" i="298" s="1"/>
  <c r="G19" i="368"/>
  <c r="G22" i="368" s="1"/>
  <c r="F18" i="298" s="1"/>
  <c r="F4" i="219"/>
  <c r="E62" i="219" s="1"/>
  <c r="B28" i="216"/>
  <c r="B26" i="355"/>
  <c r="E23" i="264"/>
  <c r="F23" i="264" s="1"/>
  <c r="D15" i="215" s="1"/>
  <c r="G16" i="263" s="1"/>
  <c r="G25" i="353"/>
  <c r="G28" i="353" s="1"/>
  <c r="D16" i="269"/>
  <c r="G16" i="269" s="1"/>
  <c r="G19" i="269" s="1"/>
  <c r="F41" i="298" s="1"/>
  <c r="D14" i="268"/>
  <c r="G14" i="268" s="1"/>
  <c r="D14" i="266"/>
  <c r="G14" i="266" s="1"/>
  <c r="G17" i="266" s="1"/>
  <c r="F38" i="370" s="1"/>
  <c r="G20" i="214"/>
  <c r="G18" i="261"/>
  <c r="G21" i="261" s="1"/>
  <c r="F34" i="310" s="1"/>
  <c r="G29" i="262"/>
  <c r="G32" i="262" s="1"/>
  <c r="E6" i="264"/>
  <c r="F6" i="264" s="1"/>
  <c r="D8" i="215" s="1"/>
  <c r="D18" i="332" s="1"/>
  <c r="G18" i="332" s="1"/>
  <c r="E14" i="264"/>
  <c r="F14" i="264" s="1"/>
  <c r="D11" i="215" s="1"/>
  <c r="D16" i="336" s="1"/>
  <c r="G16" i="336" s="1"/>
  <c r="K21" i="336"/>
  <c r="G28" i="214"/>
  <c r="G18" i="272"/>
  <c r="G21" i="272" s="1"/>
  <c r="G15" i="338"/>
  <c r="G18" i="338" s="1"/>
  <c r="F6" i="298" s="1"/>
  <c r="G16" i="332"/>
  <c r="D24" i="234"/>
  <c r="A4" i="233" s="1"/>
  <c r="D4" i="233" s="1"/>
  <c r="B16" i="233" s="1"/>
  <c r="E42" i="264"/>
  <c r="F42" i="264" s="1"/>
  <c r="F11" i="332" s="1"/>
  <c r="G11" i="332" s="1"/>
  <c r="G22" i="268"/>
  <c r="G24" i="268" s="1"/>
  <c r="G20" i="278"/>
  <c r="G15" i="278"/>
  <c r="J20" i="219"/>
  <c r="G15" i="214"/>
  <c r="C31" i="197" s="1"/>
  <c r="E3" i="264"/>
  <c r="F3" i="264" s="1"/>
  <c r="D7" i="215" s="1"/>
  <c r="D18" i="333" s="1"/>
  <c r="G18" i="333" s="1"/>
  <c r="E11" i="264"/>
  <c r="F11" i="264" s="1"/>
  <c r="D10" i="215" s="1"/>
  <c r="E19" i="264"/>
  <c r="F19" i="264" s="1"/>
  <c r="G20" i="342"/>
  <c r="G23" i="342" s="1"/>
  <c r="F9" i="310" s="1"/>
  <c r="G19" i="355"/>
  <c r="G22" i="355" s="1"/>
  <c r="F11" i="310" s="1"/>
  <c r="G14" i="356"/>
  <c r="G17" i="356" s="1"/>
  <c r="F13" i="310" s="1"/>
  <c r="G25" i="361"/>
  <c r="G28" i="361" s="1"/>
  <c r="F10" i="298" s="1"/>
  <c r="B20" i="276"/>
  <c r="G25" i="358"/>
  <c r="G28" i="358" s="1"/>
  <c r="F15" i="310" s="1"/>
  <c r="G15" i="365"/>
  <c r="G18" i="365" s="1"/>
  <c r="F14" i="298" s="1"/>
  <c r="G25" i="366"/>
  <c r="G28" i="366" s="1"/>
  <c r="G18" i="214"/>
  <c r="F17" i="236"/>
  <c r="E67" i="264"/>
  <c r="F67" i="264" s="1"/>
  <c r="F8" i="265" s="1"/>
  <c r="G8" i="265" s="1"/>
  <c r="G10" i="265" s="1"/>
  <c r="E37" i="298" s="1"/>
  <c r="F139" i="264"/>
  <c r="F21" i="331" s="1"/>
  <c r="G21" i="331" s="1"/>
  <c r="G17" i="333"/>
  <c r="G18" i="352"/>
  <c r="G21" i="352" s="1"/>
  <c r="F7" i="310" s="1"/>
  <c r="D63" i="219"/>
  <c r="C18" i="235"/>
  <c r="D33" i="367"/>
  <c r="D33" i="355"/>
  <c r="D33" i="352"/>
  <c r="D26" i="334"/>
  <c r="D40" i="331"/>
  <c r="D42" i="270"/>
  <c r="D37" i="260"/>
  <c r="H16" i="219"/>
  <c r="D30" i="338"/>
  <c r="D25" i="334"/>
  <c r="D37" i="364"/>
  <c r="D39" i="361"/>
  <c r="D40" i="361"/>
  <c r="D40" i="353"/>
  <c r="D32" i="345"/>
  <c r="D34" i="363"/>
  <c r="D40" i="358"/>
  <c r="D32" i="352"/>
  <c r="D34" i="355"/>
  <c r="D35" i="342"/>
  <c r="D29" i="336"/>
  <c r="G29" i="336" s="1"/>
  <c r="D31" i="333"/>
  <c r="D25" i="335"/>
  <c r="D26" i="335"/>
  <c r="D30" i="365"/>
  <c r="D33" i="363"/>
  <c r="D39" i="358"/>
  <c r="D41" i="354"/>
  <c r="D29" i="347"/>
  <c r="D28" i="336"/>
  <c r="D41" i="331"/>
  <c r="D33" i="359"/>
  <c r="D36" i="364"/>
  <c r="D33" i="357"/>
  <c r="D29" i="365"/>
  <c r="D30" i="336"/>
  <c r="D28" i="329"/>
  <c r="D28" i="276"/>
  <c r="D28" i="268"/>
  <c r="D43" i="262"/>
  <c r="H24" i="219"/>
  <c r="D32" i="360"/>
  <c r="D33" i="368"/>
  <c r="D40" i="354"/>
  <c r="D30" i="333"/>
  <c r="D28" i="278"/>
  <c r="D29" i="258"/>
  <c r="H22" i="219"/>
  <c r="D30" i="121"/>
  <c r="D33" i="267"/>
  <c r="H17" i="219"/>
  <c r="D39" i="366"/>
  <c r="D29" i="274"/>
  <c r="D36" i="260"/>
  <c r="H25" i="219"/>
  <c r="D39" i="353"/>
  <c r="D33" i="272"/>
  <c r="D34" i="357"/>
  <c r="D28" i="274"/>
  <c r="D32" i="272"/>
  <c r="D33" i="360"/>
  <c r="D34" i="368"/>
  <c r="D29" i="356"/>
  <c r="D27" i="335"/>
  <c r="D38" i="279"/>
  <c r="D30" i="269"/>
  <c r="D28" i="265"/>
  <c r="D28" i="266"/>
  <c r="H18" i="219"/>
  <c r="H21" i="219"/>
  <c r="D40" i="362"/>
  <c r="D39" i="279"/>
  <c r="D34" i="367"/>
  <c r="D28" i="356"/>
  <c r="D29" i="269"/>
  <c r="D44" i="262"/>
  <c r="H23" i="219"/>
  <c r="D31" i="197"/>
  <c r="D34" i="359"/>
  <c r="D29" i="338"/>
  <c r="D29" i="332"/>
  <c r="D29" i="329"/>
  <c r="D42" i="273"/>
  <c r="D41" i="270"/>
  <c r="D32" i="261"/>
  <c r="H19" i="219"/>
  <c r="D30" i="258"/>
  <c r="D40" i="366"/>
  <c r="D31" i="345"/>
  <c r="D27" i="276"/>
  <c r="D27" i="263"/>
  <c r="D29" i="265"/>
  <c r="H26" i="219"/>
  <c r="D39" i="362"/>
  <c r="D30" i="332"/>
  <c r="D27" i="266"/>
  <c r="D31" i="121"/>
  <c r="D30" i="347"/>
  <c r="D43" i="273"/>
  <c r="D33" i="261"/>
  <c r="H20" i="219"/>
  <c r="D32" i="197"/>
  <c r="D34" i="342"/>
  <c r="D34" i="267"/>
  <c r="G4" i="225"/>
  <c r="E4" i="224" s="1"/>
  <c r="F4" i="224" s="1"/>
  <c r="F9" i="224" s="1"/>
  <c r="G19" i="359"/>
  <c r="G22" i="359" s="1"/>
  <c r="F18" i="370" s="1"/>
  <c r="G19" i="357"/>
  <c r="G22" i="357" s="1"/>
  <c r="D39" i="219"/>
  <c r="G21" i="214"/>
  <c r="J24" i="219"/>
  <c r="G27" i="214"/>
  <c r="J26" i="219"/>
  <c r="G26" i="214"/>
  <c r="B20" i="263"/>
  <c r="F11" i="298"/>
  <c r="G20" i="335"/>
  <c r="G21" i="335" s="1"/>
  <c r="G24" i="214"/>
  <c r="B22" i="338"/>
  <c r="B16" i="269"/>
  <c r="G26" i="354"/>
  <c r="G29" i="354" s="1"/>
  <c r="G22" i="364"/>
  <c r="G25" i="364" s="1"/>
  <c r="G23" i="214"/>
  <c r="G15" i="258"/>
  <c r="G18" i="258" s="1"/>
  <c r="F17" i="310" s="1"/>
  <c r="B14" i="268"/>
  <c r="L21" i="336"/>
  <c r="M21" i="336" s="1"/>
  <c r="N21" i="336" s="1"/>
  <c r="G20" i="263"/>
  <c r="L23" i="336"/>
  <c r="M23" i="336" s="1"/>
  <c r="N23" i="336" s="1"/>
  <c r="B26" i="357"/>
  <c r="G21" i="278"/>
  <c r="G17" i="345"/>
  <c r="G20" i="345" s="1"/>
  <c r="F12" i="298" s="1"/>
  <c r="E36" i="370"/>
  <c r="E22" i="310"/>
  <c r="F37" i="370"/>
  <c r="G20" i="267"/>
  <c r="G23" i="267" s="1"/>
  <c r="G28" i="270"/>
  <c r="G31" i="270" s="1"/>
  <c r="F32" i="408" s="1"/>
  <c r="L32" i="408" s="1"/>
  <c r="B23" i="347"/>
  <c r="B24" i="121"/>
  <c r="B21" i="265"/>
  <c r="B36" i="270"/>
  <c r="B25" i="272"/>
  <c r="B23" i="332"/>
  <c r="B33" i="362"/>
  <c r="B26" i="359"/>
  <c r="B24" i="332"/>
  <c r="B25" i="333"/>
  <c r="B34" i="331"/>
  <c r="B27" i="368"/>
  <c r="B24" i="269"/>
  <c r="B24" i="333"/>
  <c r="B27" i="363"/>
  <c r="B22" i="265"/>
  <c r="B30" i="364"/>
  <c r="B32" i="279"/>
  <c r="B22" i="365"/>
  <c r="B23" i="258"/>
  <c r="B35" i="273"/>
  <c r="B27" i="355"/>
  <c r="B32" i="353"/>
  <c r="D40" i="219"/>
  <c r="B37" i="262"/>
  <c r="B36" i="273"/>
  <c r="B26" i="352"/>
  <c r="B26" i="367"/>
  <c r="B22" i="268"/>
  <c r="B22" i="329"/>
  <c r="B33" i="366"/>
  <c r="B21" i="356"/>
  <c r="B25" i="261"/>
  <c r="B21" i="263"/>
  <c r="B21" i="276"/>
  <c r="B23" i="329"/>
  <c r="B19" i="335"/>
  <c r="B22" i="356"/>
  <c r="B27" i="359"/>
  <c r="B32" i="362"/>
  <c r="B26" i="363"/>
  <c r="B26" i="272"/>
  <c r="B33" i="353"/>
  <c r="B28" i="267"/>
  <c r="B22" i="274"/>
  <c r="B20" i="334"/>
  <c r="B26" i="360"/>
  <c r="B29" i="364"/>
  <c r="B20" i="278"/>
  <c r="B20" i="335"/>
  <c r="B23" i="338"/>
  <c r="B27" i="357"/>
  <c r="B25" i="352"/>
  <c r="B22" i="258"/>
  <c r="B26" i="261"/>
  <c r="B21" i="278"/>
  <c r="B23" i="336"/>
  <c r="B34" i="354"/>
  <c r="B27" i="342"/>
  <c r="B26" i="368"/>
  <c r="B30" i="260"/>
  <c r="B21" i="274"/>
  <c r="B22" i="336"/>
  <c r="B25" i="345"/>
  <c r="B28" i="342"/>
  <c r="B33" i="361"/>
  <c r="B23" i="365"/>
  <c r="B22" i="347"/>
  <c r="B25" i="360"/>
  <c r="E33" i="219"/>
  <c r="E32" i="219"/>
  <c r="F39" i="219"/>
  <c r="H39" i="219" s="1"/>
  <c r="F32" i="219"/>
  <c r="F33" i="219"/>
  <c r="F8" i="121"/>
  <c r="E28" i="370"/>
  <c r="F18" i="361"/>
  <c r="G18" i="361" s="1"/>
  <c r="C44" i="238"/>
  <c r="F20" i="197"/>
  <c r="F6" i="408" s="1"/>
  <c r="L6" i="408" s="1"/>
  <c r="F28" i="310"/>
  <c r="F37" i="310"/>
  <c r="F9" i="298"/>
  <c r="B33" i="358"/>
  <c r="B23" i="121"/>
  <c r="B36" i="262"/>
  <c r="B31" i="279"/>
  <c r="B32" i="361"/>
  <c r="B32" i="358"/>
  <c r="G21" i="266"/>
  <c r="G23" i="266" s="1"/>
  <c r="G38" i="298" s="1"/>
  <c r="G21" i="274"/>
  <c r="B29" i="260"/>
  <c r="B19" i="334"/>
  <c r="B24" i="345"/>
  <c r="B33" i="354"/>
  <c r="G21" i="265"/>
  <c r="G20" i="276"/>
  <c r="B11" i="333"/>
  <c r="F9" i="268"/>
  <c r="G9" i="268" s="1"/>
  <c r="F11" i="121"/>
  <c r="G11" i="121" s="1"/>
  <c r="F9" i="333"/>
  <c r="G9" i="333" s="1"/>
  <c r="F11" i="331"/>
  <c r="G11" i="331" s="1"/>
  <c r="F10" i="333"/>
  <c r="G10" i="333" s="1"/>
  <c r="F17" i="260"/>
  <c r="G17" i="260" s="1"/>
  <c r="B12" i="331"/>
  <c r="F13" i="362"/>
  <c r="G13" i="362" s="1"/>
  <c r="E12" i="272"/>
  <c r="B8" i="268"/>
  <c r="F14" i="357"/>
  <c r="G14" i="357" s="1"/>
  <c r="F8" i="262"/>
  <c r="G8" i="262" s="1"/>
  <c r="F11" i="368"/>
  <c r="G11" i="368" s="1"/>
  <c r="G22" i="336"/>
  <c r="E10" i="272"/>
  <c r="E9" i="272"/>
  <c r="F10" i="387"/>
  <c r="G10" i="387" s="1"/>
  <c r="F10" i="352"/>
  <c r="G10" i="352" s="1"/>
  <c r="F9" i="368"/>
  <c r="G9" i="368" s="1"/>
  <c r="F13" i="261"/>
  <c r="G13" i="261" s="1"/>
  <c r="F9" i="359"/>
  <c r="G9" i="359" s="1"/>
  <c r="F10" i="359"/>
  <c r="G10" i="359" s="1"/>
  <c r="F15" i="364"/>
  <c r="G15" i="364" s="1"/>
  <c r="F10" i="368"/>
  <c r="G10" i="368" s="1"/>
  <c r="F10" i="261"/>
  <c r="G10" i="261" s="1"/>
  <c r="F8" i="267"/>
  <c r="G8" i="267" s="1"/>
  <c r="F9" i="357"/>
  <c r="G9" i="357" s="1"/>
  <c r="F16" i="260"/>
  <c r="G16" i="260" s="1"/>
  <c r="B8" i="333"/>
  <c r="F20" i="273"/>
  <c r="G20" i="273" s="1"/>
  <c r="E6" i="220"/>
  <c r="F6" i="220" s="1"/>
  <c r="G6" i="220" s="1"/>
  <c r="H6" i="220" s="1"/>
  <c r="B8" i="332"/>
  <c r="F9" i="364"/>
  <c r="G9" i="364" s="1"/>
  <c r="F10" i="331"/>
  <c r="G10" i="331" s="1"/>
  <c r="E9" i="357"/>
  <c r="D27" i="357" s="1"/>
  <c r="G27" i="357" s="1"/>
  <c r="E16" i="260"/>
  <c r="D29" i="260" s="1"/>
  <c r="G29" i="260" s="1"/>
  <c r="F20" i="361"/>
  <c r="G20" i="361" s="1"/>
  <c r="F16" i="354"/>
  <c r="G16" i="354" s="1"/>
  <c r="F14" i="364"/>
  <c r="G14" i="364" s="1"/>
  <c r="F17" i="358"/>
  <c r="G17" i="358" s="1"/>
  <c r="F10" i="362"/>
  <c r="G10" i="362" s="1"/>
  <c r="F16" i="273"/>
  <c r="G16" i="273" s="1"/>
  <c r="F17" i="366"/>
  <c r="G17" i="366" s="1"/>
  <c r="F10" i="353"/>
  <c r="G10" i="353" s="1"/>
  <c r="F12" i="368"/>
  <c r="G12" i="368" s="1"/>
  <c r="F12" i="359"/>
  <c r="G12" i="359" s="1"/>
  <c r="F9" i="261"/>
  <c r="G9" i="261" s="1"/>
  <c r="F8" i="332"/>
  <c r="G8" i="332" s="1"/>
  <c r="F16" i="385"/>
  <c r="G16" i="385" s="1"/>
  <c r="F8" i="266"/>
  <c r="G8" i="266" s="1"/>
  <c r="G10" i="266" s="1"/>
  <c r="E38" i="298" s="1"/>
  <c r="G16" i="279"/>
  <c r="E4" i="220"/>
  <c r="F4" i="220" s="1"/>
  <c r="G4" i="220" s="1"/>
  <c r="H4" i="220" s="1"/>
  <c r="F9" i="334"/>
  <c r="G9" i="334" s="1"/>
  <c r="F12" i="357"/>
  <c r="G12" i="357" s="1"/>
  <c r="G9" i="279"/>
  <c r="F13" i="368"/>
  <c r="G13" i="368" s="1"/>
  <c r="F13" i="359"/>
  <c r="G13" i="359" s="1"/>
  <c r="F15" i="331"/>
  <c r="G15" i="331" s="1"/>
  <c r="F10" i="336"/>
  <c r="G10" i="336" s="1"/>
  <c r="F11" i="357"/>
  <c r="G11" i="357" s="1"/>
  <c r="E12" i="342"/>
  <c r="D28" i="342" s="1"/>
  <c r="G28" i="342" s="1"/>
  <c r="D22" i="265"/>
  <c r="G22" i="265" s="1"/>
  <c r="F8" i="367"/>
  <c r="G8" i="367" s="1"/>
  <c r="F9" i="361"/>
  <c r="G9" i="361" s="1"/>
  <c r="F22" i="273"/>
  <c r="G22" i="273" s="1"/>
  <c r="D23" i="365"/>
  <c r="G23" i="365" s="1"/>
  <c r="D24" i="332"/>
  <c r="G24" i="332" s="1"/>
  <c r="D20" i="334"/>
  <c r="G20" i="334" s="1"/>
  <c r="D27" i="368"/>
  <c r="G27" i="368" s="1"/>
  <c r="D26" i="363"/>
  <c r="G26" i="363" s="1"/>
  <c r="D26" i="368"/>
  <c r="G26" i="368" s="1"/>
  <c r="D33" i="354"/>
  <c r="G33" i="354" s="1"/>
  <c r="D25" i="261"/>
  <c r="G25" i="261" s="1"/>
  <c r="D22" i="274"/>
  <c r="G22" i="274" s="1"/>
  <c r="D19" i="334"/>
  <c r="G19" i="334" s="1"/>
  <c r="D23" i="338"/>
  <c r="G23" i="338" s="1"/>
  <c r="D22" i="347"/>
  <c r="G22" i="347" s="1"/>
  <c r="D22" i="365"/>
  <c r="G22" i="365" s="1"/>
  <c r="D22" i="338"/>
  <c r="G22" i="338" s="1"/>
  <c r="D23" i="347"/>
  <c r="G23" i="347" s="1"/>
  <c r="D21" i="276"/>
  <c r="G21" i="276" s="1"/>
  <c r="G29" i="364"/>
  <c r="D25" i="333"/>
  <c r="G25" i="333" s="1"/>
  <c r="D33" i="361"/>
  <c r="G33" i="361" s="1"/>
  <c r="D33" i="366"/>
  <c r="G33" i="366" s="1"/>
  <c r="D28" i="267"/>
  <c r="G28" i="267" s="1"/>
  <c r="G29" i="267" s="1"/>
  <c r="G39" i="298" s="1"/>
  <c r="D24" i="333"/>
  <c r="D24" i="269"/>
  <c r="G24" i="269" s="1"/>
  <c r="G25" i="269" s="1"/>
  <c r="G41" i="298" s="1"/>
  <c r="D23" i="329"/>
  <c r="G23" i="329" s="1"/>
  <c r="D26" i="261"/>
  <c r="G26" i="261" s="1"/>
  <c r="D22" i="258"/>
  <c r="G22" i="258" s="1"/>
  <c r="D23" i="258"/>
  <c r="G23" i="258" s="1"/>
  <c r="E28" i="310"/>
  <c r="E28" i="298"/>
  <c r="D24" i="121"/>
  <c r="G24" i="121" s="1"/>
  <c r="B8" i="334"/>
  <c r="B10" i="331"/>
  <c r="D36" i="270"/>
  <c r="G36" i="270" s="1"/>
  <c r="G37" i="270" s="1"/>
  <c r="F8" i="333"/>
  <c r="G8" i="333" s="1"/>
  <c r="F8" i="268"/>
  <c r="G8" i="268" s="1"/>
  <c r="D23" i="332"/>
  <c r="G23" i="332" s="1"/>
  <c r="F14" i="359"/>
  <c r="G14" i="359" s="1"/>
  <c r="D22" i="329"/>
  <c r="G22" i="329" s="1"/>
  <c r="G34" i="331"/>
  <c r="F10" i="366"/>
  <c r="G10" i="366" s="1"/>
  <c r="F10" i="358"/>
  <c r="G10" i="358" s="1"/>
  <c r="B10" i="333"/>
  <c r="B10" i="332"/>
  <c r="B9" i="333"/>
  <c r="F13" i="363"/>
  <c r="G13" i="363" s="1"/>
  <c r="F13" i="355"/>
  <c r="G13" i="355" s="1"/>
  <c r="D25" i="352"/>
  <c r="G25" i="352" s="1"/>
  <c r="D26" i="352"/>
  <c r="G26" i="352" s="1"/>
  <c r="E18" i="353"/>
  <c r="D32" i="353" s="1"/>
  <c r="G32" i="353" s="1"/>
  <c r="F14" i="368"/>
  <c r="G14" i="368" s="1"/>
  <c r="F11" i="361"/>
  <c r="G11" i="361" s="1"/>
  <c r="D26" i="359"/>
  <c r="G26" i="359" s="1"/>
  <c r="D27" i="359"/>
  <c r="G27" i="359" s="1"/>
  <c r="D27" i="363"/>
  <c r="G27" i="363" s="1"/>
  <c r="D21" i="356"/>
  <c r="G21" i="356" s="1"/>
  <c r="D34" i="354"/>
  <c r="G34" i="354" s="1"/>
  <c r="D25" i="360"/>
  <c r="G25" i="360" s="1"/>
  <c r="D26" i="360"/>
  <c r="G26" i="360" s="1"/>
  <c r="G32" i="362"/>
  <c r="D24" i="345"/>
  <c r="G24" i="345" s="1"/>
  <c r="D25" i="345"/>
  <c r="G25" i="345" s="1"/>
  <c r="D27" i="355"/>
  <c r="G27" i="355" s="1"/>
  <c r="D26" i="355"/>
  <c r="G26" i="355" s="1"/>
  <c r="D32" i="361"/>
  <c r="G32" i="361" s="1"/>
  <c r="G33" i="362"/>
  <c r="D22" i="356"/>
  <c r="G22" i="356" s="1"/>
  <c r="G33" i="358"/>
  <c r="D32" i="366"/>
  <c r="G32" i="366" s="1"/>
  <c r="G30" i="364"/>
  <c r="D17" i="397" l="1"/>
  <c r="J4" i="398"/>
  <c r="J5" i="398"/>
  <c r="J6" i="398"/>
  <c r="J3" i="398"/>
  <c r="F28" i="298"/>
  <c r="I6" i="398"/>
  <c r="M6" i="398" s="1"/>
  <c r="L6" i="398"/>
  <c r="F18" i="386"/>
  <c r="G18" i="386" s="1"/>
  <c r="F18" i="388"/>
  <c r="G18" i="388" s="1"/>
  <c r="F8" i="363"/>
  <c r="G8" i="363" s="1"/>
  <c r="G14" i="400"/>
  <c r="E13" i="391" s="1"/>
  <c r="E61" i="219"/>
  <c r="E3" i="220"/>
  <c r="F3" i="220" s="1"/>
  <c r="F7" i="220" s="1"/>
  <c r="F17" i="298"/>
  <c r="F31" i="298"/>
  <c r="F31" i="402" s="1"/>
  <c r="F31" i="370"/>
  <c r="F20" i="408" s="1"/>
  <c r="L20" i="408" s="1"/>
  <c r="F31" i="310"/>
  <c r="F27" i="370"/>
  <c r="H5" i="398"/>
  <c r="C41" i="331"/>
  <c r="C34" i="368"/>
  <c r="C30" i="332"/>
  <c r="C30" i="269"/>
  <c r="G30" i="269" s="1"/>
  <c r="F14" i="267"/>
  <c r="G14" i="267" s="1"/>
  <c r="G16" i="267" s="1"/>
  <c r="E39" i="298" s="1"/>
  <c r="G32" i="408"/>
  <c r="M32" i="408" s="1"/>
  <c r="D17" i="407"/>
  <c r="G10" i="374"/>
  <c r="G20" i="374" s="1"/>
  <c r="G22" i="374" s="1"/>
  <c r="F37" i="402"/>
  <c r="L37" i="402" s="1"/>
  <c r="D12" i="215"/>
  <c r="C32" i="400"/>
  <c r="C34" i="355"/>
  <c r="G34" i="355" s="1"/>
  <c r="I11" i="310" s="1"/>
  <c r="C33" i="400"/>
  <c r="C30" i="399"/>
  <c r="F5" i="402"/>
  <c r="L5" i="402" s="1"/>
  <c r="E63" i="219"/>
  <c r="D33" i="400"/>
  <c r="D32" i="400"/>
  <c r="D29" i="399"/>
  <c r="D30" i="399"/>
  <c r="D30" i="392"/>
  <c r="D29" i="392"/>
  <c r="F11" i="270"/>
  <c r="G11" i="270" s="1"/>
  <c r="G36" i="262"/>
  <c r="K5" i="402"/>
  <c r="G37" i="402"/>
  <c r="M37" i="402" s="1"/>
  <c r="F23" i="270"/>
  <c r="G23" i="270" s="1"/>
  <c r="F20" i="270"/>
  <c r="G20" i="270" s="1"/>
  <c r="F22" i="270"/>
  <c r="G22" i="270" s="1"/>
  <c r="D37" i="262"/>
  <c r="G37" i="262" s="1"/>
  <c r="F15" i="270"/>
  <c r="G15" i="270" s="1"/>
  <c r="F12" i="270"/>
  <c r="G12" i="270" s="1"/>
  <c r="F14" i="270"/>
  <c r="G14" i="270" s="1"/>
  <c r="D26" i="400"/>
  <c r="G26" i="400" s="1"/>
  <c r="D25" i="400"/>
  <c r="G25" i="400" s="1"/>
  <c r="F27" i="298"/>
  <c r="F24" i="370"/>
  <c r="F24" i="298"/>
  <c r="F6" i="370"/>
  <c r="G18" i="336"/>
  <c r="F29" i="310" s="1"/>
  <c r="F6" i="310"/>
  <c r="F34" i="298"/>
  <c r="G17" i="268"/>
  <c r="F23" i="310" s="1"/>
  <c r="F33" i="298"/>
  <c r="G16" i="278"/>
  <c r="F9" i="355"/>
  <c r="G9" i="355" s="1"/>
  <c r="F9" i="363"/>
  <c r="G9" i="363" s="1"/>
  <c r="F13" i="357"/>
  <c r="G13" i="357" s="1"/>
  <c r="F13" i="367"/>
  <c r="G13" i="367" s="1"/>
  <c r="F8" i="352"/>
  <c r="G8" i="352" s="1"/>
  <c r="F21" i="273"/>
  <c r="G21" i="273" s="1"/>
  <c r="G23" i="278"/>
  <c r="C32" i="352"/>
  <c r="G32" i="352" s="1"/>
  <c r="H7" i="310" s="1"/>
  <c r="C29" i="399"/>
  <c r="F11" i="391"/>
  <c r="F12" i="310"/>
  <c r="F8" i="347"/>
  <c r="G8" i="347" s="1"/>
  <c r="F8" i="399"/>
  <c r="G8" i="399" s="1"/>
  <c r="G11" i="399" s="1"/>
  <c r="F18" i="366"/>
  <c r="G18" i="366" s="1"/>
  <c r="F18" i="353"/>
  <c r="G18" i="353" s="1"/>
  <c r="F8" i="368"/>
  <c r="G8" i="368" s="1"/>
  <c r="G15" i="368" s="1"/>
  <c r="F8" i="360"/>
  <c r="G8" i="360" s="1"/>
  <c r="F8" i="272"/>
  <c r="G8" i="272" s="1"/>
  <c r="F8" i="355"/>
  <c r="G8" i="355" s="1"/>
  <c r="F21" i="354"/>
  <c r="G21" i="354" s="1"/>
  <c r="F15" i="342"/>
  <c r="G15" i="342" s="1"/>
  <c r="F14" i="342"/>
  <c r="G14" i="342" s="1"/>
  <c r="F18" i="358"/>
  <c r="G18" i="358" s="1"/>
  <c r="F8" i="384"/>
  <c r="G8" i="384" s="1"/>
  <c r="F8" i="345"/>
  <c r="G8" i="345" s="1"/>
  <c r="G8" i="276"/>
  <c r="G9" i="276" s="1"/>
  <c r="F6" i="398"/>
  <c r="F18" i="362"/>
  <c r="G18" i="362" s="1"/>
  <c r="F9" i="345"/>
  <c r="G9" i="345" s="1"/>
  <c r="F8" i="342"/>
  <c r="G8" i="342" s="1"/>
  <c r="F16" i="364"/>
  <c r="G16" i="364" s="1"/>
  <c r="G8" i="274"/>
  <c r="G10" i="274" s="1"/>
  <c r="F5" i="398"/>
  <c r="G8" i="121"/>
  <c r="F3" i="398"/>
  <c r="G3" i="398" s="1"/>
  <c r="C40" i="362"/>
  <c r="G40" i="362" s="1"/>
  <c r="I8" i="298" s="1"/>
  <c r="C28" i="266"/>
  <c r="G28" i="266" s="1"/>
  <c r="C26" i="335"/>
  <c r="G26" i="335" s="1"/>
  <c r="C34" i="357"/>
  <c r="G34" i="357" s="1"/>
  <c r="I16" i="310" s="1"/>
  <c r="C40" i="366"/>
  <c r="G40" i="366" s="1"/>
  <c r="I15" i="298" s="1"/>
  <c r="C30" i="347"/>
  <c r="G30" i="347" s="1"/>
  <c r="I14" i="310" s="1"/>
  <c r="C33" i="360"/>
  <c r="G33" i="360" s="1"/>
  <c r="I7" i="370" s="1"/>
  <c r="C31" i="333"/>
  <c r="G31" i="333" s="1"/>
  <c r="C34" i="367"/>
  <c r="G34" i="367" s="1"/>
  <c r="I16" i="298" s="1"/>
  <c r="C28" i="278"/>
  <c r="G28" i="278" s="1"/>
  <c r="I16" i="391" s="1"/>
  <c r="C40" i="331"/>
  <c r="G40" i="331" s="1"/>
  <c r="C33" i="261"/>
  <c r="G33" i="261" s="1"/>
  <c r="C40" i="358"/>
  <c r="G40" i="358" s="1"/>
  <c r="I15" i="310" s="1"/>
  <c r="C33" i="368"/>
  <c r="G33" i="368" s="1"/>
  <c r="H18" i="298" s="1"/>
  <c r="C28" i="329"/>
  <c r="G28" i="329" s="1"/>
  <c r="C39" i="366"/>
  <c r="G39" i="366" s="1"/>
  <c r="H15" i="298" s="1"/>
  <c r="C41" i="270"/>
  <c r="G41" i="270" s="1"/>
  <c r="C30" i="338"/>
  <c r="G30" i="338" s="1"/>
  <c r="C27" i="335"/>
  <c r="G27" i="335" s="1"/>
  <c r="C30" i="258"/>
  <c r="G30" i="258" s="1"/>
  <c r="C39" i="279"/>
  <c r="G39" i="279" s="1"/>
  <c r="I18" i="391" s="1"/>
  <c r="C44" i="262"/>
  <c r="G44" i="262" s="1"/>
  <c r="C41" i="354"/>
  <c r="G41" i="354" s="1"/>
  <c r="I10" i="310" s="1"/>
  <c r="C29" i="392"/>
  <c r="G29" i="392" s="1"/>
  <c r="H10" i="391" s="1"/>
  <c r="C27" i="263"/>
  <c r="G27" i="263" s="1"/>
  <c r="C30" i="392"/>
  <c r="G30" i="392" s="1"/>
  <c r="I10" i="391" s="1"/>
  <c r="F12" i="391"/>
  <c r="G11" i="329"/>
  <c r="G12" i="269"/>
  <c r="E41" i="298" s="1"/>
  <c r="F18" i="391"/>
  <c r="F16" i="386"/>
  <c r="G16" i="386" s="1"/>
  <c r="F14" i="388"/>
  <c r="G14" i="388" s="1"/>
  <c r="F9" i="258"/>
  <c r="G9" i="258" s="1"/>
  <c r="F10" i="258"/>
  <c r="G10" i="258" s="1"/>
  <c r="F17" i="389"/>
  <c r="G17" i="389" s="1"/>
  <c r="F14" i="362"/>
  <c r="G14" i="362" s="1"/>
  <c r="F13" i="273"/>
  <c r="G13" i="273" s="1"/>
  <c r="F15" i="354"/>
  <c r="G15" i="354" s="1"/>
  <c r="D35" i="273"/>
  <c r="G35" i="273" s="1"/>
  <c r="B5" i="233"/>
  <c r="F8" i="391"/>
  <c r="F7" i="391"/>
  <c r="D32" i="219"/>
  <c r="F9" i="338"/>
  <c r="G9" i="338" s="1"/>
  <c r="G11" i="338" s="1"/>
  <c r="G17" i="279"/>
  <c r="D33" i="219"/>
  <c r="H33" i="219" s="1"/>
  <c r="F36" i="298"/>
  <c r="F36" i="310"/>
  <c r="F39" i="310"/>
  <c r="F39" i="298"/>
  <c r="F33" i="310"/>
  <c r="F31" i="197"/>
  <c r="C34" i="359"/>
  <c r="G34" i="359" s="1"/>
  <c r="C42" i="270"/>
  <c r="G42" i="270" s="1"/>
  <c r="C37" i="364"/>
  <c r="G37" i="364" s="1"/>
  <c r="I13" i="298" s="1"/>
  <c r="D33" i="387"/>
  <c r="D33" i="384"/>
  <c r="D41" i="389"/>
  <c r="D32" i="383"/>
  <c r="D40" i="388"/>
  <c r="D39" i="386"/>
  <c r="D40" i="389"/>
  <c r="D36" i="385"/>
  <c r="D34" i="387"/>
  <c r="D34" i="384"/>
  <c r="D39" i="388"/>
  <c r="D38" i="386"/>
  <c r="D33" i="383"/>
  <c r="D35" i="385"/>
  <c r="C33" i="352"/>
  <c r="G33" i="352" s="1"/>
  <c r="I7" i="310" s="1"/>
  <c r="F38" i="310"/>
  <c r="F38" i="298"/>
  <c r="C43" i="273"/>
  <c r="G43" i="273" s="1"/>
  <c r="I8" i="391" s="1"/>
  <c r="F10" i="121"/>
  <c r="G10" i="121" s="1"/>
  <c r="D26" i="367"/>
  <c r="G26" i="367" s="1"/>
  <c r="D36" i="273"/>
  <c r="G36" i="273" s="1"/>
  <c r="F20" i="366"/>
  <c r="G20" i="366" s="1"/>
  <c r="F21" i="389"/>
  <c r="G21" i="389" s="1"/>
  <c r="F12" i="354"/>
  <c r="G12" i="354" s="1"/>
  <c r="F17" i="364"/>
  <c r="G17" i="364" s="1"/>
  <c r="F10" i="365"/>
  <c r="G10" i="365" s="1"/>
  <c r="D27" i="367"/>
  <c r="G27" i="367" s="1"/>
  <c r="C29" i="356"/>
  <c r="G29" i="356" s="1"/>
  <c r="I13" i="310" s="1"/>
  <c r="C39" i="388"/>
  <c r="C35" i="385"/>
  <c r="C40" i="389"/>
  <c r="C33" i="387"/>
  <c r="C38" i="386"/>
  <c r="C33" i="384"/>
  <c r="G33" i="384" s="1"/>
  <c r="H11" i="370" s="1"/>
  <c r="C32" i="383"/>
  <c r="C29" i="381"/>
  <c r="G29" i="381" s="1"/>
  <c r="C41" i="389"/>
  <c r="C34" i="387"/>
  <c r="C39" i="386"/>
  <c r="G39" i="386" s="1"/>
  <c r="I15" i="370" s="1"/>
  <c r="C34" i="384"/>
  <c r="C40" i="388"/>
  <c r="C33" i="383"/>
  <c r="C36" i="385"/>
  <c r="G36" i="385" s="1"/>
  <c r="I13" i="370" s="1"/>
  <c r="C30" i="382"/>
  <c r="G30" i="382" s="1"/>
  <c r="C30" i="381"/>
  <c r="G30" i="381" s="1"/>
  <c r="G33" i="272"/>
  <c r="I7" i="391" s="1"/>
  <c r="D27" i="387"/>
  <c r="G27" i="387" s="1"/>
  <c r="D26" i="387"/>
  <c r="G26" i="387" s="1"/>
  <c r="F23" i="273"/>
  <c r="G23" i="273" s="1"/>
  <c r="F8" i="356"/>
  <c r="G8" i="356" s="1"/>
  <c r="F8" i="385"/>
  <c r="G8" i="385" s="1"/>
  <c r="F9" i="354"/>
  <c r="G9" i="354" s="1"/>
  <c r="F9" i="389"/>
  <c r="G9" i="389" s="1"/>
  <c r="F10" i="360"/>
  <c r="G10" i="360" s="1"/>
  <c r="F10" i="383"/>
  <c r="G10" i="383" s="1"/>
  <c r="F8" i="357"/>
  <c r="G8" i="357" s="1"/>
  <c r="F8" i="387"/>
  <c r="G8" i="387" s="1"/>
  <c r="G15" i="387" s="1"/>
  <c r="E16" i="370" s="1"/>
  <c r="F9" i="356"/>
  <c r="G9" i="356" s="1"/>
  <c r="F9" i="385"/>
  <c r="G9" i="385" s="1"/>
  <c r="F9" i="360"/>
  <c r="G9" i="360" s="1"/>
  <c r="F9" i="383"/>
  <c r="G9" i="383" s="1"/>
  <c r="F12" i="364"/>
  <c r="G12" i="364" s="1"/>
  <c r="F12" i="385"/>
  <c r="G12" i="385" s="1"/>
  <c r="F8" i="362"/>
  <c r="G8" i="362" s="1"/>
  <c r="F8" i="388"/>
  <c r="G8" i="388" s="1"/>
  <c r="F13" i="366"/>
  <c r="G13" i="366" s="1"/>
  <c r="F13" i="386"/>
  <c r="G13" i="386" s="1"/>
  <c r="F13" i="353"/>
  <c r="G13" i="353" s="1"/>
  <c r="F13" i="388"/>
  <c r="G13" i="388" s="1"/>
  <c r="F11" i="354"/>
  <c r="G11" i="354" s="1"/>
  <c r="F13" i="389"/>
  <c r="G13" i="389" s="1"/>
  <c r="F15" i="385"/>
  <c r="G15" i="385" s="1"/>
  <c r="F14" i="363"/>
  <c r="G14" i="363" s="1"/>
  <c r="F14" i="384"/>
  <c r="G14" i="384" s="1"/>
  <c r="F11" i="363"/>
  <c r="G11" i="363" s="1"/>
  <c r="F11" i="384"/>
  <c r="G11" i="384" s="1"/>
  <c r="F10" i="355"/>
  <c r="G10" i="355" s="1"/>
  <c r="F10" i="384"/>
  <c r="G10" i="384" s="1"/>
  <c r="F12" i="362"/>
  <c r="G12" i="362" s="1"/>
  <c r="F12" i="388"/>
  <c r="G12" i="388" s="1"/>
  <c r="F11" i="386"/>
  <c r="G11" i="386" s="1"/>
  <c r="F14" i="354"/>
  <c r="G14" i="354" s="1"/>
  <c r="F16" i="388"/>
  <c r="G16" i="388" s="1"/>
  <c r="F15" i="386"/>
  <c r="G15" i="386" s="1"/>
  <c r="F11" i="385"/>
  <c r="G11" i="385" s="1"/>
  <c r="F16" i="389"/>
  <c r="G16" i="389" s="1"/>
  <c r="F8" i="366"/>
  <c r="G8" i="366" s="1"/>
  <c r="F8" i="386"/>
  <c r="G8" i="386" s="1"/>
  <c r="F9" i="358"/>
  <c r="G9" i="358" s="1"/>
  <c r="F9" i="386"/>
  <c r="G9" i="386" s="1"/>
  <c r="F8" i="261"/>
  <c r="G8" i="261" s="1"/>
  <c r="F19" i="354"/>
  <c r="G19" i="354" s="1"/>
  <c r="F19" i="388"/>
  <c r="G19" i="388" s="1"/>
  <c r="F19" i="389"/>
  <c r="G19" i="389" s="1"/>
  <c r="F20" i="353"/>
  <c r="G20" i="353" s="1"/>
  <c r="F20" i="358"/>
  <c r="G20" i="358" s="1"/>
  <c r="F10" i="364"/>
  <c r="G10" i="364" s="1"/>
  <c r="F15" i="389"/>
  <c r="G15" i="389" s="1"/>
  <c r="F15" i="388"/>
  <c r="G15" i="388" s="1"/>
  <c r="F10" i="385"/>
  <c r="G10" i="385" s="1"/>
  <c r="F14" i="386"/>
  <c r="G14" i="386" s="1"/>
  <c r="F19" i="273"/>
  <c r="G19" i="273" s="1"/>
  <c r="F10" i="389"/>
  <c r="G10" i="389" s="1"/>
  <c r="F12" i="363"/>
  <c r="G12" i="363" s="1"/>
  <c r="F12" i="384"/>
  <c r="G12" i="384" s="1"/>
  <c r="F12" i="358"/>
  <c r="G12" i="358" s="1"/>
  <c r="F12" i="386"/>
  <c r="G12" i="386" s="1"/>
  <c r="F8" i="361"/>
  <c r="G8" i="361" s="1"/>
  <c r="F8" i="389"/>
  <c r="G8" i="389" s="1"/>
  <c r="F11" i="362"/>
  <c r="G11" i="362" s="1"/>
  <c r="F11" i="388"/>
  <c r="G11" i="388" s="1"/>
  <c r="F9" i="353"/>
  <c r="G9" i="353" s="1"/>
  <c r="F9" i="388"/>
  <c r="G9" i="388" s="1"/>
  <c r="G23" i="263"/>
  <c r="G36" i="298" s="1"/>
  <c r="G11" i="336"/>
  <c r="E29" i="370" s="1"/>
  <c r="G23" i="310"/>
  <c r="G40" i="298"/>
  <c r="E64" i="219"/>
  <c r="C30" i="333"/>
  <c r="G30" i="333" s="1"/>
  <c r="C25" i="334"/>
  <c r="G25" i="334" s="1"/>
  <c r="C27" i="266"/>
  <c r="G27" i="266" s="1"/>
  <c r="E67" i="219"/>
  <c r="E60" i="219"/>
  <c r="E69" i="219" s="1"/>
  <c r="D7" i="219" s="1"/>
  <c r="E66" i="219"/>
  <c r="G41" i="331"/>
  <c r="F14" i="370"/>
  <c r="C40" i="361"/>
  <c r="G40" i="361" s="1"/>
  <c r="I10" i="298" s="1"/>
  <c r="C30" i="336"/>
  <c r="G30" i="336" s="1"/>
  <c r="C37" i="260"/>
  <c r="G37" i="260" s="1"/>
  <c r="C28" i="268"/>
  <c r="G28" i="268" s="1"/>
  <c r="C35" i="342"/>
  <c r="G35" i="342" s="1"/>
  <c r="C34" i="267"/>
  <c r="G34" i="267" s="1"/>
  <c r="C26" i="334"/>
  <c r="G26" i="334" s="1"/>
  <c r="C29" i="274"/>
  <c r="G29" i="274" s="1"/>
  <c r="I9" i="391" s="1"/>
  <c r="C30" i="365"/>
  <c r="G30" i="365" s="1"/>
  <c r="I14" i="298" s="1"/>
  <c r="C29" i="329"/>
  <c r="G29" i="329" s="1"/>
  <c r="C32" i="197"/>
  <c r="F32" i="197" s="1"/>
  <c r="C31" i="121"/>
  <c r="G31" i="121" s="1"/>
  <c r="I6" i="391" s="1"/>
  <c r="C32" i="345"/>
  <c r="G32" i="345" s="1"/>
  <c r="C28" i="276"/>
  <c r="G28" i="276" s="1"/>
  <c r="I11" i="391" s="1"/>
  <c r="C29" i="265"/>
  <c r="G29" i="265" s="1"/>
  <c r="C34" i="363"/>
  <c r="G34" i="363" s="1"/>
  <c r="I11" i="298" s="1"/>
  <c r="C40" i="353"/>
  <c r="G40" i="353" s="1"/>
  <c r="I8" i="310" s="1"/>
  <c r="F22" i="298"/>
  <c r="F22" i="370"/>
  <c r="C28" i="336"/>
  <c r="G28" i="336" s="1"/>
  <c r="C28" i="265"/>
  <c r="G28" i="265" s="1"/>
  <c r="C25" i="335"/>
  <c r="G25" i="335" s="1"/>
  <c r="G29" i="332"/>
  <c r="F10" i="361"/>
  <c r="G10" i="361" s="1"/>
  <c r="C39" i="362"/>
  <c r="G39" i="362" s="1"/>
  <c r="C33" i="359"/>
  <c r="G33" i="359" s="1"/>
  <c r="C29" i="347"/>
  <c r="G29" i="347" s="1"/>
  <c r="H14" i="310" s="1"/>
  <c r="C33" i="267"/>
  <c r="G33" i="267" s="1"/>
  <c r="C28" i="356"/>
  <c r="G28" i="356" s="1"/>
  <c r="C31" i="345"/>
  <c r="G31" i="345" s="1"/>
  <c r="C42" i="273"/>
  <c r="G42" i="273" s="1"/>
  <c r="H8" i="391" s="1"/>
  <c r="C33" i="357"/>
  <c r="G33" i="357" s="1"/>
  <c r="H16" i="310" s="1"/>
  <c r="C32" i="272"/>
  <c r="G32" i="272" s="1"/>
  <c r="H7" i="391" s="1"/>
  <c r="C29" i="258"/>
  <c r="G29" i="258" s="1"/>
  <c r="C39" i="353"/>
  <c r="G39" i="353" s="1"/>
  <c r="H8" i="310" s="1"/>
  <c r="C30" i="121"/>
  <c r="G30" i="121" s="1"/>
  <c r="H6" i="391" s="1"/>
  <c r="C39" i="361"/>
  <c r="G39" i="361" s="1"/>
  <c r="H10" i="298" s="1"/>
  <c r="C29" i="269"/>
  <c r="G29" i="269" s="1"/>
  <c r="C32" i="360"/>
  <c r="G32" i="360" s="1"/>
  <c r="H7" i="370" s="1"/>
  <c r="C40" i="354"/>
  <c r="G40" i="354" s="1"/>
  <c r="H10" i="310" s="1"/>
  <c r="C27" i="276"/>
  <c r="G27" i="276" s="1"/>
  <c r="H11" i="391" s="1"/>
  <c r="C33" i="367"/>
  <c r="G33" i="367" s="1"/>
  <c r="H16" i="298" s="1"/>
  <c r="C29" i="338"/>
  <c r="G29" i="338" s="1"/>
  <c r="C32" i="261"/>
  <c r="G32" i="261" s="1"/>
  <c r="C43" i="262"/>
  <c r="G43" i="262" s="1"/>
  <c r="H31" i="298" s="1"/>
  <c r="C39" i="358"/>
  <c r="G39" i="358" s="1"/>
  <c r="H15" i="310" s="1"/>
  <c r="C34" i="342"/>
  <c r="G34" i="342" s="1"/>
  <c r="C28" i="274"/>
  <c r="G28" i="274" s="1"/>
  <c r="H9" i="391" s="1"/>
  <c r="C36" i="260"/>
  <c r="G36" i="260" s="1"/>
  <c r="C38" i="279"/>
  <c r="G38" i="279" s="1"/>
  <c r="H18" i="391" s="1"/>
  <c r="C33" i="363"/>
  <c r="G33" i="363" s="1"/>
  <c r="H11" i="298" s="1"/>
  <c r="G34" i="368"/>
  <c r="I18" i="298" s="1"/>
  <c r="F15" i="298"/>
  <c r="G30" i="332"/>
  <c r="C33" i="355"/>
  <c r="G33" i="355" s="1"/>
  <c r="C36" i="364"/>
  <c r="G36" i="364" s="1"/>
  <c r="H13" i="298" s="1"/>
  <c r="F9" i="370"/>
  <c r="F8" i="310"/>
  <c r="G29" i="365"/>
  <c r="H14" i="298" s="1"/>
  <c r="D19" i="333"/>
  <c r="G19" i="333" s="1"/>
  <c r="G20" i="333" s="1"/>
  <c r="G40" i="219"/>
  <c r="H40" i="219" s="1"/>
  <c r="H41" i="219" s="1"/>
  <c r="D5" i="219" s="1"/>
  <c r="B18" i="233"/>
  <c r="B19" i="233" s="1"/>
  <c r="H32" i="219"/>
  <c r="H34" i="219" s="1"/>
  <c r="D4" i="219" s="1"/>
  <c r="D17" i="332"/>
  <c r="G17" i="332" s="1"/>
  <c r="G19" i="332" s="1"/>
  <c r="F17" i="270"/>
  <c r="G17" i="270" s="1"/>
  <c r="F17" i="370"/>
  <c r="F13" i="298"/>
  <c r="F16" i="353"/>
  <c r="G16" i="353" s="1"/>
  <c r="F11" i="364"/>
  <c r="G11" i="364" s="1"/>
  <c r="F10" i="347"/>
  <c r="G10" i="347" s="1"/>
  <c r="F16" i="362"/>
  <c r="G16" i="362" s="1"/>
  <c r="F41" i="370"/>
  <c r="F9" i="366"/>
  <c r="G9" i="366" s="1"/>
  <c r="F15" i="358"/>
  <c r="G15" i="358" s="1"/>
  <c r="F15" i="366"/>
  <c r="G15" i="366" s="1"/>
  <c r="F12" i="370"/>
  <c r="F10" i="310"/>
  <c r="F16" i="310"/>
  <c r="F10" i="342"/>
  <c r="G10" i="342" s="1"/>
  <c r="F39" i="370"/>
  <c r="F18" i="310"/>
  <c r="F12" i="345"/>
  <c r="G12" i="345" s="1"/>
  <c r="F9" i="332"/>
  <c r="G9" i="332" s="1"/>
  <c r="F36" i="370"/>
  <c r="F22" i="310"/>
  <c r="C6" i="235"/>
  <c r="G28" i="298"/>
  <c r="G28" i="370"/>
  <c r="G40" i="310"/>
  <c r="F11" i="333"/>
  <c r="G11" i="333" s="1"/>
  <c r="G13" i="333" s="1"/>
  <c r="F10" i="367"/>
  <c r="G10" i="367" s="1"/>
  <c r="E38" i="310"/>
  <c r="E38" i="370"/>
  <c r="G23" i="298"/>
  <c r="G23" i="370"/>
  <c r="G40" i="370"/>
  <c r="E37" i="370"/>
  <c r="G38" i="370"/>
  <c r="G41" i="370"/>
  <c r="G39" i="370"/>
  <c r="F41" i="310"/>
  <c r="G38" i="310"/>
  <c r="G24" i="274"/>
  <c r="G23" i="276"/>
  <c r="G28" i="310"/>
  <c r="G24" i="265"/>
  <c r="G37" i="298" s="1"/>
  <c r="F17" i="361"/>
  <c r="G17" i="361" s="1"/>
  <c r="D23" i="336"/>
  <c r="G23" i="336" s="1"/>
  <c r="G24" i="336" s="1"/>
  <c r="F10" i="354"/>
  <c r="G10" i="354" s="1"/>
  <c r="F14" i="366"/>
  <c r="G14" i="366" s="1"/>
  <c r="F8" i="364"/>
  <c r="G8" i="364" s="1"/>
  <c r="F13" i="358"/>
  <c r="G13" i="358" s="1"/>
  <c r="F10" i="357"/>
  <c r="G10" i="357" s="1"/>
  <c r="F11" i="355"/>
  <c r="G11" i="355" s="1"/>
  <c r="F15" i="361"/>
  <c r="G15" i="361" s="1"/>
  <c r="F15" i="362"/>
  <c r="G15" i="362" s="1"/>
  <c r="E5" i="220"/>
  <c r="F5" i="220" s="1"/>
  <c r="G5" i="220" s="1"/>
  <c r="H5" i="220" s="1"/>
  <c r="G10" i="268"/>
  <c r="E40" i="298" s="1"/>
  <c r="F10" i="332"/>
  <c r="G10" i="332" s="1"/>
  <c r="F14" i="355"/>
  <c r="G14" i="355" s="1"/>
  <c r="F9" i="352"/>
  <c r="G9" i="352" s="1"/>
  <c r="D30" i="260"/>
  <c r="G30" i="260" s="1"/>
  <c r="G32" i="260" s="1"/>
  <c r="G34" i="279"/>
  <c r="F8" i="354"/>
  <c r="G8" i="354" s="1"/>
  <c r="F13" i="354"/>
  <c r="G13" i="354" s="1"/>
  <c r="F12" i="272"/>
  <c r="G12" i="272" s="1"/>
  <c r="F12" i="355"/>
  <c r="G12" i="355" s="1"/>
  <c r="F9" i="365"/>
  <c r="G9" i="365" s="1"/>
  <c r="F11" i="345"/>
  <c r="G11" i="345" s="1"/>
  <c r="F11" i="359"/>
  <c r="G11" i="359" s="1"/>
  <c r="G15" i="359" s="1"/>
  <c r="F15" i="353"/>
  <c r="G15" i="353" s="1"/>
  <c r="F11" i="353"/>
  <c r="G11" i="353" s="1"/>
  <c r="F9" i="347"/>
  <c r="G9" i="347" s="1"/>
  <c r="F14" i="358"/>
  <c r="G14" i="358" s="1"/>
  <c r="F9" i="362"/>
  <c r="G9" i="362" s="1"/>
  <c r="F18" i="273"/>
  <c r="G18" i="273" s="1"/>
  <c r="F9" i="342"/>
  <c r="G9" i="342" s="1"/>
  <c r="F12" i="261"/>
  <c r="G12" i="261" s="1"/>
  <c r="F8" i="279"/>
  <c r="F12" i="353"/>
  <c r="G12" i="353" s="1"/>
  <c r="E37" i="310"/>
  <c r="G3" i="220"/>
  <c r="I3" i="220" s="1"/>
  <c r="I7" i="220" s="1"/>
  <c r="D26" i="272"/>
  <c r="G26" i="272" s="1"/>
  <c r="F11" i="358"/>
  <c r="G11" i="358" s="1"/>
  <c r="F8" i="358"/>
  <c r="G8" i="358" s="1"/>
  <c r="D25" i="272"/>
  <c r="G25" i="272" s="1"/>
  <c r="F8" i="353"/>
  <c r="G8" i="353" s="1"/>
  <c r="F11" i="272"/>
  <c r="G11" i="272" s="1"/>
  <c r="F13" i="272"/>
  <c r="G13" i="272" s="1"/>
  <c r="F9" i="272"/>
  <c r="G9" i="272" s="1"/>
  <c r="F8" i="334"/>
  <c r="G8" i="334" s="1"/>
  <c r="G10" i="334" s="1"/>
  <c r="F14" i="273"/>
  <c r="G14" i="273" s="1"/>
  <c r="F12" i="342"/>
  <c r="G12" i="342" s="1"/>
  <c r="J6" i="220"/>
  <c r="D26" i="357"/>
  <c r="G26" i="357" s="1"/>
  <c r="G29" i="357" s="1"/>
  <c r="I6" i="220"/>
  <c r="D27" i="342"/>
  <c r="G27" i="342" s="1"/>
  <c r="G30" i="342" s="1"/>
  <c r="G29" i="368"/>
  <c r="G25" i="347"/>
  <c r="G25" i="365"/>
  <c r="I4" i="220"/>
  <c r="G29" i="363"/>
  <c r="F12" i="331"/>
  <c r="G12" i="331" s="1"/>
  <c r="G35" i="361"/>
  <c r="F10" i="363"/>
  <c r="G10" i="363" s="1"/>
  <c r="J4" i="220"/>
  <c r="F15" i="260"/>
  <c r="G15" i="260" s="1"/>
  <c r="G18" i="260" s="1"/>
  <c r="F10" i="272"/>
  <c r="G10" i="272" s="1"/>
  <c r="G24" i="333"/>
  <c r="G26" i="333" s="1"/>
  <c r="G26" i="121"/>
  <c r="G25" i="332"/>
  <c r="G35" i="366"/>
  <c r="G36" i="354"/>
  <c r="G32" i="364"/>
  <c r="G21" i="334"/>
  <c r="G25" i="338"/>
  <c r="G25" i="258"/>
  <c r="G35" i="358"/>
  <c r="G24" i="329"/>
  <c r="G28" i="360"/>
  <c r="G41" i="310"/>
  <c r="G28" i="261"/>
  <c r="G39" i="310"/>
  <c r="G28" i="352"/>
  <c r="G24" i="356"/>
  <c r="G29" i="355"/>
  <c r="G29" i="359"/>
  <c r="G18" i="370" s="1"/>
  <c r="G27" i="345"/>
  <c r="D33" i="353"/>
  <c r="G33" i="353" s="1"/>
  <c r="G35" i="353" s="1"/>
  <c r="G35" i="362"/>
  <c r="F26" i="408" l="1"/>
  <c r="L26" i="408" s="1"/>
  <c r="I5" i="398"/>
  <c r="M5" i="398" s="1"/>
  <c r="L5" i="398"/>
  <c r="F8" i="408"/>
  <c r="L8" i="408" s="1"/>
  <c r="F40" i="310"/>
  <c r="F16" i="408" s="1"/>
  <c r="L16" i="408" s="1"/>
  <c r="F15" i="402"/>
  <c r="F29" i="298"/>
  <c r="F29" i="370"/>
  <c r="F24" i="408"/>
  <c r="L24" i="408" s="1"/>
  <c r="F14" i="408"/>
  <c r="L14" i="408" s="1"/>
  <c r="F23" i="402"/>
  <c r="G32" i="400"/>
  <c r="H13" i="391" s="1"/>
  <c r="G33" i="383"/>
  <c r="I7" i="298" s="1"/>
  <c r="G29" i="399"/>
  <c r="H14" i="370" s="1"/>
  <c r="G38" i="386"/>
  <c r="H15" i="370" s="1"/>
  <c r="G35" i="385"/>
  <c r="H13" i="370" s="1"/>
  <c r="G33" i="387"/>
  <c r="H16" i="370" s="1"/>
  <c r="G30" i="329"/>
  <c r="I24" i="310"/>
  <c r="I28" i="310"/>
  <c r="H6" i="310"/>
  <c r="H6" i="298"/>
  <c r="H6" i="370"/>
  <c r="I12" i="310"/>
  <c r="I12" i="298"/>
  <c r="I12" i="370"/>
  <c r="I39" i="370"/>
  <c r="I39" i="298"/>
  <c r="I39" i="310"/>
  <c r="I17" i="310"/>
  <c r="I17" i="298"/>
  <c r="I17" i="370"/>
  <c r="I34" i="298"/>
  <c r="I12" i="391"/>
  <c r="I34" i="310"/>
  <c r="H33" i="310"/>
  <c r="H33" i="298"/>
  <c r="H18" i="310"/>
  <c r="H18" i="370"/>
  <c r="G29" i="268"/>
  <c r="I23" i="310"/>
  <c r="I40" i="310"/>
  <c r="I40" i="298"/>
  <c r="I40" i="370"/>
  <c r="I23" i="370"/>
  <c r="I23" i="298"/>
  <c r="I32" i="408"/>
  <c r="O32" i="408" s="1"/>
  <c r="I37" i="402"/>
  <c r="G28" i="263"/>
  <c r="G30" i="263" s="1"/>
  <c r="I22" i="298"/>
  <c r="I22" i="310"/>
  <c r="I36" i="310"/>
  <c r="I36" i="298"/>
  <c r="I36" i="370"/>
  <c r="I22" i="370"/>
  <c r="I6" i="310"/>
  <c r="I6" i="370"/>
  <c r="I6" i="298"/>
  <c r="I38" i="310"/>
  <c r="I38" i="370"/>
  <c r="H17" i="310"/>
  <c r="H17" i="298"/>
  <c r="H17" i="370"/>
  <c r="G41" i="362"/>
  <c r="H8" i="298"/>
  <c r="I5" i="402"/>
  <c r="I6" i="408"/>
  <c r="O6" i="408" s="1"/>
  <c r="I33" i="310"/>
  <c r="I33" i="298"/>
  <c r="H38" i="310"/>
  <c r="H38" i="370"/>
  <c r="I18" i="310"/>
  <c r="I18" i="370"/>
  <c r="H32" i="408"/>
  <c r="N32" i="408" s="1"/>
  <c r="H37" i="402"/>
  <c r="N37" i="402" s="1"/>
  <c r="H29" i="310"/>
  <c r="H29" i="298"/>
  <c r="H29" i="370"/>
  <c r="G35" i="355"/>
  <c r="I35" i="355" s="1"/>
  <c r="I36" i="355" s="1"/>
  <c r="H11" i="310"/>
  <c r="H9" i="310"/>
  <c r="H9" i="298"/>
  <c r="H9" i="370"/>
  <c r="I29" i="370"/>
  <c r="I29" i="310"/>
  <c r="I29" i="298"/>
  <c r="H27" i="298"/>
  <c r="H27" i="370"/>
  <c r="H27" i="310"/>
  <c r="I41" i="298"/>
  <c r="I41" i="310"/>
  <c r="I41" i="370"/>
  <c r="I26" i="310"/>
  <c r="I26" i="370"/>
  <c r="I26" i="298"/>
  <c r="I9" i="310"/>
  <c r="I9" i="298"/>
  <c r="I9" i="370"/>
  <c r="I25" i="310"/>
  <c r="I25" i="370"/>
  <c r="I25" i="298"/>
  <c r="H41" i="298"/>
  <c r="H41" i="370"/>
  <c r="H41" i="310"/>
  <c r="H12" i="310"/>
  <c r="H12" i="298"/>
  <c r="H12" i="370"/>
  <c r="H25" i="310"/>
  <c r="H25" i="370"/>
  <c r="H25" i="298"/>
  <c r="H26" i="370"/>
  <c r="H26" i="310"/>
  <c r="H26" i="298"/>
  <c r="H6" i="408"/>
  <c r="H5" i="402"/>
  <c r="H10" i="408"/>
  <c r="N10" i="408" s="1"/>
  <c r="H9" i="402"/>
  <c r="G30" i="356"/>
  <c r="H13" i="310"/>
  <c r="H28" i="298"/>
  <c r="H28" i="370"/>
  <c r="H28" i="310"/>
  <c r="I37" i="370"/>
  <c r="I37" i="298"/>
  <c r="I37" i="310"/>
  <c r="I28" i="370"/>
  <c r="I28" i="298"/>
  <c r="H34" i="298"/>
  <c r="H12" i="391"/>
  <c r="H34" i="310"/>
  <c r="H39" i="310"/>
  <c r="H39" i="370"/>
  <c r="H39" i="298"/>
  <c r="H37" i="310"/>
  <c r="H37" i="298"/>
  <c r="H37" i="370"/>
  <c r="I27" i="370"/>
  <c r="I27" i="298"/>
  <c r="I27" i="310"/>
  <c r="I24" i="298"/>
  <c r="I24" i="370"/>
  <c r="F27" i="408"/>
  <c r="L27" i="408" s="1"/>
  <c r="F15" i="408"/>
  <c r="L15" i="408" s="1"/>
  <c r="I31" i="298"/>
  <c r="I31" i="310"/>
  <c r="I14" i="408" s="1"/>
  <c r="O14" i="408" s="1"/>
  <c r="I31" i="370"/>
  <c r="I38" i="298"/>
  <c r="H31" i="370"/>
  <c r="H31" i="310"/>
  <c r="H38" i="298"/>
  <c r="G39" i="262"/>
  <c r="G31" i="370" s="1"/>
  <c r="I20" i="310"/>
  <c r="I20" i="298"/>
  <c r="I20" i="370"/>
  <c r="G31" i="382"/>
  <c r="G33" i="382" s="1"/>
  <c r="I21" i="298"/>
  <c r="I21" i="370"/>
  <c r="I21" i="310"/>
  <c r="H20" i="298"/>
  <c r="H20" i="370"/>
  <c r="H20" i="310"/>
  <c r="F18" i="408"/>
  <c r="L18" i="408" s="1"/>
  <c r="F12" i="408"/>
  <c r="L12" i="408" s="1"/>
  <c r="F10" i="408"/>
  <c r="L10" i="408" s="1"/>
  <c r="F9" i="402"/>
  <c r="F7" i="402"/>
  <c r="F21" i="408"/>
  <c r="L21" i="408" s="1"/>
  <c r="F24" i="402"/>
  <c r="F16" i="391"/>
  <c r="G30" i="399"/>
  <c r="F21" i="402"/>
  <c r="G36" i="370"/>
  <c r="G40" i="389"/>
  <c r="H10" i="370" s="1"/>
  <c r="F16" i="402"/>
  <c r="G40" i="388"/>
  <c r="I8" i="370" s="1"/>
  <c r="G34" i="384"/>
  <c r="I11" i="370" s="1"/>
  <c r="G33" i="400"/>
  <c r="F29" i="402"/>
  <c r="F17" i="402"/>
  <c r="G34" i="387"/>
  <c r="F32" i="402"/>
  <c r="G36" i="310"/>
  <c r="G16" i="391"/>
  <c r="G32" i="383"/>
  <c r="H7" i="298" s="1"/>
  <c r="F13" i="402"/>
  <c r="G15" i="367"/>
  <c r="E16" i="298" s="1"/>
  <c r="G28" i="400"/>
  <c r="G13" i="391" s="1"/>
  <c r="F40" i="370"/>
  <c r="F25" i="402" s="1"/>
  <c r="F40" i="298"/>
  <c r="F23" i="370"/>
  <c r="F23" i="298"/>
  <c r="G14" i="352"/>
  <c r="E7" i="310" s="1"/>
  <c r="E6" i="370"/>
  <c r="E6" i="298"/>
  <c r="G22" i="354"/>
  <c r="E9" i="391"/>
  <c r="N6" i="398"/>
  <c r="G21" i="353"/>
  <c r="G12" i="121"/>
  <c r="E6" i="391" s="1"/>
  <c r="E11" i="391"/>
  <c r="N4" i="398"/>
  <c r="E41" i="370"/>
  <c r="E41" i="310"/>
  <c r="H3" i="398"/>
  <c r="J7" i="398"/>
  <c r="G35" i="357"/>
  <c r="G35" i="359"/>
  <c r="G34" i="360"/>
  <c r="G41" i="366"/>
  <c r="G43" i="270"/>
  <c r="G31" i="269"/>
  <c r="G33" i="269" s="1"/>
  <c r="G36" i="342"/>
  <c r="G44" i="273"/>
  <c r="G31" i="338"/>
  <c r="G33" i="338" s="1"/>
  <c r="G38" i="364"/>
  <c r="G34" i="352"/>
  <c r="G31" i="392"/>
  <c r="G42" i="331"/>
  <c r="E6" i="310"/>
  <c r="G11" i="258"/>
  <c r="E17" i="298" s="1"/>
  <c r="E39" i="370"/>
  <c r="E39" i="310"/>
  <c r="G14" i="272"/>
  <c r="G38" i="273"/>
  <c r="F34" i="197"/>
  <c r="G12" i="391"/>
  <c r="G11" i="391"/>
  <c r="G11" i="365"/>
  <c r="E14" i="298" s="1"/>
  <c r="G6" i="391"/>
  <c r="G9" i="391"/>
  <c r="G18" i="391"/>
  <c r="G32" i="333"/>
  <c r="G45" i="262"/>
  <c r="G33" i="345"/>
  <c r="G40" i="386"/>
  <c r="G41" i="389"/>
  <c r="G39" i="388"/>
  <c r="H8" i="370" s="1"/>
  <c r="G40" i="279"/>
  <c r="G8" i="279"/>
  <c r="G22" i="279" s="1"/>
  <c r="G24" i="273"/>
  <c r="G29" i="367"/>
  <c r="G18" i="364"/>
  <c r="G15" i="384"/>
  <c r="G21" i="358"/>
  <c r="G21" i="362"/>
  <c r="G21" i="366"/>
  <c r="G14" i="261"/>
  <c r="G22" i="389"/>
  <c r="G17" i="385"/>
  <c r="G21" i="388"/>
  <c r="G31" i="258"/>
  <c r="G31" i="381"/>
  <c r="G34" i="272"/>
  <c r="G27" i="334"/>
  <c r="G29" i="266"/>
  <c r="G31" i="365"/>
  <c r="G35" i="367"/>
  <c r="G35" i="368"/>
  <c r="G30" i="274"/>
  <c r="G37" i="385"/>
  <c r="G31" i="332"/>
  <c r="G34" i="261"/>
  <c r="G29" i="276"/>
  <c r="G31" i="276" s="1"/>
  <c r="G28" i="335"/>
  <c r="G41" i="358"/>
  <c r="G31" i="336"/>
  <c r="G30" i="265"/>
  <c r="G41" i="361"/>
  <c r="G31" i="347"/>
  <c r="E29" i="310"/>
  <c r="G14" i="360"/>
  <c r="G36" i="360" s="1"/>
  <c r="E29" i="298"/>
  <c r="G29" i="387"/>
  <c r="G16" i="370" s="1"/>
  <c r="G14" i="383"/>
  <c r="E7" i="298" s="1"/>
  <c r="G15" i="363"/>
  <c r="E11" i="298" s="1"/>
  <c r="G15" i="357"/>
  <c r="E16" i="310" s="1"/>
  <c r="G20" i="386"/>
  <c r="G22" i="310"/>
  <c r="G22" i="370"/>
  <c r="G22" i="298"/>
  <c r="G11" i="347"/>
  <c r="E14" i="370" s="1"/>
  <c r="G35" i="363"/>
  <c r="G41" i="353"/>
  <c r="G32" i="329"/>
  <c r="G38" i="260"/>
  <c r="G32" i="121"/>
  <c r="G42" i="354"/>
  <c r="G35" i="267"/>
  <c r="G14" i="370"/>
  <c r="E18" i="370"/>
  <c r="G24" i="270"/>
  <c r="E32" i="408" s="1"/>
  <c r="F26" i="310"/>
  <c r="F26" i="370"/>
  <c r="F26" i="298"/>
  <c r="E5" i="235"/>
  <c r="F5" i="235" s="1"/>
  <c r="B26" i="233"/>
  <c r="E3" i="235"/>
  <c r="F3" i="235" s="1"/>
  <c r="E6" i="235"/>
  <c r="F6" i="235" s="1"/>
  <c r="G12" i="332"/>
  <c r="B27" i="233"/>
  <c r="E7" i="235"/>
  <c r="F7" i="235" s="1"/>
  <c r="E4" i="235"/>
  <c r="F4" i="235" s="1"/>
  <c r="D4" i="225"/>
  <c r="J4" i="225" s="1"/>
  <c r="J5" i="225" s="1"/>
  <c r="B28" i="233"/>
  <c r="F25" i="370"/>
  <c r="F25" i="298"/>
  <c r="F25" i="310"/>
  <c r="G13" i="345"/>
  <c r="E12" i="298" s="1"/>
  <c r="D50" i="219"/>
  <c r="F50" i="219" s="1"/>
  <c r="E17" i="219"/>
  <c r="K17" i="219" s="1"/>
  <c r="E25" i="219"/>
  <c r="K25" i="219" s="1"/>
  <c r="D47" i="219"/>
  <c r="F47" i="219" s="1"/>
  <c r="E18" i="219"/>
  <c r="K18" i="219" s="1"/>
  <c r="E26" i="219"/>
  <c r="K26" i="219" s="1"/>
  <c r="E18" i="235"/>
  <c r="F18" i="235" s="1"/>
  <c r="E16" i="235"/>
  <c r="F16" i="235" s="1"/>
  <c r="F19" i="235" s="1"/>
  <c r="D68" i="219" s="1"/>
  <c r="E68" i="219" s="1"/>
  <c r="D53" i="219"/>
  <c r="F53" i="219" s="1"/>
  <c r="E20" i="219"/>
  <c r="K20" i="219" s="1"/>
  <c r="B20" i="233"/>
  <c r="D45" i="219"/>
  <c r="F45" i="219" s="1"/>
  <c r="F54" i="219" s="1"/>
  <c r="D6" i="219" s="1"/>
  <c r="E21" i="219"/>
  <c r="K21" i="219" s="1"/>
  <c r="E17" i="235"/>
  <c r="F17" i="235" s="1"/>
  <c r="D48" i="219"/>
  <c r="F48" i="219" s="1"/>
  <c r="E22" i="219"/>
  <c r="K22" i="219" s="1"/>
  <c r="D51" i="219"/>
  <c r="F51" i="219" s="1"/>
  <c r="D49" i="219"/>
  <c r="F49" i="219" s="1"/>
  <c r="E19" i="219"/>
  <c r="K19" i="219" s="1"/>
  <c r="B21" i="233"/>
  <c r="E23" i="219"/>
  <c r="K23" i="219" s="1"/>
  <c r="E24" i="219"/>
  <c r="K24" i="219" s="1"/>
  <c r="D46" i="219"/>
  <c r="F46" i="219" s="1"/>
  <c r="E16" i="219"/>
  <c r="K16" i="219" s="1"/>
  <c r="D3" i="219" s="1"/>
  <c r="D8" i="219" s="1"/>
  <c r="G29" i="370"/>
  <c r="G15" i="310"/>
  <c r="G16" i="310"/>
  <c r="G34" i="310"/>
  <c r="G26" i="370"/>
  <c r="E23" i="370"/>
  <c r="E40" i="370"/>
  <c r="G8" i="310"/>
  <c r="E26" i="370"/>
  <c r="G6" i="370"/>
  <c r="G13" i="298"/>
  <c r="G11" i="298"/>
  <c r="G17" i="298"/>
  <c r="G17" i="370"/>
  <c r="G12" i="370"/>
  <c r="G13" i="310"/>
  <c r="G10" i="310"/>
  <c r="E27" i="370"/>
  <c r="E33" i="310"/>
  <c r="G7" i="310"/>
  <c r="G9" i="370"/>
  <c r="G11" i="310"/>
  <c r="G25" i="370"/>
  <c r="G14" i="298"/>
  <c r="G18" i="298"/>
  <c r="G18" i="310"/>
  <c r="G7" i="370"/>
  <c r="G27" i="310"/>
  <c r="G27" i="370"/>
  <c r="G15" i="298"/>
  <c r="G8" i="298"/>
  <c r="G10" i="298"/>
  <c r="G37" i="370"/>
  <c r="E8" i="331"/>
  <c r="D35" i="331" s="1"/>
  <c r="G35" i="331" s="1"/>
  <c r="G36" i="331" s="1"/>
  <c r="G21" i="361"/>
  <c r="E23" i="310"/>
  <c r="G37" i="310"/>
  <c r="G15" i="355"/>
  <c r="G10" i="356"/>
  <c r="J5" i="220"/>
  <c r="I5" i="220"/>
  <c r="G25" i="262"/>
  <c r="G16" i="342"/>
  <c r="E40" i="310"/>
  <c r="J3" i="220"/>
  <c r="J7" i="220" s="1"/>
  <c r="E23" i="298"/>
  <c r="H3" i="220"/>
  <c r="H7" i="220" s="1"/>
  <c r="G7" i="220"/>
  <c r="G28" i="272"/>
  <c r="G29" i="310"/>
  <c r="G29" i="298"/>
  <c r="E27" i="310"/>
  <c r="E27" i="298"/>
  <c r="G26" i="298"/>
  <c r="G14" i="310"/>
  <c r="G17" i="310"/>
  <c r="G26" i="310"/>
  <c r="E18" i="298"/>
  <c r="G27" i="298"/>
  <c r="G25" i="298"/>
  <c r="G25" i="310"/>
  <c r="E33" i="298"/>
  <c r="G33" i="298"/>
  <c r="G6" i="310"/>
  <c r="G6" i="298"/>
  <c r="G34" i="298"/>
  <c r="G33" i="310"/>
  <c r="G9" i="298"/>
  <c r="G9" i="310"/>
  <c r="F7" i="378"/>
  <c r="G7" i="378" s="1"/>
  <c r="F9" i="378" s="1"/>
  <c r="E26" i="298"/>
  <c r="E26" i="310"/>
  <c r="E18" i="310"/>
  <c r="G12" i="298"/>
  <c r="G12" i="310"/>
  <c r="G24" i="370" l="1"/>
  <c r="G19" i="408" s="1"/>
  <c r="M19" i="408" s="1"/>
  <c r="G24" i="310"/>
  <c r="G13" i="408" s="1"/>
  <c r="M13" i="408" s="1"/>
  <c r="G24" i="298"/>
  <c r="F8" i="235"/>
  <c r="G43" i="361"/>
  <c r="H8" i="408"/>
  <c r="N8" i="408" s="1"/>
  <c r="G34" i="383"/>
  <c r="N5" i="398"/>
  <c r="K7" i="398"/>
  <c r="F22" i="402"/>
  <c r="F25" i="408"/>
  <c r="L25" i="408" s="1"/>
  <c r="F13" i="408"/>
  <c r="L13" i="408" s="1"/>
  <c r="F19" i="408"/>
  <c r="L19" i="408" s="1"/>
  <c r="G31" i="310"/>
  <c r="G37" i="368"/>
  <c r="G37" i="359"/>
  <c r="G34" i="400"/>
  <c r="G36" i="400" s="1"/>
  <c r="I13" i="391"/>
  <c r="H21" i="402"/>
  <c r="H18" i="408"/>
  <c r="N18" i="408" s="1"/>
  <c r="N5" i="402"/>
  <c r="N6" i="408"/>
  <c r="P6" i="408" s="1"/>
  <c r="J6" i="408"/>
  <c r="G31" i="399"/>
  <c r="G33" i="399" s="1"/>
  <c r="I14" i="370"/>
  <c r="J32" i="408"/>
  <c r="P32" i="408" s="1"/>
  <c r="S32" i="408" s="1"/>
  <c r="G35" i="387"/>
  <c r="G37" i="387" s="1"/>
  <c r="I16" i="370"/>
  <c r="H24" i="402"/>
  <c r="H21" i="408"/>
  <c r="N21" i="408" s="1"/>
  <c r="H16" i="408"/>
  <c r="N16" i="408" s="1"/>
  <c r="H17" i="402"/>
  <c r="G42" i="389"/>
  <c r="G44" i="389" s="1"/>
  <c r="I10" i="370"/>
  <c r="G31" i="268"/>
  <c r="G29" i="278"/>
  <c r="G31" i="278" s="1"/>
  <c r="H7" i="402"/>
  <c r="H32" i="402"/>
  <c r="H27" i="408"/>
  <c r="N27" i="408" s="1"/>
  <c r="H29" i="402"/>
  <c r="H24" i="408"/>
  <c r="N24" i="408" s="1"/>
  <c r="G35" i="384"/>
  <c r="G37" i="384" s="1"/>
  <c r="G43" i="366"/>
  <c r="H25" i="402"/>
  <c r="H22" i="408"/>
  <c r="N22" i="408" s="1"/>
  <c r="H16" i="402"/>
  <c r="H15" i="408"/>
  <c r="N15" i="408" s="1"/>
  <c r="H12" i="408"/>
  <c r="N12" i="408" s="1"/>
  <c r="H13" i="402"/>
  <c r="H25" i="408"/>
  <c r="N25" i="408" s="1"/>
  <c r="H30" i="402"/>
  <c r="F28" i="408"/>
  <c r="L28" i="408" s="1"/>
  <c r="F30" i="402"/>
  <c r="H19" i="408"/>
  <c r="N19" i="408" s="1"/>
  <c r="H22" i="402"/>
  <c r="H13" i="408"/>
  <c r="N13" i="408" s="1"/>
  <c r="F14" i="402"/>
  <c r="G31" i="298"/>
  <c r="G26" i="408" s="1"/>
  <c r="M26" i="408" s="1"/>
  <c r="G22" i="402"/>
  <c r="G22" i="408"/>
  <c r="M22" i="408" s="1"/>
  <c r="I26" i="408"/>
  <c r="O26" i="408" s="1"/>
  <c r="I20" i="408"/>
  <c r="O20" i="408" s="1"/>
  <c r="H28" i="408"/>
  <c r="H33" i="402"/>
  <c r="H31" i="402"/>
  <c r="H26" i="408"/>
  <c r="N26" i="408" s="1"/>
  <c r="H15" i="402"/>
  <c r="H14" i="408"/>
  <c r="N14" i="408" s="1"/>
  <c r="H20" i="408"/>
  <c r="N20" i="408" s="1"/>
  <c r="H23" i="402"/>
  <c r="G20" i="408"/>
  <c r="M20" i="408" s="1"/>
  <c r="E31" i="370"/>
  <c r="E31" i="298"/>
  <c r="E31" i="310"/>
  <c r="N42" i="298"/>
  <c r="H14" i="402"/>
  <c r="N42" i="310"/>
  <c r="N42" i="370"/>
  <c r="F22" i="408"/>
  <c r="L22" i="408" s="1"/>
  <c r="G16" i="408"/>
  <c r="M16" i="408" s="1"/>
  <c r="L19" i="391"/>
  <c r="F8" i="402"/>
  <c r="F9" i="408"/>
  <c r="L9" i="408" s="1"/>
  <c r="G8" i="402"/>
  <c r="G9" i="408"/>
  <c r="M9" i="408" s="1"/>
  <c r="S30" i="408"/>
  <c r="G21" i="408"/>
  <c r="M21" i="408" s="1"/>
  <c r="G10" i="408"/>
  <c r="M10" i="408" s="1"/>
  <c r="G9" i="402"/>
  <c r="K32" i="408"/>
  <c r="G15" i="408"/>
  <c r="M15" i="408" s="1"/>
  <c r="G27" i="408"/>
  <c r="M27" i="408" s="1"/>
  <c r="E28" i="408"/>
  <c r="G33" i="402"/>
  <c r="G28" i="408"/>
  <c r="M28" i="408" s="1"/>
  <c r="G18" i="408"/>
  <c r="M18" i="408" s="1"/>
  <c r="G37" i="267"/>
  <c r="G9" i="378"/>
  <c r="G24" i="378" s="1"/>
  <c r="F33" i="402"/>
  <c r="I15" i="402"/>
  <c r="G41" i="388"/>
  <c r="O37" i="402"/>
  <c r="E33" i="402"/>
  <c r="G17" i="402"/>
  <c r="I31" i="402"/>
  <c r="I23" i="402"/>
  <c r="G32" i="402"/>
  <c r="G24" i="402"/>
  <c r="G21" i="402"/>
  <c r="G16" i="402"/>
  <c r="G25" i="402"/>
  <c r="G23" i="402"/>
  <c r="E37" i="402"/>
  <c r="J37" i="402" s="1"/>
  <c r="G36" i="352"/>
  <c r="G33" i="332"/>
  <c r="G34" i="121"/>
  <c r="I3" i="398"/>
  <c r="M7" i="398" s="1"/>
  <c r="L7" i="398"/>
  <c r="G33" i="258"/>
  <c r="G29" i="334"/>
  <c r="G34" i="333"/>
  <c r="F9" i="331" s="1"/>
  <c r="G9" i="331" s="1"/>
  <c r="G42" i="279"/>
  <c r="F36" i="197"/>
  <c r="G30" i="335"/>
  <c r="G31" i="266"/>
  <c r="G32" i="265"/>
  <c r="I31" i="392"/>
  <c r="G33" i="392"/>
  <c r="E17" i="370"/>
  <c r="E17" i="310"/>
  <c r="G8" i="391"/>
  <c r="E8" i="391"/>
  <c r="E12" i="391"/>
  <c r="E18" i="391"/>
  <c r="E7" i="391"/>
  <c r="G7" i="391"/>
  <c r="L42" i="298"/>
  <c r="L42" i="310"/>
  <c r="G37" i="367"/>
  <c r="G16" i="298"/>
  <c r="G36" i="261"/>
  <c r="E34" i="310"/>
  <c r="E34" i="298"/>
  <c r="G33" i="381"/>
  <c r="E7" i="370"/>
  <c r="G32" i="274"/>
  <c r="G33" i="365"/>
  <c r="G33" i="336"/>
  <c r="G40" i="260"/>
  <c r="E11" i="370"/>
  <c r="E10" i="370"/>
  <c r="G37" i="357"/>
  <c r="E13" i="370"/>
  <c r="G39" i="385"/>
  <c r="E8" i="370"/>
  <c r="E15" i="370"/>
  <c r="G42" i="386"/>
  <c r="E13" i="298"/>
  <c r="G33" i="347"/>
  <c r="E14" i="310"/>
  <c r="G40" i="364"/>
  <c r="E25" i="298"/>
  <c r="E25" i="370"/>
  <c r="G37" i="363"/>
  <c r="E25" i="310"/>
  <c r="G35" i="345"/>
  <c r="L42" i="370"/>
  <c r="G45" i="270"/>
  <c r="E15" i="298"/>
  <c r="E12" i="310"/>
  <c r="E12" i="370"/>
  <c r="B32" i="233"/>
  <c r="B29" i="233"/>
  <c r="B31" i="233"/>
  <c r="B30" i="233"/>
  <c r="D9" i="219"/>
  <c r="D10" i="219" s="1"/>
  <c r="E8" i="298"/>
  <c r="G44" i="354"/>
  <c r="E9" i="370"/>
  <c r="E9" i="310"/>
  <c r="E11" i="310"/>
  <c r="M42" i="370"/>
  <c r="G43" i="353"/>
  <c r="E8" i="310"/>
  <c r="E13" i="310"/>
  <c r="E10" i="298"/>
  <c r="G43" i="358"/>
  <c r="F8" i="331"/>
  <c r="G8" i="331" s="1"/>
  <c r="G37" i="355"/>
  <c r="G46" i="273"/>
  <c r="G32" i="356"/>
  <c r="G43" i="362"/>
  <c r="G47" i="262"/>
  <c r="G38" i="342"/>
  <c r="E10" i="310"/>
  <c r="E15" i="310"/>
  <c r="E9" i="298"/>
  <c r="G36" i="272"/>
  <c r="G30" i="402" l="1"/>
  <c r="E16" i="408"/>
  <c r="G25" i="408"/>
  <c r="M25" i="408" s="1"/>
  <c r="E17" i="402"/>
  <c r="E15" i="402"/>
  <c r="E27" i="408"/>
  <c r="K27" i="408" s="1"/>
  <c r="G14" i="402"/>
  <c r="G36" i="383"/>
  <c r="G14" i="408"/>
  <c r="M14" i="408" s="1"/>
  <c r="P14" i="408" s="1"/>
  <c r="G15" i="402"/>
  <c r="I16" i="402"/>
  <c r="G31" i="402"/>
  <c r="G43" i="388"/>
  <c r="P26" i="408"/>
  <c r="H8" i="402"/>
  <c r="H9" i="408"/>
  <c r="N9" i="408" s="1"/>
  <c r="N19" i="391"/>
  <c r="I8" i="408"/>
  <c r="O8" i="408" s="1"/>
  <c r="E15" i="408"/>
  <c r="I25" i="408"/>
  <c r="O25" i="408" s="1"/>
  <c r="I30" i="402"/>
  <c r="I19" i="408"/>
  <c r="O19" i="408" s="1"/>
  <c r="P19" i="408" s="1"/>
  <c r="I22" i="402"/>
  <c r="I21" i="408"/>
  <c r="O21" i="408" s="1"/>
  <c r="P21" i="408" s="1"/>
  <c r="P20" i="408"/>
  <c r="I13" i="408"/>
  <c r="O13" i="408" s="1"/>
  <c r="P13" i="408" s="1"/>
  <c r="G8" i="408"/>
  <c r="M8" i="408" s="1"/>
  <c r="K16" i="408"/>
  <c r="N28" i="408"/>
  <c r="E22" i="407"/>
  <c r="AF22" i="407" s="1"/>
  <c r="O42" i="310"/>
  <c r="I14" i="402"/>
  <c r="I24" i="408"/>
  <c r="O24" i="408" s="1"/>
  <c r="I27" i="408"/>
  <c r="O27" i="408" s="1"/>
  <c r="P27" i="408" s="1"/>
  <c r="I32" i="402"/>
  <c r="L38" i="402"/>
  <c r="I22" i="408"/>
  <c r="O22" i="408" s="1"/>
  <c r="P22" i="408" s="1"/>
  <c r="I12" i="408"/>
  <c r="O12" i="408" s="1"/>
  <c r="I17" i="402"/>
  <c r="I16" i="408"/>
  <c r="O16" i="408" s="1"/>
  <c r="P16" i="408" s="1"/>
  <c r="I15" i="408"/>
  <c r="O15" i="408" s="1"/>
  <c r="P15" i="408" s="1"/>
  <c r="I10" i="408"/>
  <c r="O10" i="408" s="1"/>
  <c r="P10" i="408" s="1"/>
  <c r="I9" i="402"/>
  <c r="I8" i="402"/>
  <c r="I9" i="408"/>
  <c r="O9" i="408" s="1"/>
  <c r="I7" i="402"/>
  <c r="G12" i="408"/>
  <c r="M12" i="408" s="1"/>
  <c r="E22" i="408"/>
  <c r="K28" i="408"/>
  <c r="G24" i="408"/>
  <c r="M24" i="408" s="1"/>
  <c r="G7" i="402"/>
  <c r="I13" i="402"/>
  <c r="I29" i="402"/>
  <c r="G39" i="378"/>
  <c r="F4" i="378" s="1"/>
  <c r="E15" i="391"/>
  <c r="E31" i="397"/>
  <c r="I24" i="402"/>
  <c r="I25" i="402"/>
  <c r="O5" i="402"/>
  <c r="K37" i="402"/>
  <c r="E25" i="402"/>
  <c r="G13" i="402"/>
  <c r="G29" i="402"/>
  <c r="G23" i="331"/>
  <c r="E24" i="370" s="1"/>
  <c r="N3" i="398"/>
  <c r="N7" i="398" s="1"/>
  <c r="O19" i="391"/>
  <c r="M19" i="391"/>
  <c r="O42" i="298"/>
  <c r="M42" i="298"/>
  <c r="D12" i="219"/>
  <c r="D11" i="219"/>
  <c r="E20" i="408"/>
  <c r="J20" i="408" s="1"/>
  <c r="M42" i="310"/>
  <c r="S37" i="402" l="1"/>
  <c r="E22" i="397"/>
  <c r="E32" i="402"/>
  <c r="P25" i="408"/>
  <c r="E14" i="408"/>
  <c r="K14" i="408" s="1"/>
  <c r="E16" i="402"/>
  <c r="N38" i="402"/>
  <c r="I18" i="408"/>
  <c r="O18" i="408" s="1"/>
  <c r="P18" i="408" s="1"/>
  <c r="P12" i="408"/>
  <c r="O42" i="370"/>
  <c r="P8" i="408"/>
  <c r="I21" i="402"/>
  <c r="P9" i="408"/>
  <c r="J27" i="408"/>
  <c r="P24" i="408"/>
  <c r="J22" i="408"/>
  <c r="J15" i="408"/>
  <c r="J16" i="408"/>
  <c r="K15" i="408"/>
  <c r="Q15" i="408" s="1"/>
  <c r="AH22" i="407"/>
  <c r="AL22" i="397"/>
  <c r="AJ22" i="407"/>
  <c r="AN22" i="407"/>
  <c r="AG22" i="407"/>
  <c r="AV22" i="407"/>
  <c r="AR22" i="407"/>
  <c r="AM22" i="407"/>
  <c r="AT22" i="407"/>
  <c r="AQ22" i="407"/>
  <c r="AD22" i="407"/>
  <c r="AL22" i="407"/>
  <c r="AP22" i="407"/>
  <c r="AI22" i="407"/>
  <c r="AO22" i="407"/>
  <c r="AS22" i="407"/>
  <c r="AE22" i="407"/>
  <c r="AK22" i="407"/>
  <c r="AU22" i="407"/>
  <c r="AC22" i="407"/>
  <c r="I28" i="408"/>
  <c r="J28" i="408" s="1"/>
  <c r="E12" i="407"/>
  <c r="K19" i="391"/>
  <c r="E12" i="408"/>
  <c r="E18" i="408"/>
  <c r="E8" i="408"/>
  <c r="E31" i="402"/>
  <c r="E26" i="408"/>
  <c r="J26" i="408" s="1"/>
  <c r="E7" i="402"/>
  <c r="E9" i="402"/>
  <c r="E10" i="408"/>
  <c r="J10" i="408" s="1"/>
  <c r="K20" i="408"/>
  <c r="E15" i="407"/>
  <c r="E14" i="407"/>
  <c r="E16" i="407"/>
  <c r="E24" i="408"/>
  <c r="J24" i="408" s="1"/>
  <c r="K22" i="408"/>
  <c r="E21" i="408"/>
  <c r="J21" i="408" s="1"/>
  <c r="E31" i="407"/>
  <c r="F41" i="378"/>
  <c r="I33" i="402"/>
  <c r="E12" i="397"/>
  <c r="M12" i="397" s="1"/>
  <c r="M28" i="397" s="1"/>
  <c r="E21" i="402"/>
  <c r="M38" i="402"/>
  <c r="E23" i="402"/>
  <c r="E24" i="402"/>
  <c r="E13" i="402"/>
  <c r="E29" i="402"/>
  <c r="E24" i="298"/>
  <c r="E24" i="310"/>
  <c r="G44" i="331"/>
  <c r="E16" i="397"/>
  <c r="E15" i="397"/>
  <c r="E14" i="397"/>
  <c r="S32" i="402" l="1"/>
  <c r="J14" i="408"/>
  <c r="Q14" i="408"/>
  <c r="AU22" i="397"/>
  <c r="AI22" i="397"/>
  <c r="E19" i="408"/>
  <c r="J19" i="408" s="1"/>
  <c r="E22" i="402"/>
  <c r="K8" i="408"/>
  <c r="J8" i="408"/>
  <c r="K18" i="408"/>
  <c r="J18" i="408"/>
  <c r="K12" i="408"/>
  <c r="J12" i="408"/>
  <c r="S5" i="402"/>
  <c r="S7" i="402"/>
  <c r="S9" i="402"/>
  <c r="AE22" i="397"/>
  <c r="AV22" i="397"/>
  <c r="AC22" i="397"/>
  <c r="AT22" i="397"/>
  <c r="AF22" i="397"/>
  <c r="AS22" i="397"/>
  <c r="AK22" i="397"/>
  <c r="AM22" i="397"/>
  <c r="AG22" i="397"/>
  <c r="AQ22" i="397"/>
  <c r="AP22" i="397"/>
  <c r="AJ22" i="397"/>
  <c r="AO22" i="397"/>
  <c r="AD22" i="397"/>
  <c r="AR22" i="397"/>
  <c r="AN22" i="397"/>
  <c r="AH22" i="397"/>
  <c r="L12" i="397"/>
  <c r="L28" i="397" s="1"/>
  <c r="K12" i="397"/>
  <c r="K28" i="397" s="1"/>
  <c r="N12" i="397"/>
  <c r="N28" i="397" s="1"/>
  <c r="S31" i="402"/>
  <c r="O28" i="408"/>
  <c r="M12" i="407"/>
  <c r="M28" i="407" s="1"/>
  <c r="L12" i="407"/>
  <c r="L28" i="407" s="1"/>
  <c r="K12" i="407"/>
  <c r="K28" i="407" s="1"/>
  <c r="N12" i="407"/>
  <c r="N28" i="407" s="1"/>
  <c r="E8" i="402"/>
  <c r="S8" i="402" s="1"/>
  <c r="E9" i="408"/>
  <c r="V15" i="407"/>
  <c r="V28" i="407" s="1"/>
  <c r="Q15" i="407"/>
  <c r="Q28" i="407" s="1"/>
  <c r="R15" i="407"/>
  <c r="R28" i="407" s="1"/>
  <c r="X15" i="407"/>
  <c r="X28" i="407" s="1"/>
  <c r="Y15" i="407"/>
  <c r="Y28" i="407" s="1"/>
  <c r="U15" i="407"/>
  <c r="U28" i="407" s="1"/>
  <c r="T15" i="407"/>
  <c r="T28" i="407" s="1"/>
  <c r="W15" i="407"/>
  <c r="W28" i="407" s="1"/>
  <c r="S15" i="407"/>
  <c r="S28" i="407" s="1"/>
  <c r="Z15" i="407"/>
  <c r="Z28" i="407" s="1"/>
  <c r="K26" i="408"/>
  <c r="Q26" i="408" s="1"/>
  <c r="K10" i="408"/>
  <c r="K24" i="408"/>
  <c r="AA16" i="407"/>
  <c r="AA28" i="407" s="1"/>
  <c r="AB16" i="407"/>
  <c r="AB28" i="407" s="1"/>
  <c r="O14" i="407"/>
  <c r="O28" i="407" s="1"/>
  <c r="P14" i="407"/>
  <c r="P28" i="407" s="1"/>
  <c r="K21" i="408"/>
  <c r="Q21" i="408" s="1"/>
  <c r="AQ31" i="407"/>
  <c r="AI31" i="407"/>
  <c r="AA31" i="407"/>
  <c r="S31" i="407"/>
  <c r="K31" i="407"/>
  <c r="AP31" i="407"/>
  <c r="AH31" i="407"/>
  <c r="Z31" i="407"/>
  <c r="R31" i="407"/>
  <c r="J31" i="407"/>
  <c r="AO31" i="407"/>
  <c r="AG31" i="407"/>
  <c r="Y31" i="407"/>
  <c r="Q31" i="407"/>
  <c r="AU31" i="407"/>
  <c r="AM31" i="407"/>
  <c r="AE31" i="407"/>
  <c r="W31" i="407"/>
  <c r="O31" i="407"/>
  <c r="AR31" i="407"/>
  <c r="AJ31" i="407"/>
  <c r="AB31" i="407"/>
  <c r="T31" i="407"/>
  <c r="L31" i="407"/>
  <c r="AF31" i="407"/>
  <c r="M31" i="407"/>
  <c r="AK31" i="407"/>
  <c r="AD31" i="407"/>
  <c r="N31" i="407"/>
  <c r="AV31" i="407"/>
  <c r="AC31" i="407"/>
  <c r="AT31" i="407"/>
  <c r="X31" i="407"/>
  <c r="AS31" i="407"/>
  <c r="V31" i="407"/>
  <c r="AN31" i="407"/>
  <c r="U31" i="407"/>
  <c r="AL31" i="407"/>
  <c r="P31" i="407"/>
  <c r="M31" i="397"/>
  <c r="U31" i="397"/>
  <c r="AC31" i="397"/>
  <c r="AK31" i="397"/>
  <c r="AS31" i="397"/>
  <c r="O31" i="397"/>
  <c r="W31" i="397"/>
  <c r="AE31" i="397"/>
  <c r="AM31" i="397"/>
  <c r="AU31" i="397"/>
  <c r="Q31" i="397"/>
  <c r="AA31" i="397"/>
  <c r="AL31" i="397"/>
  <c r="J31" i="397"/>
  <c r="AR31" i="397"/>
  <c r="R31" i="397"/>
  <c r="AB31" i="397"/>
  <c r="AN31" i="397"/>
  <c r="T31" i="397"/>
  <c r="X31" i="397"/>
  <c r="P31" i="397"/>
  <c r="AV31" i="397"/>
  <c r="S31" i="397"/>
  <c r="AD31" i="397"/>
  <c r="AO31" i="397"/>
  <c r="AP31" i="397"/>
  <c r="L31" i="397"/>
  <c r="AJ31" i="397"/>
  <c r="AF31" i="397"/>
  <c r="AH31" i="397"/>
  <c r="K31" i="397"/>
  <c r="V31" i="397"/>
  <c r="AG31" i="397"/>
  <c r="AQ31" i="397"/>
  <c r="Z31" i="397"/>
  <c r="N31" i="397"/>
  <c r="Y31" i="397"/>
  <c r="AI31" i="397"/>
  <c r="AT31" i="397"/>
  <c r="O38" i="402"/>
  <c r="P14" i="397"/>
  <c r="P28" i="397" s="1"/>
  <c r="O14" i="397"/>
  <c r="O28" i="397" s="1"/>
  <c r="Z15" i="397"/>
  <c r="Z28" i="397" s="1"/>
  <c r="S15" i="397"/>
  <c r="S28" i="397" s="1"/>
  <c r="Q15" i="397"/>
  <c r="Q28" i="397" s="1"/>
  <c r="R15" i="397"/>
  <c r="R28" i="397" s="1"/>
  <c r="X15" i="397"/>
  <c r="X28" i="397" s="1"/>
  <c r="U15" i="397"/>
  <c r="U28" i="397" s="1"/>
  <c r="Y15" i="397"/>
  <c r="Y28" i="397" s="1"/>
  <c r="T15" i="397"/>
  <c r="T28" i="397" s="1"/>
  <c r="W15" i="397"/>
  <c r="W28" i="397" s="1"/>
  <c r="V15" i="397"/>
  <c r="V28" i="397" s="1"/>
  <c r="AA16" i="397"/>
  <c r="AA28" i="397" s="1"/>
  <c r="AB16" i="397"/>
  <c r="AB28" i="397" s="1"/>
  <c r="K42" i="370"/>
  <c r="P28" i="408" l="1"/>
  <c r="Q28" i="408"/>
  <c r="Q27" i="408"/>
  <c r="Q20" i="408"/>
  <c r="K19" i="408"/>
  <c r="Q19" i="408" s="1"/>
  <c r="K9" i="408"/>
  <c r="J9" i="408"/>
  <c r="E14" i="402"/>
  <c r="E13" i="408"/>
  <c r="J13" i="408" s="1"/>
  <c r="E25" i="408"/>
  <c r="J25" i="408" s="1"/>
  <c r="E30" i="402"/>
  <c r="BB31" i="397"/>
  <c r="BC31" i="397" s="1"/>
  <c r="BB31" i="407"/>
  <c r="BC31" i="407" s="1"/>
  <c r="E19" i="407"/>
  <c r="K42" i="298"/>
  <c r="E17" i="397"/>
  <c r="E19" i="397"/>
  <c r="S29" i="402"/>
  <c r="K42" i="310"/>
  <c r="Q18" i="408" l="1"/>
  <c r="Q8" i="408"/>
  <c r="Q9" i="408"/>
  <c r="K13" i="408"/>
  <c r="K25" i="408"/>
  <c r="AM17" i="397"/>
  <c r="P41" i="408"/>
  <c r="E32" i="397"/>
  <c r="AR19" i="407"/>
  <c r="AE19" i="407"/>
  <c r="AS19" i="407"/>
  <c r="AO19" i="407"/>
  <c r="AQ19" i="407"/>
  <c r="AG19" i="407"/>
  <c r="AI19" i="407"/>
  <c r="AM19" i="407"/>
  <c r="AV19" i="407"/>
  <c r="AU19" i="407"/>
  <c r="AK19" i="407"/>
  <c r="AN19" i="407"/>
  <c r="AF19" i="407"/>
  <c r="AT19" i="407"/>
  <c r="AP19" i="407"/>
  <c r="AL19" i="407"/>
  <c r="AC19" i="407"/>
  <c r="AH19" i="407"/>
  <c r="AD19" i="407"/>
  <c r="AJ19" i="407"/>
  <c r="U6" i="402"/>
  <c r="S6" i="402"/>
  <c r="E18" i="397"/>
  <c r="E32" i="407"/>
  <c r="AP19" i="397"/>
  <c r="Q25" i="408" l="1"/>
  <c r="Q24" i="408"/>
  <c r="Q13" i="408"/>
  <c r="Q12" i="408"/>
  <c r="E17" i="407"/>
  <c r="AI17" i="407" s="1"/>
  <c r="Q12" i="402"/>
  <c r="Q38" i="402" s="1"/>
  <c r="AT17" i="397"/>
  <c r="AS17" i="397"/>
  <c r="AO17" i="397"/>
  <c r="AC17" i="397"/>
  <c r="AE17" i="397"/>
  <c r="AN17" i="397"/>
  <c r="AP17" i="397"/>
  <c r="E20" i="407"/>
  <c r="E18" i="407"/>
  <c r="AU32" i="407"/>
  <c r="AQ32" i="407"/>
  <c r="AP32" i="407"/>
  <c r="AT32" i="407"/>
  <c r="AO32" i="407"/>
  <c r="AS32" i="407"/>
  <c r="AR32" i="407"/>
  <c r="AV32" i="407"/>
  <c r="AJ17" i="397"/>
  <c r="AU17" i="397"/>
  <c r="AK17" i="397"/>
  <c r="AF17" i="397"/>
  <c r="AD17" i="397"/>
  <c r="AG17" i="397"/>
  <c r="AL17" i="397"/>
  <c r="AR17" i="397"/>
  <c r="AI17" i="397"/>
  <c r="AH17" i="397"/>
  <c r="AV17" i="397"/>
  <c r="AQ17" i="397"/>
  <c r="K38" i="402"/>
  <c r="AI19" i="397"/>
  <c r="AR19" i="397"/>
  <c r="AK19" i="397"/>
  <c r="AQ19" i="397"/>
  <c r="AL19" i="397"/>
  <c r="AF19" i="397"/>
  <c r="AV19" i="397"/>
  <c r="AH19" i="397"/>
  <c r="AE19" i="397"/>
  <c r="AM19" i="397"/>
  <c r="AG19" i="397"/>
  <c r="AJ19" i="397"/>
  <c r="AS19" i="397"/>
  <c r="AC19" i="397"/>
  <c r="AD19" i="397"/>
  <c r="AU19" i="397"/>
  <c r="AO19" i="397"/>
  <c r="AN19" i="397"/>
  <c r="AT32" i="397"/>
  <c r="AP32" i="397"/>
  <c r="AV32" i="397"/>
  <c r="AU32" i="397"/>
  <c r="AQ32" i="397"/>
  <c r="AS32" i="397"/>
  <c r="AR32" i="397"/>
  <c r="AO32" i="397"/>
  <c r="S30" i="402"/>
  <c r="AT19" i="397"/>
  <c r="AT18" i="397"/>
  <c r="U30" i="402" l="1"/>
  <c r="E20" i="397"/>
  <c r="AJ20" i="397" s="1"/>
  <c r="AH17" i="407"/>
  <c r="AE17" i="407"/>
  <c r="AJ17" i="407"/>
  <c r="AM17" i="407"/>
  <c r="AN17" i="407"/>
  <c r="AL17" i="407"/>
  <c r="AD17" i="407"/>
  <c r="AQ17" i="407"/>
  <c r="AC17" i="407"/>
  <c r="AU17" i="407"/>
  <c r="AV17" i="407"/>
  <c r="AF17" i="407"/>
  <c r="AR17" i="407"/>
  <c r="AK17" i="407"/>
  <c r="AO17" i="407"/>
  <c r="AS17" i="407"/>
  <c r="AG17" i="407"/>
  <c r="Q39" i="402"/>
  <c r="AT17" i="407"/>
  <c r="AP17" i="407"/>
  <c r="BB32" i="397"/>
  <c r="BC32" i="397" s="1"/>
  <c r="E28" i="407"/>
  <c r="BB32" i="407"/>
  <c r="BC32" i="407" s="1"/>
  <c r="AJ18" i="407"/>
  <c r="AE18" i="407"/>
  <c r="AT18" i="407"/>
  <c r="AN18" i="407"/>
  <c r="AO18" i="407"/>
  <c r="AS18" i="407"/>
  <c r="AL18" i="407"/>
  <c r="AP18" i="407"/>
  <c r="AI18" i="407"/>
  <c r="AG18" i="407"/>
  <c r="AK18" i="407"/>
  <c r="AF18" i="407"/>
  <c r="AD18" i="407"/>
  <c r="AV18" i="407"/>
  <c r="AC18" i="407"/>
  <c r="AR18" i="407"/>
  <c r="AU18" i="407"/>
  <c r="AQ18" i="407"/>
  <c r="AM18" i="407"/>
  <c r="AH18" i="407"/>
  <c r="AQ20" i="407"/>
  <c r="AM20" i="407"/>
  <c r="AC20" i="407"/>
  <c r="AV20" i="407"/>
  <c r="AT20" i="407"/>
  <c r="AH20" i="407"/>
  <c r="AN20" i="407"/>
  <c r="AD20" i="407"/>
  <c r="AL20" i="407"/>
  <c r="AU20" i="407"/>
  <c r="AK20" i="407"/>
  <c r="AS20" i="407"/>
  <c r="AG20" i="407"/>
  <c r="AF20" i="407"/>
  <c r="AP20" i="407"/>
  <c r="AO20" i="407"/>
  <c r="AE20" i="407"/>
  <c r="AR20" i="407"/>
  <c r="AI20" i="407"/>
  <c r="AJ20" i="407"/>
  <c r="AO18" i="397"/>
  <c r="AP18" i="397"/>
  <c r="AJ18" i="397"/>
  <c r="AS18" i="397"/>
  <c r="U28" i="402"/>
  <c r="V28" i="402" s="1"/>
  <c r="U32" i="402"/>
  <c r="U31" i="402"/>
  <c r="U29" i="402"/>
  <c r="AV18" i="397"/>
  <c r="AI18" i="397"/>
  <c r="AM18" i="397"/>
  <c r="AQ18" i="397"/>
  <c r="AE18" i="397"/>
  <c r="AU18" i="397"/>
  <c r="AK18" i="397"/>
  <c r="AH18" i="397"/>
  <c r="AD18" i="397"/>
  <c r="AR18" i="397"/>
  <c r="AN18" i="397"/>
  <c r="AC18" i="397"/>
  <c r="AL18" i="397"/>
  <c r="AG18" i="397"/>
  <c r="AF18" i="397"/>
  <c r="Q52" i="402"/>
  <c r="Q45" i="402"/>
  <c r="Q46" i="402"/>
  <c r="AU20" i="397" l="1"/>
  <c r="AQ20" i="397"/>
  <c r="AQ28" i="397" s="1"/>
  <c r="AN20" i="397"/>
  <c r="AC20" i="397"/>
  <c r="E28" i="397"/>
  <c r="AG20" i="397"/>
  <c r="AG28" i="397" s="1"/>
  <c r="AT20" i="397"/>
  <c r="AT28" i="397" s="1"/>
  <c r="AK20" i="397"/>
  <c r="AF20" i="397"/>
  <c r="AF28" i="397" s="1"/>
  <c r="AD20" i="397"/>
  <c r="AD28" i="397" s="1"/>
  <c r="AE20" i="397"/>
  <c r="AE28" i="397" s="1"/>
  <c r="AV20" i="397"/>
  <c r="AV28" i="397" s="1"/>
  <c r="AM20" i="397"/>
  <c r="AM28" i="397" s="1"/>
  <c r="AR20" i="397"/>
  <c r="AR28" i="397" s="1"/>
  <c r="AP20" i="397"/>
  <c r="AP28" i="397" s="1"/>
  <c r="E35" i="397"/>
  <c r="AN35" i="397" s="1"/>
  <c r="G64" i="374"/>
  <c r="J84" i="374" s="1"/>
  <c r="AS20" i="397"/>
  <c r="AS28" i="397" s="1"/>
  <c r="AL20" i="397"/>
  <c r="AL28" i="397" s="1"/>
  <c r="AI20" i="397"/>
  <c r="AI28" i="397" s="1"/>
  <c r="AJ28" i="397"/>
  <c r="AH20" i="397"/>
  <c r="AH28" i="397" s="1"/>
  <c r="AO20" i="397"/>
  <c r="AO28" i="397" s="1"/>
  <c r="AK28" i="407"/>
  <c r="AJ28" i="407"/>
  <c r="AI28" i="407"/>
  <c r="AR28" i="407"/>
  <c r="AU28" i="407"/>
  <c r="AE28" i="407"/>
  <c r="AC28" i="407"/>
  <c r="AV28" i="407"/>
  <c r="AP28" i="407"/>
  <c r="AD28" i="407"/>
  <c r="AS28" i="407"/>
  <c r="AO28" i="407"/>
  <c r="AH28" i="407"/>
  <c r="AF28" i="407"/>
  <c r="AN28" i="407"/>
  <c r="AL28" i="407"/>
  <c r="AT28" i="407"/>
  <c r="AQ28" i="407"/>
  <c r="AG28" i="407"/>
  <c r="AM28" i="407"/>
  <c r="AK28" i="397"/>
  <c r="AC28" i="397"/>
  <c r="AN28" i="397"/>
  <c r="AU28" i="397"/>
  <c r="Q53" i="402"/>
  <c r="Q54" i="402" s="1"/>
  <c r="T54" i="402" s="1"/>
  <c r="G67" i="374" l="1"/>
  <c r="G68" i="374" s="1"/>
  <c r="J82" i="374"/>
  <c r="P44" i="408"/>
  <c r="J83" i="374"/>
  <c r="J80" i="374"/>
  <c r="J81" i="374"/>
  <c r="G66" i="374"/>
  <c r="M35" i="397"/>
  <c r="AZ35" i="397"/>
  <c r="AR35" i="397"/>
  <c r="L35" i="397"/>
  <c r="J35" i="397"/>
  <c r="Q35" i="397"/>
  <c r="AU35" i="397"/>
  <c r="AE35" i="397"/>
  <c r="W35" i="397"/>
  <c r="N35" i="397"/>
  <c r="AD35" i="397"/>
  <c r="O35" i="397"/>
  <c r="AT35" i="397"/>
  <c r="AL35" i="397"/>
  <c r="T35" i="397"/>
  <c r="BA35" i="397"/>
  <c r="AS35" i="397"/>
  <c r="AK35" i="397"/>
  <c r="U35" i="397"/>
  <c r="AP35" i="397"/>
  <c r="Z35" i="397"/>
  <c r="R35" i="397"/>
  <c r="AM35" i="397"/>
  <c r="V35" i="397"/>
  <c r="AJ35" i="397"/>
  <c r="AB35" i="397"/>
  <c r="AY35" i="397"/>
  <c r="K35" i="397"/>
  <c r="I35" i="397"/>
  <c r="AC35" i="397"/>
  <c r="AQ35" i="397"/>
  <c r="AI35" i="397"/>
  <c r="AA35" i="397"/>
  <c r="AW35" i="397"/>
  <c r="AO35" i="397"/>
  <c r="AG35" i="397"/>
  <c r="S35" i="397"/>
  <c r="X35" i="397"/>
  <c r="AX35" i="397"/>
  <c r="P35" i="397"/>
  <c r="Y35" i="397"/>
  <c r="AF35" i="397"/>
  <c r="AV35" i="397"/>
  <c r="AH35" i="397"/>
  <c r="J85" i="374" l="1"/>
  <c r="BB35" i="397"/>
  <c r="BC35" i="397" s="1"/>
  <c r="G44" i="374"/>
  <c r="G41" i="374" s="1"/>
  <c r="G62" i="374" s="1"/>
  <c r="G65" i="374" s="1"/>
  <c r="F65" i="374" l="1"/>
  <c r="G69" i="374"/>
  <c r="F69" i="374" s="1"/>
  <c r="J16" i="374" s="1"/>
  <c r="H72" i="374"/>
  <c r="I72" i="374" s="1"/>
  <c r="J34" i="408" l="1"/>
  <c r="E29" i="397"/>
  <c r="Q29" i="397" l="1"/>
  <c r="E29" i="407"/>
  <c r="D46" i="403" l="1"/>
  <c r="K53" i="374"/>
  <c r="Q40" i="408"/>
  <c r="P39" i="408"/>
  <c r="J42" i="408" s="1"/>
  <c r="Q1" i="408"/>
  <c r="J38" i="408"/>
  <c r="K29" i="397"/>
  <c r="AE29" i="397"/>
  <c r="AK29" i="397"/>
  <c r="L29" i="397"/>
  <c r="Z29" i="397"/>
  <c r="AG29" i="397"/>
  <c r="AT29" i="397"/>
  <c r="AC29" i="397"/>
  <c r="AQ29" i="397"/>
  <c r="R29" i="397"/>
  <c r="AV29" i="397"/>
  <c r="AS29" i="397"/>
  <c r="AL29" i="397"/>
  <c r="AI29" i="397"/>
  <c r="AU29" i="397"/>
  <c r="AN29" i="397"/>
  <c r="T29" i="397"/>
  <c r="AF29" i="397"/>
  <c r="V29" i="397"/>
  <c r="AR29" i="397"/>
  <c r="S29" i="397"/>
  <c r="AO29" i="397"/>
  <c r="X29" i="397"/>
  <c r="AD29" i="397"/>
  <c r="AA29" i="397"/>
  <c r="E30" i="397"/>
  <c r="K30" i="397" s="1"/>
  <c r="N29" i="397"/>
  <c r="AJ29" i="397"/>
  <c r="AM29" i="397"/>
  <c r="Y29" i="397"/>
  <c r="P29" i="397"/>
  <c r="AH29" i="397"/>
  <c r="U29" i="397"/>
  <c r="M29" i="397"/>
  <c r="W29" i="397"/>
  <c r="O29" i="397"/>
  <c r="AB29" i="397"/>
  <c r="AP29" i="397"/>
  <c r="Z29" i="407"/>
  <c r="AP29" i="407"/>
  <c r="Q29" i="407"/>
  <c r="AO29" i="407"/>
  <c r="L29" i="407"/>
  <c r="AH29" i="407"/>
  <c r="AJ29" i="407"/>
  <c r="R29" i="407"/>
  <c r="AB29" i="407"/>
  <c r="Y29" i="407"/>
  <c r="T29" i="407"/>
  <c r="AR29" i="407"/>
  <c r="AE29" i="407"/>
  <c r="AS29" i="407"/>
  <c r="S29" i="407"/>
  <c r="P29" i="407"/>
  <c r="N29" i="407"/>
  <c r="W29" i="407"/>
  <c r="AK29" i="407"/>
  <c r="K29" i="407"/>
  <c r="AI29" i="407"/>
  <c r="O29" i="407"/>
  <c r="AC29" i="407"/>
  <c r="AV29" i="407"/>
  <c r="V29" i="407"/>
  <c r="AA29" i="407"/>
  <c r="AT29" i="407"/>
  <c r="U29" i="407"/>
  <c r="AN29" i="407"/>
  <c r="AU29" i="407"/>
  <c r="AG29" i="407"/>
  <c r="AL29" i="407"/>
  <c r="M29" i="407"/>
  <c r="AF29" i="407"/>
  <c r="AM29" i="407"/>
  <c r="AD29" i="407"/>
  <c r="AQ29" i="407"/>
  <c r="X29" i="407"/>
  <c r="E30" i="407"/>
  <c r="F50" i="405"/>
  <c r="J10" i="405" s="1"/>
  <c r="G8" i="404"/>
  <c r="J45" i="402"/>
  <c r="P46" i="408" l="1"/>
  <c r="M5" i="408"/>
  <c r="K31" i="408"/>
  <c r="L31" i="408"/>
  <c r="L7" i="408"/>
  <c r="J40" i="408"/>
  <c r="J43" i="408"/>
  <c r="N5" i="408"/>
  <c r="N7" i="408"/>
  <c r="N11" i="408"/>
  <c r="N17" i="408"/>
  <c r="N23" i="408"/>
  <c r="N31" i="408"/>
  <c r="AE30" i="397"/>
  <c r="AR30" i="397"/>
  <c r="AJ30" i="397"/>
  <c r="AA30" i="397"/>
  <c r="AM30" i="397"/>
  <c r="AO30" i="397"/>
  <c r="N30" i="397"/>
  <c r="AV30" i="397"/>
  <c r="AB30" i="397"/>
  <c r="AK30" i="397"/>
  <c r="O31" i="408"/>
  <c r="L5" i="408"/>
  <c r="K7" i="408"/>
  <c r="M31" i="408"/>
  <c r="M7" i="408"/>
  <c r="O7" i="408"/>
  <c r="O5" i="408"/>
  <c r="L11" i="408"/>
  <c r="L23" i="408"/>
  <c r="O17" i="408"/>
  <c r="M23" i="408"/>
  <c r="M11" i="408"/>
  <c r="L17" i="408"/>
  <c r="M17" i="408"/>
  <c r="O23" i="408"/>
  <c r="O11" i="408"/>
  <c r="K23" i="408"/>
  <c r="K11" i="408"/>
  <c r="K17" i="408"/>
  <c r="AP30" i="397"/>
  <c r="T30" i="397"/>
  <c r="AC30" i="397"/>
  <c r="AL30" i="397"/>
  <c r="U30" i="397"/>
  <c r="X30" i="397"/>
  <c r="R30" i="397"/>
  <c r="AG30" i="397"/>
  <c r="W30" i="397"/>
  <c r="AH30" i="397"/>
  <c r="AT30" i="397"/>
  <c r="Z30" i="397"/>
  <c r="P30" i="397"/>
  <c r="AD30" i="397"/>
  <c r="M30" i="397"/>
  <c r="AQ30" i="397"/>
  <c r="AF30" i="397"/>
  <c r="S30" i="397"/>
  <c r="AS30" i="397"/>
  <c r="Y30" i="397"/>
  <c r="O30" i="397"/>
  <c r="Q30" i="397"/>
  <c r="L30" i="397"/>
  <c r="AU30" i="397"/>
  <c r="V30" i="397"/>
  <c r="AN30" i="397"/>
  <c r="AI30" i="397"/>
  <c r="E37" i="397"/>
  <c r="AV37" i="397" s="1"/>
  <c r="BB29" i="397"/>
  <c r="BC29" i="397" s="1"/>
  <c r="AS30" i="407"/>
  <c r="T30" i="407"/>
  <c r="AE30" i="407"/>
  <c r="AV30" i="407"/>
  <c r="Q30" i="407"/>
  <c r="O30" i="407"/>
  <c r="M30" i="407"/>
  <c r="X30" i="407"/>
  <c r="AA30" i="407"/>
  <c r="N30" i="407"/>
  <c r="AK30" i="407"/>
  <c r="L30" i="407"/>
  <c r="W30" i="407"/>
  <c r="Y30" i="407"/>
  <c r="AP30" i="407"/>
  <c r="Z30" i="407"/>
  <c r="AU30" i="407"/>
  <c r="AC30" i="407"/>
  <c r="P30" i="407"/>
  <c r="V30" i="407"/>
  <c r="S30" i="407"/>
  <c r="AN30" i="407"/>
  <c r="AT30" i="407"/>
  <c r="U30" i="407"/>
  <c r="AH30" i="407"/>
  <c r="AG30" i="407"/>
  <c r="AQ30" i="407"/>
  <c r="AJ30" i="407"/>
  <c r="AI30" i="407"/>
  <c r="AL30" i="407"/>
  <c r="K30" i="407"/>
  <c r="AM30" i="407"/>
  <c r="AD30" i="407"/>
  <c r="AR30" i="407"/>
  <c r="R30" i="407"/>
  <c r="AF30" i="407"/>
  <c r="AO30" i="407"/>
  <c r="AB30" i="407"/>
  <c r="BB29" i="407"/>
  <c r="BC29" i="407" s="1"/>
  <c r="E35" i="407"/>
  <c r="Q30" i="408" l="1"/>
  <c r="P31" i="408"/>
  <c r="Q31" i="408"/>
  <c r="Q16" i="408"/>
  <c r="P17" i="408"/>
  <c r="Q17" i="408"/>
  <c r="Q7" i="408"/>
  <c r="Q6" i="408"/>
  <c r="P7" i="408"/>
  <c r="K60" i="408"/>
  <c r="K61" i="408" s="1"/>
  <c r="P11" i="408"/>
  <c r="Q10" i="408"/>
  <c r="Q11" i="408"/>
  <c r="Q5" i="408"/>
  <c r="P23" i="408"/>
  <c r="Q23" i="408"/>
  <c r="Q22" i="408"/>
  <c r="P5" i="408"/>
  <c r="N33" i="408"/>
  <c r="K33" i="408"/>
  <c r="AP37" i="397"/>
  <c r="AR37" i="397"/>
  <c r="I37" i="397"/>
  <c r="T37" i="397"/>
  <c r="Y37" i="397"/>
  <c r="AJ37" i="397"/>
  <c r="P37" i="397"/>
  <c r="AA37" i="397"/>
  <c r="Q37" i="397"/>
  <c r="AW37" i="397"/>
  <c r="AT37" i="397"/>
  <c r="AN37" i="397"/>
  <c r="AB37" i="397"/>
  <c r="BA37" i="397"/>
  <c r="K37" i="397"/>
  <c r="AM37" i="397"/>
  <c r="AY37" i="397"/>
  <c r="S37" i="397"/>
  <c r="AG37" i="397"/>
  <c r="AU37" i="397"/>
  <c r="AX37" i="397"/>
  <c r="AO37" i="397"/>
  <c r="X37" i="397"/>
  <c r="N37" i="397"/>
  <c r="AK37" i="397"/>
  <c r="AF37" i="397"/>
  <c r="J37" i="397"/>
  <c r="L37" i="397"/>
  <c r="Z37" i="397"/>
  <c r="AL37" i="397"/>
  <c r="AD37" i="397"/>
  <c r="M37" i="397"/>
  <c r="U37" i="397"/>
  <c r="AQ37" i="397"/>
  <c r="R37" i="397"/>
  <c r="V37" i="397"/>
  <c r="AZ37" i="397"/>
  <c r="AE37" i="397"/>
  <c r="O37" i="397"/>
  <c r="AS37" i="397"/>
  <c r="W37" i="397"/>
  <c r="AC37" i="397"/>
  <c r="BB30" i="397"/>
  <c r="BC30" i="397" s="1"/>
  <c r="AI37" i="397"/>
  <c r="AH37" i="397"/>
  <c r="O33" i="408"/>
  <c r="L33" i="408"/>
  <c r="L39" i="408" s="1"/>
  <c r="M33" i="408"/>
  <c r="M39" i="408" s="1"/>
  <c r="E39" i="397"/>
  <c r="AQ39" i="397" s="1"/>
  <c r="P48" i="408"/>
  <c r="BB30" i="407"/>
  <c r="BC30" i="407" s="1"/>
  <c r="T51" i="408"/>
  <c r="AS35" i="407"/>
  <c r="AS36" i="407" s="1"/>
  <c r="AK35" i="407"/>
  <c r="AK36" i="407" s="1"/>
  <c r="AC35" i="407"/>
  <c r="AC36" i="407" s="1"/>
  <c r="U35" i="407"/>
  <c r="U36" i="407" s="1"/>
  <c r="M35" i="407"/>
  <c r="M36" i="407" s="1"/>
  <c r="AZ35" i="407"/>
  <c r="AZ36" i="407" s="1"/>
  <c r="AR35" i="407"/>
  <c r="AR36" i="407" s="1"/>
  <c r="AJ35" i="407"/>
  <c r="AJ36" i="407" s="1"/>
  <c r="AB35" i="407"/>
  <c r="AB36" i="407" s="1"/>
  <c r="T35" i="407"/>
  <c r="T36" i="407" s="1"/>
  <c r="L35" i="407"/>
  <c r="L36" i="407" s="1"/>
  <c r="AY35" i="407"/>
  <c r="AY36" i="407" s="1"/>
  <c r="AQ35" i="407"/>
  <c r="AQ36" i="407" s="1"/>
  <c r="AI35" i="407"/>
  <c r="AI36" i="407" s="1"/>
  <c r="AA35" i="407"/>
  <c r="AA36" i="407" s="1"/>
  <c r="S35" i="407"/>
  <c r="S36" i="407" s="1"/>
  <c r="K35" i="407"/>
  <c r="K36" i="407" s="1"/>
  <c r="AX35" i="407"/>
  <c r="AX36" i="407" s="1"/>
  <c r="AP35" i="407"/>
  <c r="AP36" i="407" s="1"/>
  <c r="AH35" i="407"/>
  <c r="AH36" i="407" s="1"/>
  <c r="Z35" i="407"/>
  <c r="Z36" i="407" s="1"/>
  <c r="R35" i="407"/>
  <c r="R36" i="407" s="1"/>
  <c r="J35" i="407"/>
  <c r="J36" i="407" s="1"/>
  <c r="AW35" i="407"/>
  <c r="AW36" i="407" s="1"/>
  <c r="AO35" i="407"/>
  <c r="AO36" i="407" s="1"/>
  <c r="AG35" i="407"/>
  <c r="AG36" i="407" s="1"/>
  <c r="Y35" i="407"/>
  <c r="Y36" i="407" s="1"/>
  <c r="Q35" i="407"/>
  <c r="Q36" i="407" s="1"/>
  <c r="I35" i="407"/>
  <c r="AT35" i="407"/>
  <c r="AT36" i="407" s="1"/>
  <c r="AL35" i="407"/>
  <c r="AL36" i="407" s="1"/>
  <c r="AD35" i="407"/>
  <c r="AD36" i="407" s="1"/>
  <c r="V35" i="407"/>
  <c r="V36" i="407" s="1"/>
  <c r="N35" i="407"/>
  <c r="N36" i="407" s="1"/>
  <c r="AV35" i="407"/>
  <c r="AV36" i="407" s="1"/>
  <c r="P35" i="407"/>
  <c r="P36" i="407" s="1"/>
  <c r="AU35" i="407"/>
  <c r="AU36" i="407" s="1"/>
  <c r="O35" i="407"/>
  <c r="O36" i="407" s="1"/>
  <c r="AN35" i="407"/>
  <c r="AN36" i="407" s="1"/>
  <c r="AM35" i="407"/>
  <c r="AM36" i="407" s="1"/>
  <c r="W35" i="407"/>
  <c r="W36" i="407" s="1"/>
  <c r="AF35" i="407"/>
  <c r="AF36" i="407" s="1"/>
  <c r="AE35" i="407"/>
  <c r="AE36" i="407" s="1"/>
  <c r="X35" i="407"/>
  <c r="X36" i="407" s="1"/>
  <c r="E36" i="407"/>
  <c r="N39" i="408" l="1"/>
  <c r="P49" i="408"/>
  <c r="P51" i="408" s="1"/>
  <c r="K39" i="408"/>
  <c r="AQ40" i="397"/>
  <c r="P55" i="408"/>
  <c r="Y7" i="402"/>
  <c r="Z7" i="402" s="1"/>
  <c r="AB7" i="402" s="1"/>
  <c r="AC7" i="402" s="1"/>
  <c r="BB37" i="397"/>
  <c r="BC37" i="397" s="1"/>
  <c r="Q39" i="397"/>
  <c r="Q40" i="397" s="1"/>
  <c r="AU39" i="397"/>
  <c r="AU40" i="397" s="1"/>
  <c r="E40" i="397"/>
  <c r="H41" i="397" s="1"/>
  <c r="O39" i="408"/>
  <c r="AT39" i="397"/>
  <c r="AT40" i="397" s="1"/>
  <c r="AY39" i="397"/>
  <c r="AY40" i="397" s="1"/>
  <c r="P56" i="402"/>
  <c r="AJ39" i="397"/>
  <c r="AJ40" i="397" s="1"/>
  <c r="AF39" i="397"/>
  <c r="AF40" i="397" s="1"/>
  <c r="AX39" i="397"/>
  <c r="AX40" i="397" s="1"/>
  <c r="AD39" i="397"/>
  <c r="AD40" i="397" s="1"/>
  <c r="AC39" i="397"/>
  <c r="AC40" i="397" s="1"/>
  <c r="U39" i="397"/>
  <c r="U40" i="397" s="1"/>
  <c r="AL39" i="397"/>
  <c r="AL40" i="397" s="1"/>
  <c r="O39" i="397"/>
  <c r="O40" i="397" s="1"/>
  <c r="AN39" i="397"/>
  <c r="AN40" i="397" s="1"/>
  <c r="AV39" i="397"/>
  <c r="AV40" i="397" s="1"/>
  <c r="T39" i="397"/>
  <c r="T40" i="397" s="1"/>
  <c r="Z39" i="397"/>
  <c r="Z40" i="397" s="1"/>
  <c r="P39" i="397"/>
  <c r="P40" i="397" s="1"/>
  <c r="I39" i="397"/>
  <c r="I40" i="397" s="1"/>
  <c r="W39" i="397"/>
  <c r="W40" i="397" s="1"/>
  <c r="AZ39" i="397"/>
  <c r="AZ40" i="397" s="1"/>
  <c r="AS39" i="397"/>
  <c r="AS40" i="397" s="1"/>
  <c r="N39" i="397"/>
  <c r="N40" i="397" s="1"/>
  <c r="X39" i="397"/>
  <c r="X40" i="397" s="1"/>
  <c r="AA39" i="397"/>
  <c r="AA40" i="397" s="1"/>
  <c r="Y39" i="397"/>
  <c r="Y40" i="397" s="1"/>
  <c r="BA39" i="397"/>
  <c r="BA40" i="397" s="1"/>
  <c r="V39" i="397"/>
  <c r="V40" i="397" s="1"/>
  <c r="AO39" i="397"/>
  <c r="AO40" i="397" s="1"/>
  <c r="AW39" i="397"/>
  <c r="AW40" i="397" s="1"/>
  <c r="K39" i="397"/>
  <c r="K40" i="397" s="1"/>
  <c r="AI39" i="397"/>
  <c r="AI40" i="397" s="1"/>
  <c r="R39" i="397"/>
  <c r="R40" i="397" s="1"/>
  <c r="AP39" i="397"/>
  <c r="AP40" i="397" s="1"/>
  <c r="AB39" i="397"/>
  <c r="AB40" i="397" s="1"/>
  <c r="AM39" i="397"/>
  <c r="AM40" i="397" s="1"/>
  <c r="AE39" i="397"/>
  <c r="AE40" i="397" s="1"/>
  <c r="AG39" i="397"/>
  <c r="AG40" i="397" s="1"/>
  <c r="AH39" i="397"/>
  <c r="AH40" i="397" s="1"/>
  <c r="AR39" i="397"/>
  <c r="AR40" i="397" s="1"/>
  <c r="P33" i="408"/>
  <c r="AK39" i="397"/>
  <c r="AK40" i="397" s="1"/>
  <c r="Q33" i="408"/>
  <c r="Q39" i="408" s="1"/>
  <c r="S39" i="397"/>
  <c r="S40" i="397" s="1"/>
  <c r="L39" i="397"/>
  <c r="L40" i="397" s="1"/>
  <c r="J39" i="397"/>
  <c r="J40" i="397" s="1"/>
  <c r="M39" i="397"/>
  <c r="M40" i="397" s="1"/>
  <c r="AN37" i="407"/>
  <c r="AL37" i="407"/>
  <c r="J37" i="407"/>
  <c r="AA37" i="407"/>
  <c r="AR37" i="407"/>
  <c r="O37" i="407"/>
  <c r="AT37" i="407"/>
  <c r="R37" i="407"/>
  <c r="AI37" i="407"/>
  <c r="AZ37" i="407"/>
  <c r="H37" i="407"/>
  <c r="F37" i="407"/>
  <c r="F38" i="407" s="1"/>
  <c r="G37" i="407"/>
  <c r="BA37" i="407"/>
  <c r="AU37" i="407"/>
  <c r="BB35" i="407"/>
  <c r="BC35" i="407" s="1"/>
  <c r="I36" i="407"/>
  <c r="Z37" i="407"/>
  <c r="AQ37" i="407"/>
  <c r="M37" i="407"/>
  <c r="X37" i="407"/>
  <c r="P37" i="407"/>
  <c r="Q37" i="407"/>
  <c r="AH37" i="407"/>
  <c r="AY37" i="407"/>
  <c r="U37" i="407"/>
  <c r="AE37" i="407"/>
  <c r="AV37" i="407"/>
  <c r="Y37" i="407"/>
  <c r="AP37" i="407"/>
  <c r="L37" i="407"/>
  <c r="AC37" i="407"/>
  <c r="AF37" i="407"/>
  <c r="N37" i="407"/>
  <c r="AG37" i="407"/>
  <c r="AX37" i="407"/>
  <c r="T37" i="407"/>
  <c r="AK37" i="407"/>
  <c r="W37" i="407"/>
  <c r="V37" i="407"/>
  <c r="AO37" i="407"/>
  <c r="K37" i="407"/>
  <c r="AB37" i="407"/>
  <c r="AS37" i="407"/>
  <c r="AM37" i="407"/>
  <c r="AD37" i="407"/>
  <c r="AW37" i="407"/>
  <c r="S37" i="407"/>
  <c r="AJ37" i="407"/>
  <c r="N41" i="397" l="1"/>
  <c r="AH41" i="397"/>
  <c r="K41" i="397"/>
  <c r="AF41" i="397"/>
  <c r="AR41" i="397"/>
  <c r="Q41" i="397"/>
  <c r="AW41" i="397"/>
  <c r="AN41" i="397"/>
  <c r="AV41" i="397"/>
  <c r="AU41" i="397"/>
  <c r="O41" i="397"/>
  <c r="AS41" i="397"/>
  <c r="AP41" i="397"/>
  <c r="P41" i="397"/>
  <c r="AZ41" i="397"/>
  <c r="AQ41" i="397"/>
  <c r="R41" i="397"/>
  <c r="AA41" i="397"/>
  <c r="Z41" i="397"/>
  <c r="AD41" i="397"/>
  <c r="AJ41" i="397"/>
  <c r="Y41" i="397"/>
  <c r="AC41" i="397"/>
  <c r="AO41" i="397"/>
  <c r="S41" i="397"/>
  <c r="AI41" i="397"/>
  <c r="X41" i="397"/>
  <c r="T41" i="397"/>
  <c r="AX41" i="397"/>
  <c r="AG41" i="397"/>
  <c r="AE41" i="397"/>
  <c r="M41" i="397"/>
  <c r="G41" i="397"/>
  <c r="F41" i="397"/>
  <c r="F42" i="397" s="1"/>
  <c r="J41" i="397"/>
  <c r="AK41" i="397"/>
  <c r="AM41" i="397"/>
  <c r="AB41" i="397"/>
  <c r="BA41" i="397"/>
  <c r="I41" i="397"/>
  <c r="U41" i="397"/>
  <c r="AT41" i="397"/>
  <c r="V41" i="397"/>
  <c r="W41" i="397"/>
  <c r="AL41" i="397"/>
  <c r="AY41" i="397"/>
  <c r="BB40" i="397"/>
  <c r="BC40" i="397" s="1"/>
  <c r="L41" i="397"/>
  <c r="BB39" i="397"/>
  <c r="BC39" i="397" s="1"/>
  <c r="J47" i="408"/>
  <c r="J45" i="408"/>
  <c r="I37" i="407"/>
  <c r="BB36" i="407"/>
  <c r="BC36" i="407" s="1"/>
  <c r="G38" i="407"/>
  <c r="H38" i="407" s="1"/>
  <c r="G42" i="397" l="1"/>
  <c r="H42" i="397" s="1"/>
  <c r="I42" i="397" s="1"/>
  <c r="J42" i="397" s="1"/>
  <c r="K42" i="397" s="1"/>
  <c r="L42" i="397" s="1"/>
  <c r="M42" i="397" s="1"/>
  <c r="N42" i="397" s="1"/>
  <c r="O42" i="397" s="1"/>
  <c r="P42" i="397" s="1"/>
  <c r="Q42" i="397" s="1"/>
  <c r="R42" i="397" s="1"/>
  <c r="S42" i="397" s="1"/>
  <c r="T42" i="397" s="1"/>
  <c r="U42" i="397" s="1"/>
  <c r="V42" i="397" s="1"/>
  <c r="W42" i="397" s="1"/>
  <c r="X42" i="397" s="1"/>
  <c r="Y42" i="397" s="1"/>
  <c r="Z42" i="397" s="1"/>
  <c r="AA42" i="397" s="1"/>
  <c r="AB42" i="397" s="1"/>
  <c r="AC42" i="397" s="1"/>
  <c r="AD42" i="397" s="1"/>
  <c r="AE42" i="397" s="1"/>
  <c r="AF42" i="397" s="1"/>
  <c r="AG42" i="397" s="1"/>
  <c r="AH42" i="397" s="1"/>
  <c r="AI42" i="397" s="1"/>
  <c r="AJ42" i="397" s="1"/>
  <c r="AK42" i="397" s="1"/>
  <c r="AL42" i="397" s="1"/>
  <c r="AM42" i="397" s="1"/>
  <c r="AN42" i="397" s="1"/>
  <c r="AO42" i="397" s="1"/>
  <c r="AP42" i="397" s="1"/>
  <c r="AQ42" i="397" s="1"/>
  <c r="AR42" i="397" s="1"/>
  <c r="AS42" i="397" s="1"/>
  <c r="AT42" i="397" s="1"/>
  <c r="AU42" i="397" s="1"/>
  <c r="AV42" i="397" s="1"/>
  <c r="AW42" i="397" s="1"/>
  <c r="AX42" i="397" s="1"/>
  <c r="AY42" i="397" s="1"/>
  <c r="AZ42" i="397" s="1"/>
  <c r="BA42" i="397" s="1"/>
  <c r="BB37" i="407"/>
  <c r="BC37" i="407" s="1"/>
  <c r="I38" i="407"/>
  <c r="J38" i="407" l="1"/>
  <c r="K38" i="407" s="1"/>
  <c r="L38" i="407" s="1"/>
  <c r="M38" i="407" s="1"/>
  <c r="N38" i="407" s="1"/>
  <c r="O38" i="407" s="1"/>
  <c r="P38" i="407" s="1"/>
  <c r="Q38" i="407" s="1"/>
  <c r="R38" i="407" s="1"/>
  <c r="S38" i="407" s="1"/>
  <c r="T38" i="407" s="1"/>
  <c r="U38" i="407" s="1"/>
  <c r="V38" i="407" s="1"/>
  <c r="W38" i="407" s="1"/>
  <c r="X38" i="407" s="1"/>
  <c r="Y38" i="407" s="1"/>
  <c r="Z38" i="407" s="1"/>
  <c r="AA38" i="407" s="1"/>
  <c r="AB38" i="407" s="1"/>
  <c r="AC38" i="407" s="1"/>
  <c r="AD38" i="407" s="1"/>
  <c r="AE38" i="407" s="1"/>
  <c r="AF38" i="407" s="1"/>
  <c r="AG38" i="407" s="1"/>
  <c r="AH38" i="407" s="1"/>
  <c r="AI38" i="407" s="1"/>
  <c r="AJ38" i="407" s="1"/>
  <c r="AK38" i="407" s="1"/>
  <c r="AL38" i="407" s="1"/>
  <c r="AM38" i="407" s="1"/>
  <c r="AN38" i="407" s="1"/>
  <c r="AO38" i="407" s="1"/>
  <c r="AP38" i="407" s="1"/>
  <c r="AQ38" i="407" s="1"/>
  <c r="AR38" i="407" s="1"/>
  <c r="AS38" i="407" s="1"/>
  <c r="AT38" i="407" s="1"/>
  <c r="AU38" i="407" s="1"/>
  <c r="AV38" i="407" s="1"/>
  <c r="AW38" i="407" s="1"/>
  <c r="AX38" i="407" s="1"/>
  <c r="AY38" i="407" s="1"/>
  <c r="AZ38" i="407" s="1"/>
  <c r="BA38" i="407" s="1"/>
  <c r="BB38" i="407" l="1"/>
  <c r="BC38" i="407" s="1"/>
  <c r="B37" i="402"/>
  <c r="B32" i="4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C3" authorId="0" shapeId="0" xr:uid="{00000000-0006-0000-1100-000001000000}">
      <text>
        <r>
          <rPr>
            <b/>
            <sz val="9"/>
            <color indexed="81"/>
            <rFont val="Tahoma"/>
            <family val="2"/>
          </rPr>
          <t>andrew paez:</t>
        </r>
        <r>
          <rPr>
            <sz val="9"/>
            <color indexed="81"/>
            <rFont val="Tahoma"/>
            <family val="2"/>
          </rPr>
          <t xml:space="preserve">
por lo menos 10% del valor del contrato, a menos que el valor del contrato exceda 1 millon de SMMLV</t>
        </r>
      </text>
    </comment>
    <comment ref="C4" authorId="0" shapeId="0" xr:uid="{00000000-0006-0000-1100-000002000000}">
      <text>
        <r>
          <rPr>
            <b/>
            <sz val="9"/>
            <color indexed="81"/>
            <rFont val="Tahoma"/>
            <family val="2"/>
          </rPr>
          <t>andrew paez:</t>
        </r>
        <r>
          <rPr>
            <sz val="9"/>
            <color indexed="81"/>
            <rFont val="Tahoma"/>
            <family val="2"/>
          </rPr>
          <t xml:space="preserve">
100% sobre el valor del aniticipo, normalmente 30%</t>
        </r>
      </text>
    </comment>
    <comment ref="C5" authorId="0" shapeId="0" xr:uid="{00000000-0006-0000-1100-000003000000}">
      <text>
        <r>
          <rPr>
            <b/>
            <sz val="9"/>
            <color indexed="81"/>
            <rFont val="Tahoma"/>
            <family val="2"/>
          </rPr>
          <t>andrew paez:</t>
        </r>
        <r>
          <rPr>
            <sz val="9"/>
            <color indexed="81"/>
            <rFont val="Tahoma"/>
            <family val="2"/>
          </rPr>
          <t xml:space="preserve">
No menor al 5% del valor del contrato</t>
        </r>
      </text>
    </comment>
    <comment ref="C6" authorId="0" shapeId="0" xr:uid="{00000000-0006-0000-1100-000004000000}">
      <text>
        <r>
          <rPr>
            <b/>
            <sz val="9"/>
            <color indexed="81"/>
            <rFont val="Tahoma"/>
            <family val="2"/>
          </rPr>
          <t>andrew paez:</t>
        </r>
        <r>
          <rPr>
            <sz val="9"/>
            <color indexed="81"/>
            <rFont val="Tahoma"/>
            <family val="2"/>
          </rPr>
          <t xml:space="preserve">
no debe ser menor a 200 smmlv para ctos cuyo valor es inferior o igual a 1500 smmlv, 300smmlv cuando el cto es superior a 1500  e inferior a 2500smmlv, 400smmlv  cuando el cto es superior a 2500 e inferior a 5000 smmlv, 500smmlv cuando el cto es superior a 5000 e inferior a 10000 smmlv y el 5% del valor del cto cuando sea superior a 10000 smmlv</t>
        </r>
      </text>
    </comment>
    <comment ref="C16" authorId="0" shapeId="0" xr:uid="{00000000-0006-0000-1100-000005000000}">
      <text>
        <r>
          <rPr>
            <b/>
            <sz val="9"/>
            <color indexed="81"/>
            <rFont val="Tahoma"/>
            <family val="2"/>
          </rPr>
          <t>andrew paez:</t>
        </r>
        <r>
          <rPr>
            <sz val="9"/>
            <color indexed="81"/>
            <rFont val="Tahoma"/>
            <family val="2"/>
          </rPr>
          <t xml:space="preserve">
por lo menos 10% del valor del contrato, a menos que el valor del contrato exceda 1 millon de SMMLV</t>
        </r>
      </text>
    </comment>
    <comment ref="C17" authorId="0" shapeId="0" xr:uid="{00000000-0006-0000-1100-000006000000}">
      <text>
        <r>
          <rPr>
            <b/>
            <sz val="9"/>
            <color indexed="81"/>
            <rFont val="Tahoma"/>
            <family val="2"/>
          </rPr>
          <t>andrew paez:</t>
        </r>
        <r>
          <rPr>
            <sz val="9"/>
            <color indexed="81"/>
            <rFont val="Tahoma"/>
            <family val="2"/>
          </rPr>
          <t xml:space="preserve">
No menor al 5% del valor del contrato</t>
        </r>
      </text>
    </comment>
    <comment ref="C18" authorId="0" shapeId="0" xr:uid="{00000000-0006-0000-1100-000007000000}">
      <text>
        <r>
          <rPr>
            <b/>
            <sz val="9"/>
            <color indexed="81"/>
            <rFont val="Tahoma"/>
            <family val="2"/>
          </rPr>
          <t>andrew paez:</t>
        </r>
        <r>
          <rPr>
            <sz val="9"/>
            <color indexed="81"/>
            <rFont val="Tahoma"/>
            <family val="2"/>
          </rPr>
          <t xml:space="preserve">
no debe ser menor a 200 smmlv para ctos cuyo valor es inferior o igual a 1500 smmlv, 300smmlv cuando el cto es superior a 1500  e inferior a 2500smmlv, 400smmlv  cuando el cto es superior a 2500 e inferior a 5000 smmlv, 500smmlv cuando el cto es superior a 5000 e inferior a 10000 smmlv y el 5% del valor del cto cuando sea superior a 10000 smmlv</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1B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7" authorId="0" shapeId="0" xr:uid="{00000000-0006-0000-1B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4" authorId="0" shapeId="0" xr:uid="{00000000-0006-0000-1B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1" authorId="0" shapeId="0" xr:uid="{00000000-0006-0000-1B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84FB7748-4893-448D-B469-40CF248D0D7A}">
      <text>
        <r>
          <rPr>
            <b/>
            <sz val="9"/>
            <color indexed="81"/>
            <rFont val="Tahoma"/>
            <family val="2"/>
          </rPr>
          <t>andrew paez:</t>
        </r>
        <r>
          <rPr>
            <sz val="9"/>
            <color indexed="81"/>
            <rFont val="Tahoma"/>
            <family val="2"/>
          </rPr>
          <t xml:space="preserve">
Ingrese el código del material para cargar los datos de la pestaña de Materiales</t>
        </r>
      </text>
    </comment>
    <comment ref="A17" authorId="0" shapeId="0" xr:uid="{618C9BB0-6759-4C07-890B-3712967298B3}">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4" authorId="0" shapeId="0" xr:uid="{FC3FB2F3-EC4D-4CF1-BDE1-9AAF5CF27F5B}">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1" authorId="0" shapeId="0" xr:uid="{5EC2FE69-6086-4D7C-AB85-BE3B86A8DA79}">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1D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3" authorId="0" shapeId="0" xr:uid="{00000000-0006-0000-1D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19" authorId="0" shapeId="0" xr:uid="{00000000-0006-0000-1D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6" authorId="0" shapeId="0" xr:uid="{00000000-0006-0000-1D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1E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25" authorId="0" shapeId="0" xr:uid="{00000000-0006-0000-1E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30" authorId="0" shapeId="0" xr:uid="{00000000-0006-0000-1E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7" authorId="0" shapeId="0" xr:uid="{00000000-0006-0000-1E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2EA01AD5-0AD3-4204-88EE-B3495911D2BC}">
      <text>
        <r>
          <rPr>
            <b/>
            <sz val="9"/>
            <color indexed="81"/>
            <rFont val="Tahoma"/>
            <family val="2"/>
          </rPr>
          <t>andrew paez:</t>
        </r>
        <r>
          <rPr>
            <sz val="9"/>
            <color indexed="81"/>
            <rFont val="Tahoma"/>
            <family val="2"/>
          </rPr>
          <t xml:space="preserve">
Ingrese el código del material para cargar los datos de la pestaña de Materiales</t>
        </r>
      </text>
    </comment>
    <comment ref="A14" authorId="0" shapeId="0" xr:uid="{EA6966A2-4B5F-4700-87C4-199C6EA54A82}">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1" authorId="0" shapeId="0" xr:uid="{CAABFEBF-1377-449D-9198-9274A68245B1}">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8" authorId="0" shapeId="0" xr:uid="{3560F03D-D4A6-43D2-8F2D-61530599D517}">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53A3C4B7-14E4-4BEE-AA13-43FAEAFCB147}">
      <text>
        <r>
          <rPr>
            <b/>
            <sz val="9"/>
            <color indexed="81"/>
            <rFont val="Tahoma"/>
            <family val="2"/>
          </rPr>
          <t>andrew paez:</t>
        </r>
        <r>
          <rPr>
            <sz val="9"/>
            <color indexed="81"/>
            <rFont val="Tahoma"/>
            <family val="2"/>
          </rPr>
          <t xml:space="preserve">
Ingrese el código del material para cargar los datos de la pestaña de Materiales</t>
        </r>
      </text>
    </comment>
    <comment ref="A17" authorId="0" shapeId="0" xr:uid="{3F0EA132-9001-4B03-A2AE-51F8FB52910D}">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4" authorId="0" shapeId="0" xr:uid="{D2C560F7-6AF4-4CDF-8914-5811F86B80E8}">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1" authorId="0" shapeId="0" xr:uid="{D55C14EA-CAD6-42A0-B4AA-81E480CCE28D}">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81177DDC-FA59-4AA5-A5DE-417172C263A7}">
      <text>
        <r>
          <rPr>
            <b/>
            <sz val="9"/>
            <color indexed="81"/>
            <rFont val="Tahoma"/>
            <family val="2"/>
          </rPr>
          <t>andrew paez:</t>
        </r>
        <r>
          <rPr>
            <sz val="9"/>
            <color indexed="81"/>
            <rFont val="Tahoma"/>
            <family val="2"/>
          </rPr>
          <t xml:space="preserve">
Ingrese el código del material para cargar los datos de la pestaña de Materiales</t>
        </r>
      </text>
    </comment>
    <comment ref="A24" authorId="0" shapeId="0" xr:uid="{165E62F2-0327-4C7F-8E17-7365D8E8CC3F}">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31" authorId="0" shapeId="0" xr:uid="{BAA7E1A1-361F-4F9B-82A7-200B4775A48F}">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8" authorId="0" shapeId="0" xr:uid="{D4AC7B6E-1246-4834-94EC-31164B59C729}">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7F615832-C471-4927-8C50-458478B1823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9" authorId="0" shapeId="0" xr:uid="{7BE766B3-5EA3-40A9-B879-BBC146D210A3}">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6" authorId="0" shapeId="0" xr:uid="{FF5D832C-E722-49D7-A881-9498502F9439}">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3" authorId="0" shapeId="0" xr:uid="{66B218E6-EF40-4E28-A5C7-8489169620E8}">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A7A6D43E-219A-4754-BF61-AF4EE6498575}">
      <text>
        <r>
          <rPr>
            <b/>
            <sz val="9"/>
            <color indexed="81"/>
            <rFont val="Tahoma"/>
            <family val="2"/>
          </rPr>
          <t>andrew paez:</t>
        </r>
        <r>
          <rPr>
            <sz val="9"/>
            <color indexed="81"/>
            <rFont val="Tahoma"/>
            <family val="2"/>
          </rPr>
          <t xml:space="preserve">
Ingrese el código del material para cargar los datos de la pestaña de Materiales</t>
        </r>
      </text>
    </comment>
    <comment ref="A25" authorId="0" shapeId="0" xr:uid="{48AADB25-1D70-40D2-9E03-A4B3FDEC81C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32" authorId="0" shapeId="0" xr:uid="{947C2FFA-CCAB-4BCC-88C3-FF2EF83428A7}">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9" authorId="0" shapeId="0" xr:uid="{CFFE0E62-DDD7-4B89-8906-9A234C859B1E}">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410BEF8A-8C63-4D98-8311-43188927B3AB}">
      <text>
        <r>
          <rPr>
            <b/>
            <sz val="9"/>
            <color indexed="81"/>
            <rFont val="Tahoma"/>
            <family val="2"/>
          </rPr>
          <t>andrew paez:</t>
        </r>
        <r>
          <rPr>
            <sz val="9"/>
            <color indexed="81"/>
            <rFont val="Tahoma"/>
            <family val="2"/>
          </rPr>
          <t xml:space="preserve">
Ingrese el código del material para cargar los datos de la pestaña de Materiales</t>
        </r>
      </text>
    </comment>
    <comment ref="A18" authorId="0" shapeId="0" xr:uid="{0F0ECBDB-4358-4C75-B34B-C4F7444D031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5" authorId="0" shapeId="0" xr:uid="{D7398C4D-6F01-49D7-89E1-9AEE8F562289}">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2" authorId="0" shapeId="0" xr:uid="{8CB942A5-4016-47E8-A578-A20DB92D55B6}">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C12" authorId="0" shapeId="0" xr:uid="{00000000-0006-0000-1200-000001000000}">
      <text>
        <r>
          <rPr>
            <b/>
            <sz val="9"/>
            <color indexed="81"/>
            <rFont val="Tahoma"/>
            <family val="2"/>
          </rPr>
          <t>andrew paez:</t>
        </r>
        <r>
          <rPr>
            <sz val="9"/>
            <color indexed="81"/>
            <rFont val="Tahoma"/>
            <family val="2"/>
          </rPr>
          <t xml:space="preserve">
Los rendimientos incluyen tiempos de desplazamiento a las zonas</t>
        </r>
      </text>
    </comment>
    <comment ref="C29" authorId="0" shapeId="0" xr:uid="{00000000-0006-0000-1200-000002000000}">
      <text>
        <r>
          <rPr>
            <b/>
            <sz val="9"/>
            <color indexed="81"/>
            <rFont val="Tahoma"/>
            <family val="2"/>
          </rPr>
          <t>andrew paez:</t>
        </r>
        <r>
          <rPr>
            <sz val="9"/>
            <color indexed="81"/>
            <rFont val="Tahoma"/>
            <family val="2"/>
          </rPr>
          <t xml:space="preserve">
Los rendimientos incluyen tiempos de desplazamiento a las zonas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B7E37F8-0C73-45C0-B13A-77878F2F4F3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6" authorId="0" shapeId="0" xr:uid="{680D518D-A9C7-47ED-A0CF-00D98476833A}">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3" authorId="0" shapeId="0" xr:uid="{CA93106E-569E-4887-9F00-FD732663EEDD}">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0" authorId="0" shapeId="0" xr:uid="{DC6ACE84-7D92-4891-AC64-3200A5C784F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F3D6B909-76EB-41E9-8896-634A78DEACD9}">
      <text>
        <r>
          <rPr>
            <b/>
            <sz val="9"/>
            <color indexed="81"/>
            <rFont val="Tahoma"/>
            <family val="2"/>
          </rPr>
          <t>andrew paez:</t>
        </r>
        <r>
          <rPr>
            <sz val="9"/>
            <color indexed="81"/>
            <rFont val="Tahoma"/>
            <family val="2"/>
          </rPr>
          <t xml:space="preserve">
Ingrese el código del material para cargar los datos de la pestaña de Materiales</t>
        </r>
      </text>
    </comment>
    <comment ref="A13" authorId="0" shapeId="0" xr:uid="{911AA9E3-151B-48CF-BA8E-0363CE8C87BA}">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0" authorId="0" shapeId="0" xr:uid="{D6E29792-BD65-49BA-B654-A672882F04C3}">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7" authorId="0" shapeId="0" xr:uid="{2C610E13-BD32-4906-9545-273CAFEF9F61}">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93EA8B7A-F4FE-45E0-AE9E-AA72609595D5}">
      <text>
        <r>
          <rPr>
            <b/>
            <sz val="9"/>
            <color indexed="81"/>
            <rFont val="Tahoma"/>
            <family val="2"/>
          </rPr>
          <t>andrew paez:</t>
        </r>
        <r>
          <rPr>
            <sz val="9"/>
            <color indexed="81"/>
            <rFont val="Tahoma"/>
            <family val="2"/>
          </rPr>
          <t xml:space="preserve">
Ingrese el código del material para cargar los datos de la pestaña de Materiales</t>
        </r>
      </text>
    </comment>
    <comment ref="A14" authorId="0" shapeId="0" xr:uid="{C7DFCAEB-BAC0-4379-BDBC-3758DE7674EF}">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1" authorId="0" shapeId="0" xr:uid="{4C5F50C6-203B-46E3-9639-1D52EA7A5314}">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8" authorId="0" shapeId="0" xr:uid="{9E3A87F3-9A65-4B60-AB1F-8F8BC84007C5}">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D4F073DD-4B07-47C4-8F5C-51CA42AD99FF}">
      <text>
        <r>
          <rPr>
            <b/>
            <sz val="9"/>
            <color indexed="81"/>
            <rFont val="Tahoma"/>
            <family val="2"/>
          </rPr>
          <t>andrew paez:</t>
        </r>
        <r>
          <rPr>
            <sz val="9"/>
            <color indexed="81"/>
            <rFont val="Tahoma"/>
            <family val="2"/>
          </rPr>
          <t xml:space="preserve">
Ingrese el código del material para cargar los datos de la pestaña de Materiales</t>
        </r>
      </text>
    </comment>
    <comment ref="A24" authorId="0" shapeId="0" xr:uid="{DB3D1077-12D9-4175-BEEB-33FCA3BB4E13}">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31" authorId="0" shapeId="0" xr:uid="{61E13720-6DB6-4059-8C8D-BA6623A1DF2B}">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8" authorId="0" shapeId="0" xr:uid="{D9519C18-DFF9-4008-92CB-876290B9D867}">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403BD113-E47B-4711-9808-3049C39A7C7C}">
      <text>
        <r>
          <rPr>
            <b/>
            <sz val="9"/>
            <color indexed="81"/>
            <rFont val="Tahoma"/>
            <family val="2"/>
          </rPr>
          <t>andrew paez:</t>
        </r>
        <r>
          <rPr>
            <sz val="9"/>
            <color indexed="81"/>
            <rFont val="Tahoma"/>
            <family val="2"/>
          </rPr>
          <t xml:space="preserve">
Ingrese el código del material para cargar los datos de la pestaña de Materiales</t>
        </r>
      </text>
    </comment>
    <comment ref="A18" authorId="0" shapeId="0" xr:uid="{D5436321-01C7-4CB4-BED8-3AD3FEDBDA61}">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5" authorId="0" shapeId="0" xr:uid="{B0BD391D-6E57-452D-BBC5-CF367F50D221}">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2" authorId="0" shapeId="0" xr:uid="{D248CB84-E002-402A-9ED2-8BEA584D2422}">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29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4" authorId="0" shapeId="0" xr:uid="{00000000-0006-0000-29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1" authorId="0" shapeId="0" xr:uid="{00000000-0006-0000-29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8" authorId="0" shapeId="0" xr:uid="{00000000-0006-0000-29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D4BE4FD1-1DE5-4D01-9A6C-9E5F502D52C6}">
      <text>
        <r>
          <rPr>
            <b/>
            <sz val="9"/>
            <color indexed="81"/>
            <rFont val="Tahoma"/>
            <family val="2"/>
          </rPr>
          <t>andrew paez:</t>
        </r>
        <r>
          <rPr>
            <sz val="9"/>
            <color indexed="81"/>
            <rFont val="Tahoma"/>
            <family val="2"/>
          </rPr>
          <t xml:space="preserve">
Ingrese el código del material para cargar los datos de la pestaña de Materiales</t>
        </r>
      </text>
    </comment>
    <comment ref="A18" authorId="0" shapeId="0" xr:uid="{E7268B2A-E654-4C07-96C6-E72B04DE9F9A}">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5" authorId="0" shapeId="0" xr:uid="{B0EB518B-2B7F-465E-8E45-E61BC70601DB}">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2" authorId="0" shapeId="0" xr:uid="{3BE39082-608B-4F26-9A4D-D09ADA28A9A3}">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7A202560-B9E3-4E2E-9DDA-04A3D29679B2}">
      <text>
        <r>
          <rPr>
            <b/>
            <sz val="9"/>
            <color indexed="81"/>
            <rFont val="Tahoma"/>
            <family val="2"/>
          </rPr>
          <t>andrew paez:</t>
        </r>
        <r>
          <rPr>
            <sz val="9"/>
            <color indexed="81"/>
            <rFont val="Tahoma"/>
            <family val="2"/>
          </rPr>
          <t xml:space="preserve">
Ingrese el código del material para cargar los datos de la pestaña de Materiales</t>
        </r>
      </text>
    </comment>
    <comment ref="A14" authorId="0" shapeId="0" xr:uid="{40FD9533-F446-499F-B598-587C82D3F46E}">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1" authorId="0" shapeId="0" xr:uid="{CCCCC27E-4B1E-4C5B-857F-66DD9C9155C5}">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8" authorId="0" shapeId="0" xr:uid="{0088977C-DA0A-421C-8A25-5B85F0B144BF}">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45F1751B-BA0B-4922-9897-1FB318AB70CA}">
      <text>
        <r>
          <rPr>
            <b/>
            <sz val="9"/>
            <color indexed="81"/>
            <rFont val="Tahoma"/>
            <family val="2"/>
          </rPr>
          <t>andrew paez:</t>
        </r>
        <r>
          <rPr>
            <sz val="9"/>
            <color indexed="81"/>
            <rFont val="Tahoma"/>
            <family val="2"/>
          </rPr>
          <t xml:space="preserve">
Ingrese el código del material para cargar los datos de la pestaña de Materiales</t>
        </r>
      </text>
    </comment>
    <comment ref="A14" authorId="0" shapeId="0" xr:uid="{43CA4D01-A461-4111-8494-CAB1D1DD940A}">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1" authorId="0" shapeId="0" xr:uid="{2B2A4B72-5F7A-48BB-91D6-402B07FA454D}">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8" authorId="0" shapeId="0" xr:uid="{D9A0E9B0-05EE-49CE-95DF-1E14436F4A42}">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36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2" authorId="0" shapeId="0" xr:uid="{00000000-0006-0000-36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19" authorId="0" shapeId="0" xr:uid="{00000000-0006-0000-36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6" authorId="0" shapeId="0" xr:uid="{00000000-0006-0000-36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14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6" authorId="0" shapeId="0" xr:uid="{00000000-0006-0000-1400-000002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23" authorId="0" shapeId="0" xr:uid="{00000000-0006-0000-14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0" authorId="0" shapeId="0" xr:uid="{00000000-0006-0000-14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2C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3" authorId="0" shapeId="0" xr:uid="{00000000-0006-0000-2C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0" authorId="0" shapeId="0" xr:uid="{00000000-0006-0000-2C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7" authorId="0" shapeId="0" xr:uid="{00000000-0006-0000-2C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2D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26" authorId="0" shapeId="0" xr:uid="{00000000-0006-0000-2D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33" authorId="0" shapeId="0" xr:uid="{00000000-0006-0000-2D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9" authorId="0" shapeId="0" xr:uid="{00000000-0006-0000-2D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2E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5" authorId="0" shapeId="0" xr:uid="{00000000-0006-0000-2E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2" authorId="0" shapeId="0" xr:uid="{00000000-0006-0000-2E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8" authorId="0" shapeId="0" xr:uid="{00000000-0006-0000-2E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2F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6" authorId="0" shapeId="0" xr:uid="{00000000-0006-0000-2F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3" authorId="0" shapeId="0" xr:uid="{00000000-0006-0000-2F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9" authorId="0" shapeId="0" xr:uid="{00000000-0006-0000-2F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30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3" authorId="0" shapeId="0" xr:uid="{00000000-0006-0000-30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18" authorId="0" shapeId="0" xr:uid="{00000000-0006-0000-30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4" authorId="0" shapeId="0" xr:uid="{00000000-0006-0000-30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31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2" authorId="0" shapeId="0" xr:uid="{00000000-0006-0000-31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18" authorId="0" shapeId="0" xr:uid="{00000000-0006-0000-31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4" authorId="0" shapeId="0" xr:uid="{00000000-0006-0000-31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32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4" authorId="0" shapeId="0" xr:uid="{00000000-0006-0000-32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1" authorId="0" shapeId="0" xr:uid="{00000000-0006-0000-32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7" authorId="0" shapeId="0" xr:uid="{00000000-0006-0000-32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35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28" authorId="0" shapeId="0" xr:uid="{00000000-0006-0000-35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35" authorId="0" shapeId="0" xr:uid="{00000000-0006-0000-35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42" authorId="0" shapeId="0" xr:uid="{00000000-0006-0000-35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34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21" authorId="0" shapeId="0" xr:uid="{00000000-0006-0000-34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8" authorId="0" shapeId="0" xr:uid="{00000000-0006-0000-34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5" authorId="0" shapeId="0" xr:uid="{00000000-0006-0000-34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37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3" authorId="0" shapeId="0" xr:uid="{00000000-0006-0000-37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0" authorId="0" shapeId="0" xr:uid="{00000000-0006-0000-37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7" authorId="0" shapeId="0" xr:uid="{00000000-0006-0000-37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15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5" authorId="0" shapeId="0" xr:uid="{00000000-0006-0000-15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2" authorId="0" shapeId="0" xr:uid="{00000000-0006-0000-15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9" authorId="0" shapeId="0" xr:uid="{00000000-0006-0000-15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38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3" authorId="0" shapeId="0" xr:uid="{00000000-0006-0000-38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0" authorId="0" shapeId="0" xr:uid="{00000000-0006-0000-38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6" authorId="0" shapeId="0" xr:uid="{00000000-0006-0000-38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39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9" authorId="0" shapeId="0" xr:uid="{00000000-0006-0000-39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6" authorId="0" shapeId="0" xr:uid="{00000000-0006-0000-39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2" authorId="0" shapeId="0" xr:uid="{00000000-0006-0000-39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3A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5" authorId="0" shapeId="0" xr:uid="{00000000-0006-0000-3A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2" authorId="0" shapeId="0" xr:uid="{00000000-0006-0000-3A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8" authorId="0" shapeId="0" xr:uid="{00000000-0006-0000-3A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E6B410F5-2CC4-4026-9299-12E5F28DF629}">
      <text>
        <r>
          <rPr>
            <b/>
            <sz val="9"/>
            <color indexed="81"/>
            <rFont val="Tahoma"/>
            <family val="2"/>
          </rPr>
          <t>andrew paez:</t>
        </r>
        <r>
          <rPr>
            <sz val="9"/>
            <color indexed="81"/>
            <rFont val="Tahoma"/>
            <family val="2"/>
          </rPr>
          <t xml:space="preserve">
Ingrese el código del material para cargar los datos de la pestaña de Materiales</t>
        </r>
      </text>
    </comment>
    <comment ref="A17" authorId="0" shapeId="0" xr:uid="{E61CE109-C97B-405B-BC15-36C310B0A3E6}">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4" authorId="0" shapeId="0" xr:uid="{4AA8A803-EEFF-4A9D-AA1E-744A0ACD5E97}">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1" authorId="0" shapeId="0" xr:uid="{0F3CF9F5-B8D4-487C-B710-45442F175F38}">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2EAD62D1-0D0B-4CC3-B838-393D66347D01}">
      <text>
        <r>
          <rPr>
            <b/>
            <sz val="9"/>
            <color indexed="81"/>
            <rFont val="Tahoma"/>
            <family val="2"/>
          </rPr>
          <t>andrew paez:</t>
        </r>
        <r>
          <rPr>
            <sz val="9"/>
            <color indexed="81"/>
            <rFont val="Tahoma"/>
            <family val="2"/>
          </rPr>
          <t xml:space="preserve">
Ingrese el código del material para cargar los datos de la pestaña de Materiales</t>
        </r>
      </text>
    </comment>
    <comment ref="A24" authorId="0" shapeId="0" xr:uid="{786F8EB4-2C4F-44D4-B98E-50E0CDADFDB7}">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31" authorId="0" shapeId="0" xr:uid="{BF0346EF-E5CB-48F2-942D-7EA45C15D51D}">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8" authorId="0" shapeId="0" xr:uid="{25BA31A7-4E70-48A5-AA5B-256A68BBF75F}">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8ED83815-1FFE-4316-9C7A-17A40C3C66F9}">
      <text>
        <r>
          <rPr>
            <b/>
            <sz val="9"/>
            <color indexed="81"/>
            <rFont val="Tahoma"/>
            <family val="2"/>
          </rPr>
          <t>andrew paez:</t>
        </r>
        <r>
          <rPr>
            <sz val="9"/>
            <color indexed="81"/>
            <rFont val="Tahoma"/>
            <family val="2"/>
          </rPr>
          <t xml:space="preserve">
Ingrese el código del material para cargar los datos de la pestaña de Materiales</t>
        </r>
      </text>
    </comment>
    <comment ref="A25" authorId="0" shapeId="0" xr:uid="{1447659A-D1B9-4B6B-9D3E-A1238CB568DF}">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32" authorId="0" shapeId="0" xr:uid="{DC36CB7B-E88D-48AF-B71B-9F2F252DFC09}">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9" authorId="0" shapeId="0" xr:uid="{FC573DB0-A7C5-4048-9AB8-8FD7C558D424}">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9F5433BF-2057-40A3-9D2C-83374AB9B793}">
      <text>
        <r>
          <rPr>
            <b/>
            <sz val="9"/>
            <color indexed="81"/>
            <rFont val="Tahoma"/>
            <family val="2"/>
          </rPr>
          <t>andrew paez:</t>
        </r>
        <r>
          <rPr>
            <sz val="9"/>
            <color indexed="81"/>
            <rFont val="Tahoma"/>
            <family val="2"/>
          </rPr>
          <t xml:space="preserve">
Ingrese el código del material para cargar los datos de la pestaña de Materiales</t>
        </r>
      </text>
    </comment>
    <comment ref="A18" authorId="0" shapeId="0" xr:uid="{FC3A7999-CAD7-423D-888F-1F25439E85B2}">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5" authorId="0" shapeId="0" xr:uid="{345E8300-897A-4EB2-B6AC-C01FF16D58CF}">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2" authorId="0" shapeId="0" xr:uid="{EFD4D67B-9E73-444F-83F3-132AE35D1BE7}">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A1A9197C-3359-41D6-B348-54569598B73C}">
      <text>
        <r>
          <rPr>
            <b/>
            <sz val="9"/>
            <color indexed="81"/>
            <rFont val="Tahoma"/>
            <family val="2"/>
          </rPr>
          <t>andrew paez:</t>
        </r>
        <r>
          <rPr>
            <sz val="9"/>
            <color indexed="81"/>
            <rFont val="Tahoma"/>
            <family val="2"/>
          </rPr>
          <t xml:space="preserve">
Ingrese el código del material para cargar los datos de la pestaña de Materiales</t>
        </r>
      </text>
    </comment>
    <comment ref="A20" authorId="0" shapeId="0" xr:uid="{00DA96C9-E312-4790-812E-B14620685559}">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7" authorId="0" shapeId="0" xr:uid="{13C40EDB-D6B7-42AC-905C-3F78DAD97CCF}">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4" authorId="0" shapeId="0" xr:uid="{B4C942BD-46F4-4CEE-9C5D-86797E2423A3}">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A2005B0E-72AB-4BB6-8198-B36BFDF7F09F}">
      <text>
        <r>
          <rPr>
            <b/>
            <sz val="9"/>
            <color indexed="81"/>
            <rFont val="Tahoma"/>
            <family val="2"/>
          </rPr>
          <t>andrew paez:</t>
        </r>
        <r>
          <rPr>
            <sz val="9"/>
            <color indexed="81"/>
            <rFont val="Tahoma"/>
            <family val="2"/>
          </rPr>
          <t xml:space="preserve">
Ingrese el código del material para cargar los datos de la pestaña de Materiales</t>
        </r>
      </text>
    </comment>
    <comment ref="A14" authorId="0" shapeId="0" xr:uid="{046182AB-E777-4D0E-A4F1-869AC9E34DF4}">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1" authorId="0" shapeId="0" xr:uid="{BB53FDA3-48AE-45FF-A3F3-B6263CD117F2}">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8" authorId="0" shapeId="0" xr:uid="{26C3605E-D722-4D76-9B19-27761415023B}">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5F61B1CC-DA74-4DF3-9348-037147B36A6B}">
      <text>
        <r>
          <rPr>
            <b/>
            <sz val="9"/>
            <color indexed="81"/>
            <rFont val="Tahoma"/>
            <family val="2"/>
          </rPr>
          <t>andrew paez:</t>
        </r>
        <r>
          <rPr>
            <sz val="9"/>
            <color indexed="81"/>
            <rFont val="Tahoma"/>
            <family val="2"/>
          </rPr>
          <t xml:space="preserve">
Ingrese el código del material para cargar los datos de la pestaña de Materiales</t>
        </r>
      </text>
    </comment>
    <comment ref="A23" authorId="0" shapeId="0" xr:uid="{330A6AD2-F116-4B75-81BE-BEAB94F80148}">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30" authorId="0" shapeId="0" xr:uid="{4AD3796E-C152-4436-83F5-08810E6039B8}">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7" authorId="0" shapeId="0" xr:uid="{3A7D3AD8-F37C-4117-8ED8-5E45D24D97FA}">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16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7" authorId="0" shapeId="0" xr:uid="{00000000-0006-0000-16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4" authorId="0" shapeId="0" xr:uid="{00000000-0006-0000-16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1" authorId="0" shapeId="0" xr:uid="{00000000-0006-0000-16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F2EC65D1-6A50-4F48-9490-133A7D9D71B4}">
      <text>
        <r>
          <rPr>
            <b/>
            <sz val="9"/>
            <color indexed="81"/>
            <rFont val="Tahoma"/>
            <family val="2"/>
          </rPr>
          <t>andrew paez:</t>
        </r>
        <r>
          <rPr>
            <sz val="9"/>
            <color indexed="81"/>
            <rFont val="Tahoma"/>
            <family val="2"/>
          </rPr>
          <t xml:space="preserve">
Ingrese el código del material para cargar los datos de la pestaña de Materiales</t>
        </r>
      </text>
    </comment>
    <comment ref="A18" authorId="0" shapeId="0" xr:uid="{01112FB0-A61F-46A2-9036-1C5A07E73DD8}">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5" authorId="0" shapeId="0" xr:uid="{EF51FC8B-3A6F-4040-9CEF-73B15ABC37EE}">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2" authorId="0" shapeId="0" xr:uid="{E6EE35EB-477D-4185-9BD3-FF785ACD47ED}">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B1E7EE82-9E38-4C42-927C-0C4D7BFC599A}">
      <text>
        <r>
          <rPr>
            <b/>
            <sz val="9"/>
            <color indexed="81"/>
            <rFont val="Tahoma"/>
            <family val="2"/>
          </rPr>
          <t>andrew paez:</t>
        </r>
        <r>
          <rPr>
            <sz val="9"/>
            <color indexed="81"/>
            <rFont val="Tahoma"/>
            <family val="2"/>
          </rPr>
          <t xml:space="preserve">
Ingrese el código del material para cargar los datos de la pestaña de Materiales</t>
        </r>
      </text>
    </comment>
    <comment ref="A17" authorId="0" shapeId="0" xr:uid="{36257F4A-F4FE-4289-87B5-A5FFC16C09E2}">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4" authorId="0" shapeId="0" xr:uid="{2FA67222-D1FB-491F-83BC-F68F81A9744C}">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1" authorId="0" shapeId="0" xr:uid="{04B5DEDF-70B5-4CA8-BEC1-22E252BAFAD8}">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1E449D1A-9DDB-438C-BF9E-C05E5BF125A2}">
      <text>
        <r>
          <rPr>
            <b/>
            <sz val="9"/>
            <color indexed="81"/>
            <rFont val="Tahoma"/>
            <family val="2"/>
          </rPr>
          <t>andrew paez:</t>
        </r>
        <r>
          <rPr>
            <sz val="9"/>
            <color indexed="81"/>
            <rFont val="Tahoma"/>
            <family val="2"/>
          </rPr>
          <t xml:space="preserve">
Ingrese el código del material para cargar los datos de la pestaña de Materiales</t>
        </r>
      </text>
    </comment>
    <comment ref="A24" authorId="0" shapeId="0" xr:uid="{891E21D7-FE1A-48A1-A640-C2FB0FBFB219}">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31" authorId="0" shapeId="0" xr:uid="{2B259ACC-2CAE-406B-9DCD-24C9B6FB9CDE}">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8" authorId="0" shapeId="0" xr:uid="{5532D97C-A385-4135-91C3-B83EE09FCC2B}">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543FB4C2-0DF1-41A0-A617-295D7C21C082}">
      <text>
        <r>
          <rPr>
            <b/>
            <sz val="9"/>
            <color indexed="81"/>
            <rFont val="Tahoma"/>
            <family val="2"/>
          </rPr>
          <t>andrew paez:</t>
        </r>
        <r>
          <rPr>
            <sz val="9"/>
            <color indexed="81"/>
            <rFont val="Tahoma"/>
            <family val="2"/>
          </rPr>
          <t xml:space="preserve">
Ingrese el código del material para cargar los datos de la pestaña de Materiales</t>
        </r>
      </text>
    </comment>
    <comment ref="A24" authorId="0" shapeId="0" xr:uid="{B37DCE86-E388-43A8-8943-33BE582EB8DD}">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31" authorId="0" shapeId="0" xr:uid="{9EB61D4C-EDA2-41AE-9221-3931DF6BB6E1}">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8" authorId="0" shapeId="0" xr:uid="{69AB3FC2-D17D-465E-9333-C318E0983B01}">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9DE539BB-476A-4D3B-A39E-9B26BD89D416}">
      <text>
        <r>
          <rPr>
            <b/>
            <sz val="9"/>
            <color indexed="81"/>
            <rFont val="Tahoma"/>
            <family val="2"/>
          </rPr>
          <t>andrew paez:</t>
        </r>
        <r>
          <rPr>
            <sz val="9"/>
            <color indexed="81"/>
            <rFont val="Tahoma"/>
            <family val="2"/>
          </rPr>
          <t xml:space="preserve">
Ingrese el código del material para cargar los datos de la pestaña de Materiales</t>
        </r>
      </text>
    </comment>
    <comment ref="A18" authorId="0" shapeId="0" xr:uid="{E64717FF-B977-48D1-9B93-C543A9B4B80F}">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5" authorId="0" shapeId="0" xr:uid="{B0D41976-3161-421A-8D14-42F961C3B905}">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2" authorId="0" shapeId="0" xr:uid="{0451A9DD-F0D6-41D6-952B-B23DC0E8E59B}">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547FEF7E-3593-4C5E-B63E-2E43F28AB725}">
      <text>
        <r>
          <rPr>
            <b/>
            <sz val="9"/>
            <color indexed="81"/>
            <rFont val="Tahoma"/>
            <family val="2"/>
          </rPr>
          <t>andrew paez:</t>
        </r>
        <r>
          <rPr>
            <sz val="9"/>
            <color indexed="81"/>
            <rFont val="Tahoma"/>
            <family val="2"/>
          </rPr>
          <t xml:space="preserve">
Ingrese el código del material para cargar los datos de la pestaña de Materiales</t>
        </r>
      </text>
    </comment>
    <comment ref="A21" authorId="0" shapeId="0" xr:uid="{CB34007D-C541-426F-888B-36AB738E8E2D}">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8" authorId="0" shapeId="0" xr:uid="{1FFCED32-1DC2-4F46-A0A5-578BE127F425}">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5" authorId="0" shapeId="0" xr:uid="{4143DEE7-6E90-4EA0-8853-E5712BC8D87F}">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1A9FBBA9-A9DB-4A04-8074-2D59588BFD08}">
      <text>
        <r>
          <rPr>
            <b/>
            <sz val="9"/>
            <color indexed="81"/>
            <rFont val="Tahoma"/>
            <family val="2"/>
          </rPr>
          <t>andrew paez:</t>
        </r>
        <r>
          <rPr>
            <sz val="9"/>
            <color indexed="81"/>
            <rFont val="Tahoma"/>
            <family val="2"/>
          </rPr>
          <t xml:space="preserve">
Ingrese el código del material para cargar los datos de la pestaña de Materiales</t>
        </r>
      </text>
    </comment>
    <comment ref="A14" authorId="0" shapeId="0" xr:uid="{C0428615-5A0F-49A2-9BA2-405A8FDB38F3}">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1" authorId="0" shapeId="0" xr:uid="{BB868B8D-C084-4249-975E-26EBE7F07CEF}">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8" authorId="0" shapeId="0" xr:uid="{BCCB851E-11C1-43C4-97FE-12EC17FBD63F}">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C0C457B1-E478-4179-A74B-BE721D9DF496}">
      <text>
        <r>
          <rPr>
            <b/>
            <sz val="9"/>
            <color indexed="81"/>
            <rFont val="Tahoma"/>
            <family val="2"/>
          </rPr>
          <t>andrew paez:</t>
        </r>
        <r>
          <rPr>
            <sz val="9"/>
            <color indexed="81"/>
            <rFont val="Tahoma"/>
            <family val="2"/>
          </rPr>
          <t xml:space="preserve">
Ingrese el código del material para cargar los datos de la pestaña de Materiales</t>
        </r>
      </text>
    </comment>
    <comment ref="A24" authorId="0" shapeId="0" xr:uid="{4C205A86-0E16-4FAC-A6FB-BC79A71ED489}">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31" authorId="0" shapeId="0" xr:uid="{87B198E6-1F06-4026-A059-1178ECBF72EC}">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8" authorId="0" shapeId="0" xr:uid="{AEA3016C-68F5-4A2B-9F08-189B523940B3}">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6A1DB999-8AE7-4D48-8B9B-F901F0BD0287}">
      <text>
        <r>
          <rPr>
            <b/>
            <sz val="9"/>
            <color indexed="81"/>
            <rFont val="Tahoma"/>
            <family val="2"/>
          </rPr>
          <t>andrew paez:</t>
        </r>
        <r>
          <rPr>
            <sz val="9"/>
            <color indexed="81"/>
            <rFont val="Tahoma"/>
            <family val="2"/>
          </rPr>
          <t xml:space="preserve">
Ingrese el código del material para cargar los datos de la pestaña de Materiales</t>
        </r>
      </text>
    </comment>
    <comment ref="A18" authorId="0" shapeId="0" xr:uid="{F36D8613-5BA1-410F-AB07-7160B8B12A0F}">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5" authorId="0" shapeId="0" xr:uid="{8E28617E-AE1C-4414-B58E-553A0284DDB8}">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2" authorId="0" shapeId="0" xr:uid="{1D4D7FDB-973C-426F-8527-BB5001195EA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B1B1D69-FF22-4F71-9E25-0B305B3D2293}">
      <text>
        <r>
          <rPr>
            <b/>
            <sz val="9"/>
            <color indexed="81"/>
            <rFont val="Tahoma"/>
            <family val="2"/>
          </rPr>
          <t>andrew paez:</t>
        </r>
        <r>
          <rPr>
            <sz val="9"/>
            <color indexed="81"/>
            <rFont val="Tahoma"/>
            <family val="2"/>
          </rPr>
          <t xml:space="preserve">
Ingrese el código del material para cargar los datos de la pestaña de Materiales</t>
        </r>
      </text>
    </comment>
    <comment ref="A18" authorId="0" shapeId="0" xr:uid="{30386814-CBBD-44FB-B8A3-95108773A0CB}">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5" authorId="0" shapeId="0" xr:uid="{B6D80E94-D1FB-4D03-8254-145550AA715A}">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32" authorId="0" shapeId="0" xr:uid="{3868DDD3-7065-46FA-B9F8-30D0707EF3BC}">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17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27" authorId="0" shapeId="0" xr:uid="{00000000-0006-0000-17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34" authorId="0" shapeId="0" xr:uid="{00000000-0006-0000-17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41" authorId="0" shapeId="0" xr:uid="{00000000-0006-0000-17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65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27" authorId="0" shapeId="0" xr:uid="{00000000-0006-0000-65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34" authorId="0" shapeId="0" xr:uid="{00000000-0006-0000-65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40" authorId="0" shapeId="0" xr:uid="{00000000-0006-0000-65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64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4" authorId="0" shapeId="0" xr:uid="{00000000-0006-0000-64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1" authorId="0" shapeId="0" xr:uid="{00000000-0006-0000-64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7" authorId="0" shapeId="0" xr:uid="{00000000-0006-0000-64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14" authorId="0" shapeId="0" xr:uid="{00000000-0006-0000-6800-000001000000}">
      <text>
        <r>
          <rPr>
            <b/>
            <sz val="9"/>
            <color indexed="81"/>
            <rFont val="Tahoma"/>
            <family val="2"/>
          </rPr>
          <t>andrew paez:</t>
        </r>
        <r>
          <rPr>
            <sz val="9"/>
            <color indexed="81"/>
            <rFont val="Tahoma"/>
            <family val="2"/>
          </rPr>
          <t xml:space="preserve">
Incluye aumento porcentual de 10% por variación en salarios, este valor es igual al determinado en la pestaña de mano de obra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18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3" authorId="0" shapeId="0" xr:uid="{00000000-0006-0000-18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0" authorId="0" shapeId="0" xr:uid="{00000000-0006-0000-18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7" authorId="0" shapeId="0" xr:uid="{00000000-0006-0000-18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2B3EF367-1EB8-4512-AE13-5152D17A50CF}">
      <text>
        <r>
          <rPr>
            <b/>
            <sz val="9"/>
            <color indexed="81"/>
            <rFont val="Tahoma"/>
            <family val="2"/>
          </rPr>
          <t>andrew paez:</t>
        </r>
        <r>
          <rPr>
            <sz val="9"/>
            <color indexed="81"/>
            <rFont val="Tahoma"/>
            <family val="2"/>
          </rPr>
          <t xml:space="preserve">
Ingrese el código del material para cargar los datos de la pestaña de Materiales</t>
        </r>
      </text>
    </comment>
    <comment ref="A14" authorId="0" shapeId="0" xr:uid="{0D9AAC3E-AA2E-41AD-A216-925A39A0D5DC}">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21" authorId="0" shapeId="0" xr:uid="{B3882A95-8F09-4C9F-8789-B9A03A4C7CB4}">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8" authorId="0" shapeId="0" xr:uid="{D40D1F4A-05C9-44BD-82D9-888F42486237}">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andrew paez</author>
  </authors>
  <commentList>
    <comment ref="A7" authorId="0" shapeId="0" xr:uid="{00000000-0006-0000-1A00-000001000000}">
      <text>
        <r>
          <rPr>
            <b/>
            <sz val="9"/>
            <color indexed="81"/>
            <rFont val="Tahoma"/>
            <family val="2"/>
          </rPr>
          <t>andrew paez:</t>
        </r>
        <r>
          <rPr>
            <sz val="9"/>
            <color indexed="81"/>
            <rFont val="Tahoma"/>
            <family val="2"/>
          </rPr>
          <t xml:space="preserve">
Ingrese el código del material para cargar los datos de la pestaña de Materiales</t>
        </r>
      </text>
    </comment>
    <comment ref="A12" authorId="0" shapeId="0" xr:uid="{00000000-0006-0000-1A00-000002000000}">
      <text>
        <r>
          <rPr>
            <b/>
            <sz val="9"/>
            <color indexed="81"/>
            <rFont val="Tahoma"/>
            <family val="2"/>
          </rPr>
          <t>andrew paez:</t>
        </r>
        <r>
          <rPr>
            <sz val="9"/>
            <color indexed="81"/>
            <rFont val="Tahoma"/>
            <family val="2"/>
          </rPr>
          <t xml:space="preserve">
Ingrese el código del EQUIPO &amp; HERRAMIENTA para cargar los datos de la pestaña de EQUIPO Y HERRAMIENTA</t>
        </r>
      </text>
    </comment>
    <comment ref="A19" authorId="0" shapeId="0" xr:uid="{00000000-0006-0000-1A00-000003000000}">
      <text>
        <r>
          <rPr>
            <b/>
            <sz val="9"/>
            <color indexed="81"/>
            <rFont val="Tahoma"/>
            <family val="2"/>
          </rPr>
          <t>andrew paez:</t>
        </r>
        <r>
          <rPr>
            <sz val="9"/>
            <color indexed="81"/>
            <rFont val="Tahoma"/>
            <family val="2"/>
          </rPr>
          <t xml:space="preserve">
Ingrese el código del Transporte para cargar los datos de la pestaña de Transporte</t>
        </r>
      </text>
    </comment>
    <comment ref="A26" authorId="0" shapeId="0" xr:uid="{00000000-0006-0000-1A00-000004000000}">
      <text>
        <r>
          <rPr>
            <b/>
            <sz val="9"/>
            <color indexed="81"/>
            <rFont val="Tahoma"/>
            <family val="2"/>
          </rPr>
          <t>andrew paez:</t>
        </r>
        <r>
          <rPr>
            <sz val="9"/>
            <color indexed="81"/>
            <rFont val="Tahoma"/>
            <family val="2"/>
          </rPr>
          <t xml:space="preserve">
Ingrese el código del Mano de obra para cargar los datos de la pestaña de Mano de obra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<sst xmlns="http://schemas.openxmlformats.org/spreadsheetml/2006/main" count="6070" uniqueCount="1912">
  <si>
    <t>Estudio Mercado Equipo y Herramienta</t>
  </si>
  <si>
    <t>Descripción</t>
  </si>
  <si>
    <t>Cotizaciones</t>
  </si>
  <si>
    <t>Tarifa / hora  Octubre / 2023</t>
  </si>
  <si>
    <t>Tarifa / hora  marzo / 2024</t>
  </si>
  <si>
    <t>Fuente</t>
  </si>
  <si>
    <t>Fecha</t>
  </si>
  <si>
    <t xml:space="preserve">Mezcladora de concreto tipo trompo						</t>
  </si>
  <si>
    <t>https://www.centralquipos.com/producto/concretadoras/</t>
  </si>
  <si>
    <t>Construdata 203</t>
  </si>
  <si>
    <t>IPP</t>
  </si>
  <si>
    <t>ANÁLISIS DE PRECIOS UNITARIOS DE REFERENCIA REGIONALIZADOS INVIAS 2022-2 (LA GUAJIRA, ZONA NORTE) Insumo #84</t>
  </si>
  <si>
    <t>Vibrador de concreto, potencia aproximada de 3 hp, mangueras de 4 a 6 metros</t>
  </si>
  <si>
    <t>https://www.centralquipos.com/producto/vibrador-electrico/</t>
  </si>
  <si>
    <t>ANÁLISIS DE PRECIOS UNITARIOS DE REFERENCIA REGIONALIZADOS INVIAS 2022-2 (LA GUAJIRA, ZONA NORTE) Insumo #127</t>
  </si>
  <si>
    <t>Cizalla manual de 90 cm</t>
  </si>
  <si>
    <t>ANÁLISIS DE PRECIOS UNITARIOS DE REFERENCIA REGIONALIZADOS INVIAS 2022-2 (LA GUAJIRA, ZONA NORTE) Insumo #27</t>
  </si>
  <si>
    <t>Homecenter - Uribia (Cizalla)</t>
  </si>
  <si>
    <t>Taladro</t>
  </si>
  <si>
    <t>https://belltec.com.co/taladros-percutores/21355-taladro-percutor-16mm-58-vvr-760w-makita-hp1640.html</t>
  </si>
  <si>
    <t>ANÁLISIS DE PRECIOS UNITARIOS DE REFERENCIA REGIONALIZADOS INVIAS 2022-2 (LA GUAJIRA, ZONA NORTE) Insumo #121</t>
  </si>
  <si>
    <t>https://ferricentro.com/producto/taladro-percutor-electrico-5-8-780w-v-v-r/</t>
  </si>
  <si>
    <t>Equipo de oxicorte y soldadura, capacidad de corte 6"-14", incluye soldadura</t>
  </si>
  <si>
    <t>Homecenter - Uribia (Equipo de oxicorte)</t>
  </si>
  <si>
    <t>ANÁLISIS DE PRECIOS UNITARIOS DE REFERENCIA REGIONALIZADOS INVIAS 2022-2 (LA GUAJIRA, ZONA NORTE) Insumo #50</t>
  </si>
  <si>
    <t>https://www.centralquipos.com/producto/equipo-oxicorte-autogena/</t>
  </si>
  <si>
    <t>Equipo de soldadura 600 AMP</t>
  </si>
  <si>
    <t>ANÁLISIS DE PRECIOS UNITARIOS DE REFERENCIA REGIONALIZADOS INVIAS 2022-2 (LA GUAJIRA, ZONA NORTE) Insumo #57</t>
  </si>
  <si>
    <t>Diferencial de 3 toneladas</t>
  </si>
  <si>
    <t xml:space="preserve">Homecenter - Uribia </t>
  </si>
  <si>
    <t>ANÁLISIS DE PRECIOS UNITARIOS DE REFERENCIA REGIONALIZADOS INVIAS 2022-2 (LA GUAJIRA, ZONA NORTE) Insumo #45</t>
  </si>
  <si>
    <t>Compactador manual (saltarín) peso de operación (kg.) 52, fuerza de impacto por golpe (KN) 12</t>
  </si>
  <si>
    <t>ANÁLISIS DE PRECIOS UNITARIOS DE REFERENCIA REGIONALIZADOS INVIAS 2022-2 (LA GUAJIRA, ZONA NORTE) Insumo #31</t>
  </si>
  <si>
    <t>https://www.centralquipos.com/producto/apisonador-canguro/</t>
  </si>
  <si>
    <t>Retroexcavadora mini con balde de 30 o 60 cm, incluye operario y combustible</t>
  </si>
  <si>
    <t>https://www.centralquipos.com/producto/mini-retroexcavadora/</t>
  </si>
  <si>
    <t>ANÁLISIS DE PRECIOS UNITARIOS DE REFERENCIA REGIONALIZADOS INVIAS 2022-2 (LA GUAJIRA, ZONA NORTE) Insumo #116</t>
  </si>
  <si>
    <t>Estudio Materiales</t>
  </si>
  <si>
    <t>Tarifa  marzo / 2024</t>
  </si>
  <si>
    <t xml:space="preserve">Formaleta de madera para concreto				</t>
  </si>
  <si>
    <t>ANÁLISIS DE PRECIOS UNITARIOS DE REFERENCIA REGIONALIZADOS INVIAS 2022-2 (LA GUAJIRA, ZONA NORTE) Material #155</t>
  </si>
  <si>
    <t>Agua</t>
  </si>
  <si>
    <t>ANÁLISIS DE PRECIOS UNITARIOS DE REFERENCIA REGIONALIZADOS INVIAS 2022-2 (LA GUAJIRA, ZONA NORTE) Material #39</t>
  </si>
  <si>
    <t>Agregado grueso (grava, grava triturada y/o roca triturada)</t>
  </si>
  <si>
    <t>ANÁLISIS DE PRECIOS UNITARIOS DE REFERENCIA REGIONALIZADOS INVIAS 2022-2 (LA GUAJIRA, ZONA NORTE) Material #21</t>
  </si>
  <si>
    <t>Agregado fino para concreto (tamaño máximo 4,75mm - arena natural o trituración de roca, gravas, y/o escorias)</t>
  </si>
  <si>
    <t>ANÁLISIS DE PRECIOS UNITARIOS DE REFERENCIA REGIONALIZADOS INVIAS 2022-2 (LA GUAJIRA, ZONA NORTE) Material #17</t>
  </si>
  <si>
    <t>Cemento hidráulico NTC 121 tipo UG</t>
  </si>
  <si>
    <t>Homecenter - Uribia (Argos)</t>
  </si>
  <si>
    <t>Homecenter - Uribia (Alion)</t>
  </si>
  <si>
    <t>Homecenter - Uribia (San Marcos)</t>
  </si>
  <si>
    <t>Acero de refuerzo PDR-60, Fy: 4200 kg/cm2</t>
  </si>
  <si>
    <t>Homecenter - Uribia (1/2")</t>
  </si>
  <si>
    <t>ANÁLISIS DE PRECIOS UNITARIOS DE REFERENCIA REGIONALIZADOS INVIAS 2022-2 (LA GUAJIRA, ZONA NORTE) Material #5</t>
  </si>
  <si>
    <t>Alambre negro para amarre calibre 18</t>
  </si>
  <si>
    <t>Homecenter - Uribia (Alambre negro chipa)</t>
  </si>
  <si>
    <t>ANÁLISIS DE PRECIOS UNITARIOS DE REFERENCIA REGIONALIZADOS INVIAS 2022-2 (LA GUAJIRA, ZONA NORTE) Material #45</t>
  </si>
  <si>
    <t>Disco de corte acero</t>
  </si>
  <si>
    <t>https://maquitecdecolombia.com/compra-de/consumibles/discos-abrasivos/corte-metal-14-discos-abrasivos/disco-abrasivo-14-corte-metal/</t>
  </si>
  <si>
    <t>Homecenter - Uribia (Disco de corte DeWalt)</t>
  </si>
  <si>
    <t>Homecenter - Uribia (Disco de corte Ubermann)</t>
  </si>
  <si>
    <t>Brocas 1/2"</t>
  </si>
  <si>
    <t>Homecenter - Uribia (Brocas 1/2")</t>
  </si>
  <si>
    <t>Ferricentro - Uribia (Brocas 1/2")</t>
  </si>
  <si>
    <t>Beltec- Uribia (Brocas 1/2")</t>
  </si>
  <si>
    <t>Brocas 5/8"</t>
  </si>
  <si>
    <t>Homecenter - Uribia (Brocas 5/8")</t>
  </si>
  <si>
    <t>https://maquitecdecolombia.com/compra-de/consumibles/broca/sds-plus-broca/broca-sds-plus-5-bosch-5-8-x-6/</t>
  </si>
  <si>
    <t>https://tiendamakita.com/brocas-y-acc-para-rotomartillos-sds-plus/2797-broca-sds-plus-makita-58-x-12-pulg-d01018.html</t>
  </si>
  <si>
    <t>Soldadura 7018</t>
  </si>
  <si>
    <t>Homecenter - Uribia (Soldadura 7018)</t>
  </si>
  <si>
    <t>Doblon (Soldadura 7018)</t>
  </si>
  <si>
    <t>Perno en u galvanizado  5/16X1-3/4X3"</t>
  </si>
  <si>
    <t>Homecenter - Uribia</t>
  </si>
  <si>
    <t>https://shopee.com.co/product/682720449/14854455124?gclid=CjwKCAjw67ajBhAVEiwA2g_jED39wh8bzhS5ZYDvtHFHSTysajHbvU2gBGWOERn0Up212tj233GjGBoCsDwQAvD_BwE</t>
  </si>
  <si>
    <t>Varilla roscada 5/8"</t>
  </si>
  <si>
    <t>Easy</t>
  </si>
  <si>
    <t>Epóxico para anclaje</t>
  </si>
  <si>
    <t>https://mitiendacoval.com/epoxicos/sika-anchorfix-2-x-300-ml-sika?mitiendacoval.com=&amp;gclid=CjwKCAjw67ajBhAVEiwA2g_jEN1NLa3VuDne_Ih094KvrDWHKtt3_cF7sB6vymWpFDn35NowSgZuzRoCVe0QAvD_BwE</t>
  </si>
  <si>
    <t>Geotextil tejido con resistencia a la tensión Grab mínima de 1100 N</t>
  </si>
  <si>
    <t>https://www.tiendascalypso.com/geotextil-tejido-2400/p?idsku=2850&amp;utm_term=&amp;utm_campaign=shopping-campana-inteligente&amp;utm_source=adwords&amp;utm_medium=ppc</t>
  </si>
  <si>
    <t>https://www.tiendascalypso.com/geotextil-tejido-2100/p?idsku=622&amp;utm_term=&amp;utm_campaign=shopping-campana-inteligente&amp;utm_source=adwords&amp;utm_medium=ppc</t>
  </si>
  <si>
    <t>Arena de peña y/o natural lavada, tamizada con  90% tamaños &lt; 6mm</t>
  </si>
  <si>
    <t>Malla eslabonada plastificada H=2m Cal. 10 (min)</t>
  </si>
  <si>
    <t>ANÁLISIS DE PRECIOS UNITARIOS DE REFERENCIA REGIONALIZADOS INVIAS 2022-2 (LA GUAJIRA, ZONA NORTE) Material #200</t>
  </si>
  <si>
    <t>https://mallasjuliotorres.com/producto/malla-eslabonada-pvc-azul-por-rollos/</t>
  </si>
  <si>
    <t>Alambre galvanizado No. 10</t>
  </si>
  <si>
    <t>Construdata Ed 210. Marzo-Mayo 2024</t>
  </si>
  <si>
    <t>Tubería cuadrada ASTM A-500 Gr. C</t>
  </si>
  <si>
    <t>https://gyj.com.co/bogota_65/tuberia-estructural-cuadrada-bogota-65-tuberia.html</t>
  </si>
  <si>
    <t>https://tienda.fajobe.com.co/producto/tubo-estructural-cuadrado-150x150-mm-x-4-0-mm-x-6m/</t>
  </si>
  <si>
    <t xml:space="preserve">Tubería rectangular NTC 4526 Gr.C de 150x50x3 mm </t>
  </si>
  <si>
    <t>https://gyj.com.co/bogota_65/tuberia-estructural-rectangular-bogota-65.html</t>
  </si>
  <si>
    <t>https://tienda.fajobe.com.co/producto/tubo-estructural-rectangular-150x50-mm-x-3-mm-x-6-m/</t>
  </si>
  <si>
    <t>https://www.homecenter.com.co/homecenter-co/product/274747/tubo-rectangular-150-x-50mm-3mm-cal11-x-6m/274747?id=274747&amp;name=tubo-rectangular-150-x-50mm-3mm-cal11-x-6m&amp;defaultVariant=274747&amp;currentpage=1</t>
  </si>
  <si>
    <t>Rieles y accesorios de fijación para paneles solares en Aluminio 6005 T6 fabricada bajo la norma ANSI 35.2 con Certificaciones UL2703 y ASTM B221, incluye Tornillería en Acero Inoxidable Serie 300 (Tornillo Expansivo 3/8"x2")</t>
  </si>
  <si>
    <t>https://www.improinde.com/product-page/riel-para-montaje-de-paneles-solares</t>
  </si>
  <si>
    <t>https://nexosolar.co/producto/estructura-panel-solar-riel-aluminio-42-metros/</t>
  </si>
  <si>
    <t>https://solarpeople.co/shop/product/ck-ft-7r4700-riel-para-montaje-de-paneles-7r-4700mm-49192?category=88#attr=</t>
  </si>
  <si>
    <t xml:space="preserve">Lámina HR ASTM A36 CAL 6mm para conexión cercha-tubería </t>
  </si>
  <si>
    <t>https://tienda.fajobe.com.co/producto/lamina-hr-a36-6-0-mm-4x8/</t>
  </si>
  <si>
    <t>https://gyj.com.co/bogota_65/lamina-hot-rolled-bogota-65-acero-industrial.html</t>
  </si>
  <si>
    <t>https://tectul.com/es/productos/lamina-hr-a36/attached/f20955e9-5438-4c59-886f-178034ca80a6</t>
  </si>
  <si>
    <t>Barra redonda lisa φ1/2"  NTC 2289</t>
  </si>
  <si>
    <t>https://www.homecenter.com.co/homecenter-co/product/93328/barra-redonda-lisa-6m-x-1-2-pulg/93328/</t>
  </si>
  <si>
    <t>https://ferreteriaroma.com/product/varilla-redonda-lisa-7mm/</t>
  </si>
  <si>
    <t>https://gyj.com.co/medellin/barra-lisa-bello-trefilados.html</t>
  </si>
  <si>
    <t>Lámina HR ASTM A36 CAL 12mm para placa base</t>
  </si>
  <si>
    <t>https://tienda.fajobe.com.co/producto/lamina-hr-a36-12-mm-4x8/</t>
  </si>
  <si>
    <t xml:space="preserve">Panel de aislamiento térmico tipo sándwich e=40 mm, con caras en acero galvanizado </t>
  </si>
  <si>
    <t>https://panelconstructor.com.co/producto/muro-panel/?attribute_color=Blanco+%2F+Blanco&amp;attribute_espesor=40+mm&amp;attribute_calibre=28+%2F+28#</t>
  </si>
  <si>
    <t>https://www.kingspancolombia.com/producto/kingfrigo-panel-tipo-sandwich-para-cuartos-frios/?attribute_pa_color=9002&amp;attribute_pa_espesor=40&amp;attribute_longitud-m=3&amp;v=70d02cc65b9a</t>
  </si>
  <si>
    <t>https://estrutechos.com/producto/panel-sandwich-pp/</t>
  </si>
  <si>
    <t>Lámina ASTM A572  Gr.50 CAL 4.5 mm para columnas de envolvente y sus conexiones</t>
  </si>
  <si>
    <t>https://tienda.fajobe.com.co/producto/lamina-hr-a36-4-5-mm-4x8/</t>
  </si>
  <si>
    <t>https://panelconstructor.com.co/producto/lamina-hr/</t>
  </si>
  <si>
    <t xml:space="preserve">Rejilla de ventilación rectangular </t>
  </si>
  <si>
    <t>https://www.ikea.com/co/es/p/metod-rejilla-ventilacion-acero-inoxidable-70256177/</t>
  </si>
  <si>
    <t>https://articulo.mercadolibre.com.co/MCO-594709258-zinc-w-x-h-cubierta-de-ventilacion-de-acero-galvaniza-_JM?matt_tool=19390127&amp;utm_source=google_shopping&amp;utm_medium=organic</t>
  </si>
  <si>
    <t>https://articulo.mercadolibre.com.co/MCO-1742347834-ventilacion-con-persianas-de-aleacion-de-aluminio-80x250mm-_JM#position=5&amp;search_layout=stack&amp;type=item&amp;tracking_id=6dd6d158-8096-4756-8212-dd9f63b35693</t>
  </si>
  <si>
    <t>Ángulo ASTM A572 Gr.50 de 2"x2"x1/8" para conexión riel-tubería</t>
  </si>
  <si>
    <t>https://www.homecenter.com.co/homecenter-co/product/89828/angulo-6m-x-2-x-1-8-pulg/89828/</t>
  </si>
  <si>
    <t>https://tienda.fajobe.com.co/producto/angulo-2x1-8-a57250/</t>
  </si>
  <si>
    <t>https://elpalustre.com.co/index.php?route=product/product&amp;product_id=789</t>
  </si>
  <si>
    <t>Tornillo φ3/8" x 2 1/2" Gr.5 con tuerca para conexión riel-tubería</t>
  </si>
  <si>
    <t>https://homecenter.falabella.com.co/homecenter-co/product/118865057/Tornillo-Hexagonal-3-8X2-1-2-Y-Tuerca/118865058</t>
  </si>
  <si>
    <t>https://www.ebay.com/itm/233950655824?chn=ps&amp;mkevt=1&amp;mkcid=28&amp;var=533596367139</t>
  </si>
  <si>
    <t>https://www.tornillosytuercas.co/collections/tornillos/products/tornillo-en-acero-inoxidable-rosca-ordinaria?variant=40286275043386</t>
  </si>
  <si>
    <t>Lámina alfajor ASTM A36 CAL 12 para piso envolvente</t>
  </si>
  <si>
    <t>https://tienda.fajobe.com.co/producto/lamina-alfajor-2-5-mm-1x3mt/#</t>
  </si>
  <si>
    <t>https://gyj.com.co/bogota_65/lamina-alfajor-bogota-65-acero-industrial.html</t>
  </si>
  <si>
    <t>https://panelconstructor.com.co/producto/lamina-alfajor/</t>
  </si>
  <si>
    <t>Tubería rectangular NTC 4526 Gr.C de 80x40x3 mm, refuerzo para piso envolvente</t>
  </si>
  <si>
    <t>https://gyj.com.co/yumbo/tuberia-estructural-rectangular-yumbo-tuberia.html?utm_sku=1921</t>
  </si>
  <si>
    <t>https://www.homecenter.com.co/homecenter-co/product/13302/tubo-rectangular-80-x-40-x-25mm-x-6m-estructural-hr50/13302/</t>
  </si>
  <si>
    <t>https://lagranferreteria.com/tuberia-estructural/561-tuberia-estructural-rectangular-cal-14-80-x-40.html</t>
  </si>
  <si>
    <t>Perfil en C ASTM A572 Gr.50 de 150x50x3 mm, para accesorios de apoyo y conexión lámina alfajor a piso</t>
  </si>
  <si>
    <t>https://gyj.com.co/bogota_65/perfil-tipo-c-bogota-65-tuberia.html</t>
  </si>
  <si>
    <t>https://gyj.com.co/oicata/perfil-tipo-c-negro-tunja-tuberia.html</t>
  </si>
  <si>
    <t>Ángulo ASTM A572 Gr.50 de 1"x1"x1/8" para conexión techo</t>
  </si>
  <si>
    <t>https://www.homecenter.com.co/homecenter-co/product/103061/angulo-6m-x-1-x-1-8-pulg/103061/</t>
  </si>
  <si>
    <t>https://www.metropoliscenter.com.co/p/angulo-hierro-1-x-1~8-leg/</t>
  </si>
  <si>
    <t>https://www.ferreteriasamir.com/tubos-y-perfiles-metalicos-/5369-angulo-hierro-1-x-18-x-6-mts.html</t>
  </si>
  <si>
    <t>Tornillo φ1/2" x 1 1/2" Gr.5 con tuerca para conexión columna- panel</t>
  </si>
  <si>
    <t>https://www.homecenter.com.co/homecenter-co/product/136253/tornillo-hexagonal-1-2x1-1-2-y-tuerca/136253/</t>
  </si>
  <si>
    <t>https://interelectricas.com.co/herrajes-electricos/2722-perno-maquina-de-1-2-x-1-1-2.html</t>
  </si>
  <si>
    <t>https://www.tornillosytuercas.co/products/tornillo-astm-a325-galvanizado-en-caliente?variant=40203412504634</t>
  </si>
  <si>
    <t xml:space="preserve">Tornillo φ1/2" x 2 1/2" Gr.5 con tuerca para conexión piso-columna y techo-columna </t>
  </si>
  <si>
    <t>https://www.homecenter.com.co/homecenter-co/product/136255/tornillo-hexagonal-1-2x2-1-2-y-tuerca/136255/</t>
  </si>
  <si>
    <t>https://www.tornillosytuercas.co/products/tornillo-astm-a325-galvanizado-en-caliente?variant=40072633024570</t>
  </si>
  <si>
    <t>https://interelectricas.com.co/herrajes-electricos/56-perno-carriaje-de-1-2-x-2-1-2.html</t>
  </si>
  <si>
    <t>Barra antipánico tipo push con manija para puerta</t>
  </si>
  <si>
    <t>https://tiendadelarquitecto.com/producto/combo-barra-antipanico-push-y-manija/?utm_term=&amp;utm_campaign=shopping+-+Barras+Antip%C3%A1nico&amp;utm_source=adwords&amp;utm_medium=ppc&amp;hsa_acc=6301869782&amp;hsa_cam=11287969127&amp;hsa_grp=117244108487&amp;hsa_ad=481451064676&amp;hsa_src=g&amp;hsa_tgt=pla-1964454338092&amp;hsa_kw=&amp;hsa_mt=&amp;hsa_net=adwords&amp;hsa_ver=3&amp;gad_source=1&amp;gclid=CjwKCAjwrIixBhBbEiwACEqDJTIqfmdbIrVEnBbSLHMc9J4BNAcnwOUoh7rEBqG2agENr1XB7_xXsRoCXBoQAvD_BwE</t>
  </si>
  <si>
    <t>https://tiendadelarquitecto.com/producto/antipanico-extra-largar-1330-mm/?utm_term=&amp;utm_campaign=shopping+-+Barras+Antip%C3%A1nico&amp;utm_source=adwords&amp;utm_medium=ppc&amp;hsa_acc=6301869782&amp;hsa_cam=11287969127&amp;hsa_grp=117244108487&amp;hsa_ad=481451064676&amp;hsa_src=g&amp;hsa_tgt=pla-1964454337572&amp;hsa_kw=&amp;hsa_mt=&amp;hsa_net=adwords&amp;hsa_ver=3&amp;gad_source=1&amp;gclid=CjwKCAjwrIixBhBbEiwACEqDJRu3lDEMHMphBntwMrDwOUd5VY06mvoS1w4EBj1li9Ala1tUW7xixBoCM7IQAvD_BwE</t>
  </si>
  <si>
    <t>Bisagra lateral tipo trailer para puerta</t>
  </si>
  <si>
    <t>https://articulo.mercadolibre.com.co/MCO-1349323369-bisagra-trasera-de-puerta-de-rv-de-camion-de-remolque-de-_JM</t>
  </si>
  <si>
    <t>https://articulo.mercadolibre.com.co/MCO-964267380-bisagra-porton-o-puerta-pesada-de-5-cm-x-74-cm-por-par-_JM?matt_tool=19390127&amp;utm_source=google_shopping&amp;utm_medium=organic</t>
  </si>
  <si>
    <t>https://www.homecenter.com.co/homecenter-co/product/301882/bisagra-resorte-acero-inoxidable-4pulg-3x3pulg/301882/?kid=goosho_1161562&amp;shop=googleShopping&amp;gad_source=4&amp;gclid=CjwKCAjwrIixBhBbEiwACEqDJXgkvhK0pP32dzpGKpbDzMCLNpKupro6HBYKG_2VrNfvLKzQQrfkYhoCoMUQAvD_BwE</t>
  </si>
  <si>
    <t>Pintura anticorrosiva</t>
  </si>
  <si>
    <t>https://www.homecenter.com.co/homecenter-co/product/502581/pintura-anticorrosivo-negro-1-galon/502581/</t>
  </si>
  <si>
    <t>ANÁLISIS DE PRECIOS UNITARIOS DE REFERENCIA REGIONALIZADOS INVIAS 2023-2 (LA GUAJIRA, ZONA NORTE) Insumo #289</t>
  </si>
  <si>
    <t>Tubo cerramiento galvanizado φ1  1/2" x1.5 mm</t>
  </si>
  <si>
    <t>https://gyj.com.co/bogota_65/tuberia-cerramiento-negro-bogota-65-tuberia.html</t>
  </si>
  <si>
    <t>Tubo cerramiento galvanizado φ2" x2.5 mm</t>
  </si>
  <si>
    <t>https://www.homecenter.com.co/homecenter-co/product/86539/tubo-cerramiento-negro-2pg-x-25mm-x-6m/86539/</t>
  </si>
  <si>
    <t>Tubo cerramiento galvanizado φ2  1/2" x2.5 mm</t>
  </si>
  <si>
    <t>https://www.homecenter.com.co/homecenter-co/product/86534/tubo-cerramiento-galvanizado-2pg-x-250mm-x-6m/86534/</t>
  </si>
  <si>
    <t>Tubo cerramiento galvanizado φ3" x3 mm</t>
  </si>
  <si>
    <t>https://arcoe.co/es/productos/tuberia-cerramiento-galvanizado-3?spcode=arcoe-villavicencio</t>
  </si>
  <si>
    <t>Alambre de puas galvanizado CAL 14</t>
  </si>
  <si>
    <t>ANÁLISIS DE PRECIOS UNITARIOS DE REFERENCIA REGIONALIZADOS INVIAS 2023-2 (LA GUAJIRA, ZONA NORTE) Insumo #40</t>
  </si>
  <si>
    <t>https://www.homecenter.com.co/homecenter-co/product/214205/alambre-de-pua-calibre-14-x-500mt-38kg-iowa/214205/</t>
  </si>
  <si>
    <t>Malla eslabonada plastificada H= 2 m CAL 10</t>
  </si>
  <si>
    <t xml:space="preserve">Ángulo ASTM A36 de 1 1/2"x1 1/2"x 3/16" </t>
  </si>
  <si>
    <t>https://www.homecenter.com.co/homecenter-co/product/89827/angulo-6m-x-1-1-2-x-3-16-pulg/89827/</t>
  </si>
  <si>
    <t>https://elpalustre.com.co/index.php?route=product/product&amp;product_id=784</t>
  </si>
  <si>
    <t>Platina metálica pisamalla 3/8"x1/8"</t>
  </si>
  <si>
    <t>https://elpalustre.com.co/index.php?route=product/product&amp;path=17_139&amp;product_id=782</t>
  </si>
  <si>
    <t>https://www.ferreteriabervar.com/products/platina-3-4-x-1-8</t>
  </si>
  <si>
    <t>Perfil de muro machimbre en WPC (20 cm de alto x 5  cm de espesor x 3 m de largo)textura lisa</t>
  </si>
  <si>
    <t>https://www.woodpecker.com.co/productos/muros</t>
  </si>
  <si>
    <t>Perfil "U" en PVC rígido (guía de ensamble)</t>
  </si>
  <si>
    <t>Recebo B-200</t>
  </si>
  <si>
    <t>Estudio Mercado Equipo y Herramienta (+10% margen)</t>
  </si>
  <si>
    <t>Código</t>
  </si>
  <si>
    <t>Unidad</t>
  </si>
  <si>
    <t>Tarifa / día</t>
  </si>
  <si>
    <t>Herramienta menor</t>
  </si>
  <si>
    <t>UN</t>
  </si>
  <si>
    <t>Propia</t>
  </si>
  <si>
    <t>GPS</t>
  </si>
  <si>
    <t xml:space="preserve">http://cachicamoweb.com/producto/alquiler-de-gps-garmin/ </t>
  </si>
  <si>
    <t>Molde para soldadura</t>
  </si>
  <si>
    <t>https://interelectricas.com.co/175-moldes-para-soldadura</t>
  </si>
  <si>
    <t>Camara y comunicaciones</t>
  </si>
  <si>
    <t>HORA</t>
  </si>
  <si>
    <t>Herramienta para hoyar</t>
  </si>
  <si>
    <t>Herramienta para terminado</t>
  </si>
  <si>
    <t>De corte</t>
  </si>
  <si>
    <t>Un</t>
  </si>
  <si>
    <t>Estudio de Transporte</t>
  </si>
  <si>
    <t>Tipo de Transporte</t>
  </si>
  <si>
    <t>Origen</t>
  </si>
  <si>
    <t>Destino</t>
  </si>
  <si>
    <t>Valor / Trayecto*Persona</t>
  </si>
  <si>
    <t>Valor / Mes</t>
  </si>
  <si>
    <t>Valor / Kg</t>
  </si>
  <si>
    <t>Bogotá</t>
  </si>
  <si>
    <t>Teorama</t>
  </si>
  <si>
    <t>Estudio de transporte</t>
  </si>
  <si>
    <t>Comunidades</t>
  </si>
  <si>
    <t>Alquiler camioneta con conductor, valor mensual</t>
  </si>
  <si>
    <t>Alquiler motocicleta con conductor, valor mensual</t>
  </si>
  <si>
    <t>Alquiler lancha con conductor, valor mensual</t>
  </si>
  <si>
    <t>Cantera Petrea</t>
  </si>
  <si>
    <t>Volqueta 6m³ (cargue manual)botadero hasta 20km</t>
  </si>
  <si>
    <t>Obra</t>
  </si>
  <si>
    <t>Botadero</t>
  </si>
  <si>
    <t>CARGA</t>
  </si>
  <si>
    <t>PASAJEROS</t>
  </si>
  <si>
    <t>Pl-Pa</t>
  </si>
  <si>
    <t>Buenaventura-Arauca</t>
  </si>
  <si>
    <t>Bogotá-Arauca</t>
  </si>
  <si>
    <t>Pa-veredas</t>
  </si>
  <si>
    <t>Arauca-Cravo norte</t>
  </si>
  <si>
    <t>Arauca-Cravo Norte</t>
  </si>
  <si>
    <t>10 ton</t>
  </si>
  <si>
    <t>Vehiculo</t>
  </si>
  <si>
    <t>Empresa 1</t>
  </si>
  <si>
    <t>Empresa 2</t>
  </si>
  <si>
    <t>Empresa 3</t>
  </si>
  <si>
    <t>Promedio</t>
  </si>
  <si>
    <t>unitario</t>
  </si>
  <si>
    <t>Terreste-via nacional</t>
  </si>
  <si>
    <t>COP/kg</t>
  </si>
  <si>
    <t>Pa-vereda</t>
  </si>
  <si>
    <t>Vereda</t>
  </si>
  <si>
    <t>Tipo vehiculo</t>
  </si>
  <si>
    <t>Cotización</t>
  </si>
  <si>
    <t>Capacidad</t>
  </si>
  <si>
    <t>Costo unitario (COP/kg)</t>
  </si>
  <si>
    <t>Vereda 1</t>
  </si>
  <si>
    <t>Mula</t>
  </si>
  <si>
    <t>Vereda 2</t>
  </si>
  <si>
    <t>Camioneta</t>
  </si>
  <si>
    <t>Vereda 3</t>
  </si>
  <si>
    <t>Lancha</t>
  </si>
  <si>
    <t>Vereda 4</t>
  </si>
  <si>
    <t>ESTIMACIÓN DE PRECIOS TRANSPORTE VEREDAS MUNICIPIO DE CRAVO NORTE</t>
  </si>
  <si>
    <t>Persona que cotiza</t>
  </si>
  <si>
    <t>Cedula</t>
  </si>
  <si>
    <t>Firma</t>
  </si>
  <si>
    <t>200 kg</t>
  </si>
  <si>
    <t>Pepito Perez</t>
  </si>
  <si>
    <t>400 kg</t>
  </si>
  <si>
    <t>Pepita Perez</t>
  </si>
  <si>
    <t>YO, Pepito 2 Pere, estructurador del proyecto XXX, doy fe con mi firma que se levanto información sobre los precios de transporte de carga veredales …. Que son veridicos …</t>
  </si>
  <si>
    <t>TRANSPORTE CARGA</t>
  </si>
  <si>
    <t>VALOR</t>
  </si>
  <si>
    <t>UNIDAD</t>
  </si>
  <si>
    <t>SOLO IDA</t>
  </si>
  <si>
    <t>FACTOR PRESTACIONAL</t>
  </si>
  <si>
    <t>A  -  DESCANSOS REMUNERADOS</t>
  </si>
  <si>
    <t xml:space="preserve">        1.  VACACIONES</t>
  </si>
  <si>
    <t xml:space="preserve">        TOTAL DESCANSOS REMUNERADOS</t>
  </si>
  <si>
    <t xml:space="preserve">B  -  PRESTACIONES LEGALES </t>
  </si>
  <si>
    <t xml:space="preserve">        1.  CESANTIAS</t>
  </si>
  <si>
    <t xml:space="preserve">        2.  INTERESES CESANTIAS</t>
  </si>
  <si>
    <t xml:space="preserve">        3.  PRIMA DE SERVICIOS</t>
  </si>
  <si>
    <t xml:space="preserve">        TOTAL PRESTACIONES LEGALES</t>
  </si>
  <si>
    <t>C  -  APORTES PATRONALES</t>
  </si>
  <si>
    <t xml:space="preserve">        1.  SALUD</t>
  </si>
  <si>
    <t xml:space="preserve">        2.  PENSIÓN</t>
  </si>
  <si>
    <t xml:space="preserve">        3.  RIESGOS PROFESIONALES (NIVEL IV)</t>
  </si>
  <si>
    <t xml:space="preserve">        4.  CAJA DE COMPENSACIÓN</t>
  </si>
  <si>
    <t xml:space="preserve">        5.  PARAFISCALES (ICBF &amp; SENA)</t>
  </si>
  <si>
    <t>*5.00% cuando aplique</t>
  </si>
  <si>
    <t xml:space="preserve">        TOTAL APORTES PATRONALES</t>
  </si>
  <si>
    <t>D  -  OTROS COSTOS PRESTACIONALES</t>
  </si>
  <si>
    <t xml:space="preserve">        1.  DOTACION</t>
  </si>
  <si>
    <t xml:space="preserve">        2.  OTROS (SEGURO, AUXILIOS, INCAPACIDADES)</t>
  </si>
  <si>
    <t xml:space="preserve">        TOTAL OTROS COSTOS PRESTACIONALES</t>
  </si>
  <si>
    <t>E  -  FACTOR PRESTACIONAL</t>
  </si>
  <si>
    <t xml:space="preserve">        1.  JORNAL</t>
  </si>
  <si>
    <t xml:space="preserve">        2.  DESCANSOS REMUNERADOS</t>
  </si>
  <si>
    <t xml:space="preserve">        3.  PRESTACIONES LEGALES</t>
  </si>
  <si>
    <t xml:space="preserve">        4.  APORTES PATRONALES</t>
  </si>
  <si>
    <t xml:space="preserve">        5.  OTROS COSTOS PRESTACIONALES</t>
  </si>
  <si>
    <t xml:space="preserve">        FACTOR PRESTACIONAL</t>
  </si>
  <si>
    <t>POLIZAS CONTRATO OBRA</t>
  </si>
  <si>
    <t>TASAS 2022</t>
  </si>
  <si>
    <t>POLIZA</t>
  </si>
  <si>
    <t>TASA</t>
  </si>
  <si>
    <t>PORCENTAJE (FAZNI)</t>
  </si>
  <si>
    <t>IVA</t>
  </si>
  <si>
    <t>PLAZO</t>
  </si>
  <si>
    <t>TOTAL (SOBRE TOTAL CONTRATO)</t>
  </si>
  <si>
    <t>PÓLIZA DE CUMPLIMIENTO</t>
  </si>
  <si>
    <t>PÓLIZA DE CORRECTO MANEJO DEL ANTICIPO</t>
  </si>
  <si>
    <t>PÓLIZA DE SALARIOS Y PRESTACIONES SOCIALES</t>
  </si>
  <si>
    <t>PÓLIZA DE RESPONSABILIDAD CIVIL Y EXTRACONTRACTUAL</t>
  </si>
  <si>
    <t>PÓLIZA DE ESTABILIDAD</t>
  </si>
  <si>
    <t>POLIZAS CONTRATO INTERVENTORÍA</t>
  </si>
  <si>
    <t>ESTA HOJA DEFINE LOS RENDIMIENTOS DE LAS DIFERENTES ACTIVIDADES Y ESTÁ ESTRECHAMIENTE LIGADO A LOS APUS</t>
  </si>
  <si>
    <t>REPLANTEO</t>
  </si>
  <si>
    <t>Defina los rendimientos del replanteo</t>
  </si>
  <si>
    <t xml:space="preserve">Unidad </t>
  </si>
  <si>
    <t>Rendimiento</t>
  </si>
  <si>
    <t>Usuarios levantados por día en el replanteo por persona</t>
  </si>
  <si>
    <t>Usuarios/día*persona</t>
  </si>
  <si>
    <t>Usuarios levantados por viaje a las veredas por persona</t>
  </si>
  <si>
    <t>Usuarios/viaje*persona</t>
  </si>
  <si>
    <t>INSTALACIÓN DE LOS SISFV</t>
  </si>
  <si>
    <t>Tiempo (días)</t>
  </si>
  <si>
    <t>Juego de estructuras con soportes instaladas por día</t>
  </si>
  <si>
    <t>Unidades/día</t>
  </si>
  <si>
    <t>Juego de 6 metros de excavacion</t>
  </si>
  <si>
    <t>Juego de paneles solares instaladas por día</t>
  </si>
  <si>
    <t>Juego de acometidas subterraneas por día</t>
  </si>
  <si>
    <t>Gabinetes instalados por día</t>
  </si>
  <si>
    <t>Reguladores instalados por día</t>
  </si>
  <si>
    <t>Inversores instalados por día</t>
  </si>
  <si>
    <t>Baterías instaladas por día</t>
  </si>
  <si>
    <t>Medidores prepago instalados por día</t>
  </si>
  <si>
    <t>Puestas a tierra instaladas por día</t>
  </si>
  <si>
    <t>Instalaciones internas instaladas por día</t>
  </si>
  <si>
    <t>TIEMPO TOTAL DE INSTALACIÓN SISFV (1 CUADRILLA)</t>
  </si>
  <si>
    <t>INSTALACIÓN DE LAS MICROREDES</t>
  </si>
  <si>
    <t>NANO 1</t>
  </si>
  <si>
    <t>NANO 2</t>
  </si>
  <si>
    <t>NANO 3</t>
  </si>
  <si>
    <t>MICRO 1</t>
  </si>
  <si>
    <t>MICRO 2</t>
  </si>
  <si>
    <t>MICRO 3</t>
  </si>
  <si>
    <t>Cantidad</t>
  </si>
  <si>
    <t>Tiempo total</t>
  </si>
  <si>
    <t>Paneles solares</t>
  </si>
  <si>
    <t>Acometida solar</t>
  </si>
  <si>
    <t>Caja combinadora FV</t>
  </si>
  <si>
    <t>Controlador MPPT</t>
  </si>
  <si>
    <t>Tablero principal en DC</t>
  </si>
  <si>
    <t>Banco de baterías</t>
  </si>
  <si>
    <t>Inversor</t>
  </si>
  <si>
    <t>Tablero de inversores</t>
  </si>
  <si>
    <t>Autotransformador</t>
  </si>
  <si>
    <t>Tablero de distribución principal en AC</t>
  </si>
  <si>
    <t>Canalizaciones internas del envolvente</t>
  </si>
  <si>
    <t>Global/día</t>
  </si>
  <si>
    <t>Sistema de monitoreo y comunicaciones</t>
  </si>
  <si>
    <t>Equipos auxiliares y de emergencia</t>
  </si>
  <si>
    <t>SPT Microred</t>
  </si>
  <si>
    <t>Acometida domiciliaria</t>
  </si>
  <si>
    <t>SPT Domiciliario</t>
  </si>
  <si>
    <t>Sistema de medición domiciliario</t>
  </si>
  <si>
    <t>Red de distribución</t>
  </si>
  <si>
    <t>m/dia</t>
  </si>
  <si>
    <t>Estación meteorologica</t>
  </si>
  <si>
    <t>Transmisión telemetria</t>
  </si>
  <si>
    <t>Servidores</t>
  </si>
  <si>
    <t>Excavacion manual</t>
  </si>
  <si>
    <t>m3/dia</t>
  </si>
  <si>
    <t>Relleno y compactación con material de sitio</t>
  </si>
  <si>
    <t>Cerramiento en malla eslabonada</t>
  </si>
  <si>
    <t>Concreto 2000 PSI</t>
  </si>
  <si>
    <t>Concreto 3000 PSI</t>
  </si>
  <si>
    <t>Acero de refuerzo 4200 kg</t>
  </si>
  <si>
    <t>kg/dia</t>
  </si>
  <si>
    <t>Envolvente</t>
  </si>
  <si>
    <t>Estructura soporte paneles</t>
  </si>
  <si>
    <t>TOTAL OBRAS ENVOLVENTE (SIN ENVOLVENTE)</t>
  </si>
  <si>
    <t>TOTAL REDES DE DISTRIBUCIÓN</t>
  </si>
  <si>
    <t>* Diligencie el rendimiento de construcción de los SISFV en días y el número de cuadrillas, para determinar los tiempos de ejecución del contrato</t>
  </si>
  <si>
    <t>CONSTRUCCIÓN DE SISTEMAS SOLARES</t>
  </si>
  <si>
    <t>RENDIMIENTO (DÍAS)</t>
  </si>
  <si>
    <t>NÚMERO DE CUADRILLAS</t>
  </si>
  <si>
    <t>PERSONAS POR CUADRILLA</t>
  </si>
  <si>
    <t>TIEMPO DE CONSTRUCCIÓN (MESES)</t>
  </si>
  <si>
    <t>CRUADRILLAS CIVILES</t>
  </si>
  <si>
    <t>*Diligencie el tiempo que la interventoría estará contratada antes y despues de la finalización de la obra</t>
  </si>
  <si>
    <t>INTERVENTORÍA</t>
  </si>
  <si>
    <t>TIEMPO ANTES DE OBRA (meses)</t>
  </si>
  <si>
    <t>TIEMPO DESPUES DE OBRA (meses)</t>
  </si>
  <si>
    <t>TIEMPOS TOTALES DE EJECUCIÓN</t>
  </si>
  <si>
    <t>IMPORTACIÓN (meses)</t>
  </si>
  <si>
    <t>* en caso de haber importación de materiales</t>
  </si>
  <si>
    <t>CONSTRUCCIÓN (meses)</t>
  </si>
  <si>
    <t>LIQUIDACIÓN OBRA (meses)</t>
  </si>
  <si>
    <t>OBRA</t>
  </si>
  <si>
    <t>INTERVENTORÍA (meses)</t>
  </si>
  <si>
    <t>SUPERVISIÓN (meses)</t>
  </si>
  <si>
    <t>TOTAL (meses)</t>
  </si>
  <si>
    <t>TIEMPOS TOTALES DE EJECUCIÓN (%)</t>
  </si>
  <si>
    <t>IMPORTACIÓN (sobre tiempo obra)</t>
  </si>
  <si>
    <t>CONSTRUCCIÓN (sobre tiempo obra)</t>
  </si>
  <si>
    <t>LIQUIDACIÓN OBRA (sobre tiempo obra)</t>
  </si>
  <si>
    <t>OBRA (sobre total)</t>
  </si>
  <si>
    <t>INTERVENTORÍA (sobre total)</t>
  </si>
  <si>
    <t>SUPERVISIÓN (sobre total)</t>
  </si>
  <si>
    <t>SMLV</t>
  </si>
  <si>
    <t>Auxilio de transporte</t>
  </si>
  <si>
    <t>Margen de valores</t>
  </si>
  <si>
    <t>Base días hábiles x mes</t>
  </si>
  <si>
    <t>IPC</t>
  </si>
  <si>
    <t>Estudio Mercado Mano de Obra (+10% de margen)(auxilio de transporte)</t>
  </si>
  <si>
    <t>Cargo</t>
  </si>
  <si>
    <t>Categoría</t>
  </si>
  <si>
    <t>Valor mensual base</t>
  </si>
  <si>
    <t>Margen positivo</t>
  </si>
  <si>
    <t>Valor Jornal</t>
  </si>
  <si>
    <t>Columna1</t>
  </si>
  <si>
    <t>Electricista</t>
  </si>
  <si>
    <t>https://www.computrabajo.com.co/salarios/electricista</t>
  </si>
  <si>
    <t>Ayudante</t>
  </si>
  <si>
    <t>https://www.salariominimocolombia.net/</t>
  </si>
  <si>
    <t>Topografo</t>
  </si>
  <si>
    <t>https://www.computrabajo.com.co/salarios/topografoa</t>
  </si>
  <si>
    <t>Oficial de obra</t>
  </si>
  <si>
    <t>https://www.computrabajo.com.co/salarios/oficial-de-obra</t>
  </si>
  <si>
    <t>Ingeniero de sistemas</t>
  </si>
  <si>
    <t>Oficina</t>
  </si>
  <si>
    <t>https://www.computrabajo.com.co/salarios/ingenieroa-de-sistemas</t>
  </si>
  <si>
    <t>Director de Obra</t>
  </si>
  <si>
    <t>https://www.computrabajo.com.co/salarios/directora-de-proyectos</t>
  </si>
  <si>
    <t>Ingeniero Residente</t>
  </si>
  <si>
    <t>https://www.computrabajo.com.co/salarios/ingeniero-electricista</t>
  </si>
  <si>
    <t>Gerente</t>
  </si>
  <si>
    <t>https://www.computrabajo.com.co/salarios/gerente-general</t>
  </si>
  <si>
    <t>Contador</t>
  </si>
  <si>
    <t>https://www.computrabajo.com.co/salarios/contadora-publico</t>
  </si>
  <si>
    <t>Asesor Jurídico</t>
  </si>
  <si>
    <t>https://www.computrabajo.com.co/salarios/abogadoa</t>
  </si>
  <si>
    <t>Ingeniero Ambiental</t>
  </si>
  <si>
    <t>https://www.computrabajo.com.co/salarios/ingeniero-ambiental</t>
  </si>
  <si>
    <t>Profesional SGSST</t>
  </si>
  <si>
    <t>https://www.computrabajo.com.co/salarios/siso</t>
  </si>
  <si>
    <t>Ingeniero Civil</t>
  </si>
  <si>
    <t>https://www.computrabajo.com.co/salarios/ingeniero-civil</t>
  </si>
  <si>
    <t>Trabajador Social</t>
  </si>
  <si>
    <t>https://www.computrabajo.com.co/salarios/trabajador-social</t>
  </si>
  <si>
    <t>Servicios Generales</t>
  </si>
  <si>
    <t>Almacenista</t>
  </si>
  <si>
    <t>Seguridad privada</t>
  </si>
  <si>
    <t>https://www.computrabajo.com.co/salarios/seguridad-privada</t>
  </si>
  <si>
    <t>Director de interventoría</t>
  </si>
  <si>
    <t>Profesional especialista en SISFV</t>
  </si>
  <si>
    <t>https://www.computrabajo.com.co/salarios/ingeniero-especialista</t>
  </si>
  <si>
    <t>Tecnólogo en obras civiles</t>
  </si>
  <si>
    <t>https://co.computrabajo.com/salarios/soldador</t>
  </si>
  <si>
    <t>Técnico electricista</t>
  </si>
  <si>
    <t>Soldador</t>
  </si>
  <si>
    <t>ENSAYOS (COSTOS DIRECTOS)</t>
  </si>
  <si>
    <t>Rotura X compresión de cilindros (Por norma una muestra(8 cil.) cada 40,0 m³ o una por día si es menor cantidad)</t>
  </si>
  <si>
    <t>Ensayo de compactación Proctor (Estandard y Modificado)</t>
  </si>
  <si>
    <t>Granulometría de suelos, por tamizado, con lavado</t>
  </si>
  <si>
    <t>Apique en material granular, por ml de 0 m a 1,0 m  de 70x70</t>
  </si>
  <si>
    <t>Límites de Atterberg, líquido y plástico</t>
  </si>
  <si>
    <t>Peso Unitario  en el terreno por el método de cono y arena</t>
  </si>
  <si>
    <t>Diseño de una mezcla de hormigón para una resistencia dada</t>
  </si>
  <si>
    <t>Extracción y falla de nucleos de concreto</t>
  </si>
  <si>
    <t>Ensayo de diámetro efectivo en barras corrugadas</t>
  </si>
  <si>
    <t>Contenido de asfalto</t>
  </si>
  <si>
    <t>Coliformes Fecales</t>
  </si>
  <si>
    <t>Detección de Cloro Residual</t>
  </si>
  <si>
    <t xml:space="preserve">CBR sobre material granular ( Método 1 )                                </t>
  </si>
  <si>
    <t>Prueba de integridad de pilotes</t>
  </si>
  <si>
    <t>Análisis A. Residuales</t>
  </si>
  <si>
    <t>PODRA AJUSTAR EL VR. SEGÚN EL OBJETO A CONTRATAR</t>
  </si>
  <si>
    <t>ENSAYOS</t>
  </si>
  <si>
    <t>Actualizado 2025</t>
  </si>
  <si>
    <t>$ año 2007</t>
  </si>
  <si>
    <t>AÑO 2009 (IPC 2007 Y 2008 13,80%)</t>
  </si>
  <si>
    <t>AÑO 2011</t>
  </si>
  <si>
    <t>AÑO 2012</t>
  </si>
  <si>
    <t>AÑO 2013</t>
  </si>
  <si>
    <t>AÑO 2014</t>
  </si>
  <si>
    <t>AÑO 2015</t>
  </si>
  <si>
    <t>AÑO 2016</t>
  </si>
  <si>
    <t>AÑO 2017</t>
  </si>
  <si>
    <t>AÑO 2018</t>
  </si>
  <si>
    <t>AÑO 2019</t>
  </si>
  <si>
    <t>AÑO 2020</t>
  </si>
  <si>
    <t>AÑO 2021</t>
  </si>
  <si>
    <t>AÑO 2022</t>
  </si>
  <si>
    <t>AÑO 2023</t>
  </si>
  <si>
    <t>AÑO 2024</t>
  </si>
  <si>
    <t>AÑO 2025</t>
  </si>
  <si>
    <t>Rotura por compresión en ladrillos y adoquines</t>
  </si>
  <si>
    <t>Módulo de rotura en vigas, con carga en los tercios</t>
  </si>
  <si>
    <t>Ensayo con esclerómetro, por elemento</t>
  </si>
  <si>
    <t>Ensayo de consolidación lenta con descarga</t>
  </si>
  <si>
    <t>Coliformes Totales</t>
  </si>
  <si>
    <t>REPÚBLICA DE COLOMBIA</t>
  </si>
  <si>
    <t>PRESIDENCIA DE LA REPUBLICA</t>
  </si>
  <si>
    <t>MUNICIPIO DE TEORAMA</t>
  </si>
  <si>
    <t>ANAILISI DE AIU</t>
  </si>
  <si>
    <t/>
  </si>
  <si>
    <t>CANT.
(1)</t>
  </si>
  <si>
    <t>CARGO / OFICIO</t>
  </si>
  <si>
    <t>SUELDO MENSUAL
'(2)</t>
  </si>
  <si>
    <t>PRIMA REGIONAL
'(3)</t>
  </si>
  <si>
    <t>DEDICACIÓN
'(4)</t>
  </si>
  <si>
    <t>TIEMPO EJECUCIÓN
(mes)
'(5)</t>
  </si>
  <si>
    <t>VALOR PARCIAL
($)
(1)*((2)+(3))*(4)*(5) = (6)</t>
  </si>
  <si>
    <t>COSTOS DIRECTOS DE PERSONAL</t>
  </si>
  <si>
    <t>PERSONAL PROFESIONAL</t>
  </si>
  <si>
    <t>Director Electricista, Cat 2 ACIEM</t>
  </si>
  <si>
    <t>Plazo</t>
  </si>
  <si>
    <t>Ingeniero Electricista Residente Cat 5 ACIEM</t>
  </si>
  <si>
    <t>Profesional en Gestión social y ambiental</t>
  </si>
  <si>
    <t>Profesional Obras Civiles</t>
  </si>
  <si>
    <t>PERSONAL ADMINISTRATIVO</t>
  </si>
  <si>
    <t>Vigilancia</t>
  </si>
  <si>
    <t>Asistente administrativo y contable</t>
  </si>
  <si>
    <t>SUBTOTAL COSTOS DE PERSONAL = SUMATORIA DE (5) = (6)</t>
  </si>
  <si>
    <t>FACTOR PRESTACIONAL (7)</t>
  </si>
  <si>
    <t xml:space="preserve">TOTAL COSTOS DE PERSONAL: (6) * (7) = (A) </t>
  </si>
  <si>
    <t>CANT.
(8)</t>
  </si>
  <si>
    <t>CONCEPTO</t>
  </si>
  <si>
    <t>COSTO
($)
'(9)</t>
  </si>
  <si>
    <t>TIEMPO
TOTAL (10)</t>
  </si>
  <si>
    <t>VALOR PARCIAL
($)
(8) * (9) * (10) = (11)</t>
  </si>
  <si>
    <t>OTROS COSTOS DIRECTOS</t>
  </si>
  <si>
    <t>VIÁTICOS (Alimentación + Hospedaje) *Notas 1 y 2</t>
  </si>
  <si>
    <t>Director</t>
  </si>
  <si>
    <t>día</t>
  </si>
  <si>
    <t>1 comité mensual</t>
  </si>
  <si>
    <t>Pasaje director</t>
  </si>
  <si>
    <t>Personal profesional y administrativo (Social, Ambiental, SGSST)</t>
  </si>
  <si>
    <t>mes</t>
  </si>
  <si>
    <t>28 días al mes. Calculado de acuerdo a catorcenas de cronograma</t>
  </si>
  <si>
    <t>Personal profesional (Ing Residente)</t>
  </si>
  <si>
    <t>Personal Técnico (Técnicos Electricistas y civiles, y ayudantes)</t>
  </si>
  <si>
    <t>Viaje personal profesional administraivo y tecnico</t>
  </si>
  <si>
    <t>unidad</t>
  </si>
  <si>
    <t>COSTOS DE ALQUILER DE EQUIPOS, TRANSPORTE Y OFICINAS</t>
  </si>
  <si>
    <t>Camioneta para transporte de personal entre veredas</t>
  </si>
  <si>
    <t>Motocicleta para transporte de personal entre veredas</t>
  </si>
  <si>
    <t>Oficina  (Incluye equipos, impresoras, servicios públicos)</t>
  </si>
  <si>
    <t>Bodega  (Incluye equipos, impresoras, servicios públicos)</t>
  </si>
  <si>
    <t>Aseo y cafetería</t>
  </si>
  <si>
    <t>Valla informativa del proyecto</t>
  </si>
  <si>
    <t>COSTOS VARIOS</t>
  </si>
  <si>
    <t>Informes, papelería, reproducciòn de documentos, planos, fotografias</t>
  </si>
  <si>
    <t>Comunicaciones (telefonía fija o celular, fax, correo, etc.)</t>
  </si>
  <si>
    <t>Ensayos de Laboratorio</t>
  </si>
  <si>
    <t>glb</t>
  </si>
  <si>
    <t>Kit Elementos de seguridad personal (EPP) (Casco, guantes, gafas, tapaoidos, arnes con eslingas)</t>
  </si>
  <si>
    <t>un</t>
  </si>
  <si>
    <t>Kit Camilla, botiquín y elementos de primeros auxilios</t>
  </si>
  <si>
    <t>Disposición de residuos y activos peligrosos RESPEL</t>
  </si>
  <si>
    <t>IMPUESTOS</t>
  </si>
  <si>
    <t>ICA</t>
  </si>
  <si>
    <t>Estampilla</t>
  </si>
  <si>
    <t>Retencion en la fuente</t>
  </si>
  <si>
    <t>valor ppto</t>
  </si>
  <si>
    <t>Gravamen a los movimientos financieros (4x1000) de los pagos realizados por todo</t>
  </si>
  <si>
    <t>Contribucion Contrato de O.PUBLICAS (Fondo Solidaridad Ciudadana y Bienestar Social) Ley 418</t>
  </si>
  <si>
    <t>para iterar</t>
  </si>
  <si>
    <t>PÓLIZAS</t>
  </si>
  <si>
    <t>ESTA OK</t>
  </si>
  <si>
    <t>Póliza de cumplimiento</t>
  </si>
  <si>
    <t>ITERAR</t>
  </si>
  <si>
    <t>Póliza de manejo anticipo</t>
  </si>
  <si>
    <t>Póliza de salarios y prestaciones sociales</t>
  </si>
  <si>
    <t>Póliza de estabilidad de la obra</t>
  </si>
  <si>
    <t>Póliza de responsabilidad civil</t>
  </si>
  <si>
    <t>TOTAL OTROS COSTOS DIRECTOS: SUMATORIA DE (11) = (B)</t>
  </si>
  <si>
    <t>COSTO DIRECTO DEL PROYECTO</t>
  </si>
  <si>
    <t>ADMINISTRACIÓN: (A) + (B) = (C)</t>
  </si>
  <si>
    <t>IMPREVISTOS: COSTO DIRECTO PROYECTO x 1% = (D)</t>
  </si>
  <si>
    <t xml:space="preserve">UTILIDAD: COSTO DIRECTO PROYECTO x 5% = (E) </t>
  </si>
  <si>
    <t>IVA SOBRE UTILIDAD</t>
  </si>
  <si>
    <t>COSTO TOTAL = (C) + (D) + (E)</t>
  </si>
  <si>
    <t>NOTAS:</t>
  </si>
  <si>
    <r>
      <t xml:space="preserve">1. Los </t>
    </r>
    <r>
      <rPr>
        <u/>
        <sz val="10"/>
        <rFont val="Arial"/>
        <family val="2"/>
      </rPr>
      <t>viáticos</t>
    </r>
    <r>
      <rPr>
        <sz val="10"/>
        <rFont val="Arial"/>
        <family val="2"/>
      </rPr>
      <t xml:space="preserve"> se reconocerán según su utilización real y sin superar los topes fijados en la resolución que el Instituto a tal fecha tenga vigente.</t>
    </r>
  </si>
  <si>
    <r>
      <t xml:space="preserve">2. Los </t>
    </r>
    <r>
      <rPr>
        <u/>
        <sz val="10"/>
        <rFont val="Arial"/>
        <family val="2"/>
      </rPr>
      <t>transportes aéreos</t>
    </r>
    <r>
      <rPr>
        <sz val="10"/>
        <rFont val="Arial"/>
        <family val="2"/>
      </rPr>
      <t xml:space="preserve">, </t>
    </r>
    <r>
      <rPr>
        <u/>
        <sz val="10"/>
        <rFont val="Arial"/>
        <family val="2"/>
      </rPr>
      <t>insumos</t>
    </r>
    <r>
      <rPr>
        <sz val="10"/>
        <rFont val="Arial"/>
        <family val="2"/>
      </rPr>
      <t xml:space="preserve">, </t>
    </r>
    <r>
      <rPr>
        <u/>
        <sz val="10"/>
        <rFont val="Arial"/>
        <family val="2"/>
      </rPr>
      <t>papelería, fotocopias de documentos</t>
    </r>
    <r>
      <rPr>
        <sz val="10"/>
        <rFont val="Arial"/>
        <family val="2"/>
      </rPr>
      <t xml:space="preserve">, </t>
    </r>
    <r>
      <rPr>
        <u/>
        <sz val="10"/>
        <rFont val="Arial"/>
        <family val="2"/>
      </rPr>
      <t>edición de informes</t>
    </r>
    <r>
      <rPr>
        <sz val="10"/>
        <rFont val="Arial"/>
        <family val="2"/>
      </rPr>
      <t xml:space="preserve"> y </t>
    </r>
    <r>
      <rPr>
        <u/>
        <sz val="10"/>
        <rFont val="Arial"/>
        <family val="2"/>
      </rPr>
      <t>comunicaciones</t>
    </r>
    <r>
      <rPr>
        <sz val="10"/>
        <rFont val="Arial"/>
        <family val="2"/>
      </rPr>
      <t xml:space="preserve"> se reembolsará según su costo real, contra presentación de factura.</t>
    </r>
  </si>
  <si>
    <r>
      <t xml:space="preserve">3. De acuerdo a los requisitos para presentación de proyectos a SGR se presenta sólo un ítem de </t>
    </r>
    <r>
      <rPr>
        <u/>
        <sz val="10"/>
        <rFont val="Arial"/>
        <family val="2"/>
      </rPr>
      <t>Costos de Legalización y Liquidación</t>
    </r>
    <r>
      <rPr>
        <sz val="10"/>
        <rFont val="Arial"/>
        <family val="2"/>
      </rPr>
      <t xml:space="preserve"> del contrato que debe incluir intrínsecamente los impuestos y estampillas respectivas a la ejecución de obra pública.</t>
    </r>
  </si>
  <si>
    <t>COSTOS DE LEGALIZACIÓN Y LIQUIDACIÓN DE CONTRATO</t>
  </si>
  <si>
    <t xml:space="preserve">Elaboro: Carlos Orlando Cardenas 
                 BY 250-33430  </t>
  </si>
  <si>
    <t>FIC - Contribución fomento a industria y construcción (Decreto 2375 de 1974 y Decreto 086 de 1976)</t>
  </si>
  <si>
    <t>Impuesto Industria y Comercio - ICA</t>
  </si>
  <si>
    <t>Estampilla Pro Universidad Nacional de Colombia (Ley 1697 de 2013)</t>
  </si>
  <si>
    <t>MEMORIA CANTIDADES INTERPOLACIÓN TEORAMA RED DISTRIBUCIÓN MICRORED</t>
  </si>
  <si>
    <t>POR MÁXIMO DE USUARIOS EN LOS SISTEMA</t>
  </si>
  <si>
    <t>ITEM</t>
  </si>
  <si>
    <t>USUARIOS</t>
  </si>
  <si>
    <t>Excavación mecánica para zanjas y cajas de inspección</t>
  </si>
  <si>
    <t>Geotextil para separación de suelos de subrasante y capas granulares</t>
  </si>
  <si>
    <t xml:space="preserve">Relleno en arena de peña tamizada con  90% tamaños &lt; 6mm para zanjas </t>
  </si>
  <si>
    <t>Suministro, transporte e instalación de canalización subterranea en tuberías tipo PVC de 2x2'' con acometida en cable #1/0 y #2  THWN-2 AWG (entre contenedor y usuarios- 1 tubo de reserva). Incluye poliuretano expansivo y soladadura de PVC</t>
  </si>
  <si>
    <t>Suministro e instalación de caja de inspección de BT, Norma AFINIA SB-325</t>
  </si>
  <si>
    <t>Suministro e instalación de caja de inspección de BT, Norma AFINIA SB-325- Salida de envolvente</t>
  </si>
  <si>
    <t>AJUSTADO A LA CANTIDAD PROMEDIO POR SISTEMA</t>
  </si>
  <si>
    <t>IGRESAR LONGITUD DE LAS REDES</t>
  </si>
  <si>
    <t>Suministro e instalación de caja de inspección de BT, Norma AIRE SB-325</t>
  </si>
  <si>
    <t>PRESUPUESTO OFICIAL INTERVENTORÍA</t>
  </si>
  <si>
    <t xml:space="preserve">COSTOS  DE PERSONAL </t>
  </si>
  <si>
    <t>AUXILIO DE TRANSPORTE
'(3)</t>
  </si>
  <si>
    <t>VALOR PARCIAL
($)
((1)*(2)*(4)*fm+(3))*(5) = (6)</t>
  </si>
  <si>
    <t xml:space="preserve">PERSONAL PROFESIONAL </t>
  </si>
  <si>
    <t>Director de Interventoría</t>
  </si>
  <si>
    <t>Ingeniero Electricista Residente de Interventoría</t>
  </si>
  <si>
    <t>Profesional en Gestión social</t>
  </si>
  <si>
    <t>Profesional en Ingeniería Ambiental</t>
  </si>
  <si>
    <t>Profesional en Ingeniería Civil</t>
  </si>
  <si>
    <t>PERSONAL TÉCNICO</t>
  </si>
  <si>
    <t>Tecnólogo en Gestión de seguridad y salud en el trabajo</t>
  </si>
  <si>
    <t>FACTOR MULTIPLICADOR &gt; 2 SMMLV</t>
  </si>
  <si>
    <t>FACTOR MULTIPLICADOR &lt; 2 SMMLV</t>
  </si>
  <si>
    <t>TOTAL PERSONAL PROFESIONAL Y TÉCNICO (7)</t>
  </si>
  <si>
    <t>FACTOR MULTIPLICADOR &lt; 2SMMLV</t>
  </si>
  <si>
    <t>TOTAL PERSONAL ADMINISTRATIVO (8)</t>
  </si>
  <si>
    <t xml:space="preserve">TOTAL COSTOS DE PERSONAL: (7) + (8)= (A) </t>
  </si>
  <si>
    <t>OTROS COSTOS</t>
  </si>
  <si>
    <t>CANT.
(9)</t>
  </si>
  <si>
    <t>COSTO UNITARIO ($)
'(10)</t>
  </si>
  <si>
    <t>DEDICACIÓN
'(11)</t>
  </si>
  <si>
    <t>TIEMPO
TOTAL (12)</t>
  </si>
  <si>
    <t>VALOR PARCIAL ($)
(9) * (10) * (11)*(12) = (13)</t>
  </si>
  <si>
    <t xml:space="preserve"> COSTOS FIJOS Y DE OFICINA</t>
  </si>
  <si>
    <t>OFICINA (Arriendo y servicios públicos domiciliarios)</t>
  </si>
  <si>
    <t>COSTOS DE ALQUILER DE EQUIPOS Y VEHÍCULOS</t>
  </si>
  <si>
    <t>Camioneta 4 X4, modelo superior a 2016, 2500 cc (incluye combustible, conductor, mantenimiento, seguro todo riesgo)</t>
  </si>
  <si>
    <t>Ver Nota 1</t>
  </si>
  <si>
    <t>Motocicleta  (incluye combustible, mantenimiento, seguro todo riesgo)</t>
  </si>
  <si>
    <t>GPS, cámara fotográfica, computador y equipo de oficina.</t>
  </si>
  <si>
    <t>COSTOS DE INFORMES</t>
  </si>
  <si>
    <t>Informes, papelería, reproducción de documentos, planos, fotografías, etc.</t>
  </si>
  <si>
    <t>COSTOS IMPUESTOS Y POLIZAS</t>
  </si>
  <si>
    <t>gl</t>
  </si>
  <si>
    <t>Retención/Vr Total Cto Gerencia</t>
  </si>
  <si>
    <t>Póliza de calidad del servicio</t>
  </si>
  <si>
    <t>TOTAL COSTOS : SUMATORIA (13)</t>
  </si>
  <si>
    <t>SUBTOTAL COSTO DE INTERVENTORÍA ANTES DE IVA: (A) + (B) = (C)</t>
  </si>
  <si>
    <t>GANANCIA (15%)</t>
  </si>
  <si>
    <t>IVA = 19% * (C) = (E')</t>
  </si>
  <si>
    <t>COSTO TOTAL DE INTERVENTORÍA = (C) + (E')</t>
  </si>
  <si>
    <t>Nota 1: El costo del alquiles de la camioneta se basa en el valor de alquiles mensual de un vehículo a todo costo sobre el cociente de los días laborales. 
https://panamericanrentacar.com.co/camionetas-doble-cabina/</t>
  </si>
  <si>
    <t>Elaboro: CARLOS Orlando Cardenas Munevar
Ing. Electromecanico 
M.P. BY 25033430</t>
  </si>
  <si>
    <t>DESCRIPCIÓN</t>
  </si>
  <si>
    <t>A.  SALARIO</t>
  </si>
  <si>
    <t>A.  SALARIO BÁSICO</t>
  </si>
  <si>
    <t>B.  PRESTACIONES SOCIALES Y APORTES PARAFISCALES</t>
  </si>
  <si>
    <t>Subsidio de transporte</t>
  </si>
  <si>
    <t xml:space="preserve">Cesantía    </t>
  </si>
  <si>
    <t xml:space="preserve">Intereses Cesantía   </t>
  </si>
  <si>
    <t xml:space="preserve">Prima Legal   </t>
  </si>
  <si>
    <t xml:space="preserve">Vacaciones    </t>
  </si>
  <si>
    <t xml:space="preserve">Salud    </t>
  </si>
  <si>
    <t xml:space="preserve">Pensiones    </t>
  </si>
  <si>
    <t xml:space="preserve">Riesgos Profesionales   </t>
  </si>
  <si>
    <t>Dotación</t>
  </si>
  <si>
    <t>Otros (Auxilios varios, prestaciones extralegales, Incapacidades no cubiertas)</t>
  </si>
  <si>
    <t>PARAFISCALES</t>
  </si>
  <si>
    <t>Caja de compensación Familiar</t>
  </si>
  <si>
    <t>Sena</t>
  </si>
  <si>
    <t>ICBF</t>
  </si>
  <si>
    <t>C.  COSTOS INDIRECTOS</t>
  </si>
  <si>
    <t>Perfeccionamiento y legalización del contrato (gastos tributarios y pólizas)</t>
  </si>
  <si>
    <t>D.  HONORARIOS (incluye gastos contingentes)</t>
  </si>
  <si>
    <t xml:space="preserve"> (A+B+C)</t>
  </si>
  <si>
    <t>E. IMPREVISTO</t>
  </si>
  <si>
    <t>F. TOTAL (A + B + C + D + E)</t>
  </si>
  <si>
    <t>E. TOTAL (A + B + C + D)</t>
  </si>
  <si>
    <t>FACTOR MULTIPLICADOR ADOPTADO</t>
  </si>
  <si>
    <t>MUNICIPIO</t>
  </si>
  <si>
    <t>VEREDA</t>
  </si>
  <si>
    <t>USUARIOS MK</t>
  </si>
  <si>
    <t>INDIVIDUALES</t>
  </si>
  <si>
    <t>MR 5 - 8</t>
  </si>
  <si>
    <t>MR 10-16</t>
  </si>
  <si>
    <t>MR 15-24</t>
  </si>
  <si>
    <t>OBSERVACIONES</t>
  </si>
  <si>
    <t>TEORAMA</t>
  </si>
  <si>
    <t>Total</t>
  </si>
  <si>
    <t>USUARIOS TOTALES</t>
  </si>
  <si>
    <t>MICRO RED</t>
  </si>
  <si>
    <t>No Us</t>
  </si>
  <si>
    <t>1. MR 5</t>
  </si>
  <si>
    <t>2. MR 5</t>
  </si>
  <si>
    <t>3. MR 10</t>
  </si>
  <si>
    <t>4. MR 15</t>
  </si>
  <si>
    <t>TOTAL</t>
  </si>
  <si>
    <t>SISTEMA</t>
  </si>
  <si>
    <t>INDIVIDUAL</t>
  </si>
  <si>
    <t>MR 8</t>
  </si>
  <si>
    <t>MR 16</t>
  </si>
  <si>
    <t>MR 24</t>
  </si>
  <si>
    <t>CANTIDAD</t>
  </si>
  <si>
    <t>ALTA GRACIA</t>
  </si>
  <si>
    <t>BRUBUKANINA</t>
  </si>
  <si>
    <t>EL OSO</t>
  </si>
  <si>
    <t>EL TRIGO</t>
  </si>
  <si>
    <t>FARACHE</t>
  </si>
  <si>
    <t>GURAPALES</t>
  </si>
  <si>
    <t>LA TEJA</t>
  </si>
  <si>
    <t>LLANA BAJA</t>
  </si>
  <si>
    <t>LOS RANCHOS</t>
  </si>
  <si>
    <t>MIRACOTES</t>
  </si>
  <si>
    <t>MUNDO NUEVO</t>
  </si>
  <si>
    <t>OCBABUDA</t>
  </si>
  <si>
    <t>PULPITOS</t>
  </si>
  <si>
    <t>RAMIREZ</t>
  </si>
  <si>
    <t>SAKADU</t>
  </si>
  <si>
    <t>SANTAFE</t>
  </si>
  <si>
    <t>SUERERA</t>
  </si>
  <si>
    <t>VENTANAS</t>
  </si>
  <si>
    <t xml:space="preserve">PROGRAMA </t>
  </si>
  <si>
    <t>ACTIVIDADES</t>
  </si>
  <si>
    <t>COSTOS $</t>
  </si>
  <si>
    <t>1. Conformación del Grupo de Gestión Socioambiental.</t>
  </si>
  <si>
    <t>Conformación del grupo de gestión socioambiental</t>
  </si>
  <si>
    <t>Los costos de este programa se encuentran incluidos dentro AIU del presupuesto del proyecto, asociada a la dedicación del equipo.</t>
  </si>
  <si>
    <t>Elaboración de informes de gestión ambiental- seguimiento</t>
  </si>
  <si>
    <t>Dar cumplimiento a las actividades estipuladas en el plan de manejo ambiental</t>
  </si>
  <si>
    <t>Dar respuesta a los requerimientos de la autoridad ambiental (de ser necesario)</t>
  </si>
  <si>
    <t>2. Capacitación ambiental al personal de obra y comunidad del Área de Influencia</t>
  </si>
  <si>
    <t xml:space="preserve">Capacitación e inducción a los nuevos trabajadores </t>
  </si>
  <si>
    <t>Costos
Los costos se encuentran incluidos en el presupuesto del plan de manejo social.</t>
  </si>
  <si>
    <t>Programación mensual de las charlas a realizar a los trabajadores</t>
  </si>
  <si>
    <t>Capacitación a la comunidad el área de influencia del proyecto</t>
  </si>
  <si>
    <t>3. Manejo y disposición final de residuos RAEE y RESPEL</t>
  </si>
  <si>
    <t>Manejo de residuos RAEE y RESPEL</t>
  </si>
  <si>
    <t>4. Manejo y disposición final de residuos sólidos convencionales.</t>
  </si>
  <si>
    <t>Manejo de residuos ordinarios.
Manejo de residuos reciclables.</t>
  </si>
  <si>
    <t>5. Manejo integral de materiales de construcción</t>
  </si>
  <si>
    <t>Movilización de equipos y materiales.
Instalación de equipos.</t>
  </si>
  <si>
    <t>Los costos de este programa se encuentran incluidos en el presupuesto del proyecto.</t>
  </si>
  <si>
    <t>6. Manejo y protección de recursos naturales</t>
  </si>
  <si>
    <t xml:space="preserve">Capacitaciones manejo de flora y fauna.
Manejo recurso suelo. </t>
  </si>
  <si>
    <t xml:space="preserve">
Los costos se encuentran incluidos en el presupuesto del plan de manejo social.</t>
  </si>
  <si>
    <t>7. Manejo de Suelos</t>
  </si>
  <si>
    <t>Adecuación del suelo para la instalación de las celdas fotovoltaicas.</t>
  </si>
  <si>
    <t>8. Manejo de emisiones atmosféricas y ruido</t>
  </si>
  <si>
    <t>Capacitaciones manejo de emisiones atmosféricas y manejo de ruido.</t>
  </si>
  <si>
    <t>9. Manejo Cobertura Vegetal</t>
  </si>
  <si>
    <t>Adecuación del suelo para la instalación de las celdas fotovoltaicas</t>
  </si>
  <si>
    <t>10. Manejo del riesgo a la salud de los
trabajadores SG-SST</t>
  </si>
  <si>
    <t>Todos las actividades del PSST</t>
  </si>
  <si>
    <t>11. Manejo integral de materiales de
construcción</t>
  </si>
  <si>
    <t>12. Señalización frentes de obra</t>
  </si>
  <si>
    <t>Instalación de señalización en
lugares de trabajo</t>
  </si>
  <si>
    <t>13. Manejo de maquinaria, equipos y vehículos</t>
  </si>
  <si>
    <t>Movilización de maquinaria.
Instalación de equipos.</t>
  </si>
  <si>
    <t>14. Limpieza final de la obra</t>
  </si>
  <si>
    <t xml:space="preserve">Actividades de cierre y entrega de obra. </t>
  </si>
  <si>
    <t>TOTAL ($)</t>
  </si>
  <si>
    <t>IMPLEMENTACIÓN DE SOLUCIONES ENERGÉTICAS CON FUENTES NO CONVENCIONALES DE ENERGÍA PARA USUARIOS EN ZONAS RURALES DEL MUNICIPIO DE TEORAMA EN EL DEPARTAMENTO DE NORTE DE SANTANDER</t>
  </si>
  <si>
    <t>IMPLEMENTACIÓN PLAN DE GESTIÓN SOCIAL</t>
  </si>
  <si>
    <t>MATERIALES</t>
  </si>
  <si>
    <t>Ítem</t>
  </si>
  <si>
    <t>Vr. Unitario</t>
  </si>
  <si>
    <t>Vr. Parcial</t>
  </si>
  <si>
    <t>valor general de la actividad</t>
  </si>
  <si>
    <t xml:space="preserve">Programa - Control social / Participación ciudadana  </t>
  </si>
  <si>
    <t>Actividad 1: Socialización inicial del proyecto:</t>
  </si>
  <si>
    <t>Convocatoria por medios interpersonales a cada una de las  comunidades indígenas-  Voz a voz por medio de un líder del  resguardo indígena.</t>
  </si>
  <si>
    <t>Día</t>
  </si>
  <si>
    <t>Intérprete para cada una de los procesos que contempla la actividad 1. De ser necesario, la mayoría hablan español.</t>
  </si>
  <si>
    <r>
      <t xml:space="preserve">Refrigerios para la jornada de socialización se estima la asistencia de: los  capitanes de cada comunidad, el representante de ASOBARITERO,  5 representantes del ente territorial, 2 del operador de red, 3 representantes de los entes de control.
</t>
    </r>
    <r>
      <rPr>
        <b/>
        <sz val="11"/>
        <color theme="1"/>
        <rFont val="Calibri"/>
        <family val="2"/>
        <scheme val="minor"/>
      </rPr>
      <t>*Nota:</t>
    </r>
    <r>
      <rPr>
        <sz val="11"/>
        <color theme="1"/>
        <rFont val="Calibri"/>
        <family val="2"/>
        <scheme val="minor"/>
      </rPr>
      <t xml:space="preserve"> todos los  refrigerios mencionados en las diferentes actividades de programa 1 y 2 y deberá contener como mínimo cuatro productos: 1líquido, 2 alimentos sólidos de sal y 1alimento solido de azúcar.</t>
    </r>
  </si>
  <si>
    <t>Und</t>
  </si>
  <si>
    <t>Almuerzos para la jornada de socialización. (Se estima la asistencia descrita en los refrigerios).</t>
  </si>
  <si>
    <t>Gastos de transporte para las comunidades:  se estima la asistencia del capitán de cada una de las comunidades, siendo este dinero destinado al auxilio de transporte para las personas convocadas.</t>
  </si>
  <si>
    <t xml:space="preserve"> (ida y vuelta)</t>
  </si>
  <si>
    <t>Espacio de socialización en ASOBARITEO</t>
  </si>
  <si>
    <t>Punto ecológico (Para disposición  de materiales de desechos dentro de todas las actividades).</t>
  </si>
  <si>
    <t>Actividad 2: Conformación del Comité de Acompañamiento Comunitario  (CAC) - Capacitación</t>
  </si>
  <si>
    <t xml:space="preserve">Refrigerios y almuerzo (estos gastos solo es para los miembros del CAC, se estima un promedio de 9 personas) </t>
  </si>
  <si>
    <t>Gastos de transporte para los integrantes del CAC para desplazarse al casco urbano a inscribir el CAC y ser capacitados por personería municipal, (se estima un promedio de 9 personas que estarán un día realizando estas actividades)</t>
  </si>
  <si>
    <t>Actividad 3: Reunión de seguimiento (Se propone 1 en la ejecución del contrato)</t>
  </si>
  <si>
    <t>Convocatoria por medios interpersonales a cada una de las  comunidades indígenas -  Voz a voz por medio de un líder por cada  resguardo indígena.</t>
  </si>
  <si>
    <t>Refrigerios reunión de seguimiento (se estiman 2 participantes por cada vivienda beneficiada).</t>
  </si>
  <si>
    <t>Intérprete que acompaña la presentación en cada comunidad para presentar los avances del contrato. De ser necesario</t>
  </si>
  <si>
    <t xml:space="preserve">Mes </t>
  </si>
  <si>
    <t>Personal local que acompaña al profesional que presentará  los avances del contrato, en los desplazamientos que se realicen desde una comunidad a otra.</t>
  </si>
  <si>
    <r>
      <t xml:space="preserve">Gastos de transporte y honorarios de los profesionales que presentarán la reunión de seguimiento.
</t>
    </r>
    <r>
      <rPr>
        <b/>
        <sz val="11"/>
        <color rgb="FF000000"/>
        <rFont val="Calibri"/>
        <family val="2"/>
        <scheme val="minor"/>
      </rPr>
      <t>*Nota:</t>
    </r>
    <r>
      <rPr>
        <sz val="11"/>
        <color rgb="FF000000"/>
        <rFont val="Calibri"/>
        <family val="2"/>
        <scheme val="minor"/>
      </rPr>
      <t xml:space="preserve"> los valores están contemplados dentro del presupuesto general.</t>
    </r>
  </si>
  <si>
    <t>Ida y regreso</t>
  </si>
  <si>
    <t>Actividad 4: Evento de entrega formal de la solución energética, feria comercial, productiva, muestra cultural o gastronómica</t>
  </si>
  <si>
    <t>Convocatoria por medios interpersonales a cada una de las  comunidades indíegnas -  Voz a voz por medio de un líder por cada  resguardo indígena.</t>
  </si>
  <si>
    <t>Intérprete. De ser neceasrio</t>
  </si>
  <si>
    <t xml:space="preserve">Refrigerios para la jornada de socialización se estima la asistencia de: los  capitanes de cada comunidad, el representante de ASOBARITERO,  2 representantes del ente territorial, 2 del operador de red, 3 representantes de los entes de control  y 10 usuarios por comunidad.
</t>
  </si>
  <si>
    <t>Almuerzos para la jornada de evento de cierre (se estima la asistencia descrita en los refrigerios).</t>
  </si>
  <si>
    <t>Los gastos de transporte para las comunidades se tendrán en cuenta considerando las condiciones específicas de cada una. Aunque, en muchos casos, los miembros de la comunidad llegan al punto de encuentro caminando, se reconocerá un día de trabajo laboral a aquellos que deban desplazarse de un lugar a otro debido a la distancia y el tiempo que implica su traslado.</t>
  </si>
  <si>
    <t>Día  (ida y vuelta)</t>
  </si>
  <si>
    <t>Alquiler mobiliario y sonido</t>
  </si>
  <si>
    <r>
      <t xml:space="preserve">Gastos de transporte y honorarios de los profesionales que harán la entrega formal del proyecto en el evento final.
</t>
    </r>
    <r>
      <rPr>
        <b/>
        <sz val="11"/>
        <color rgb="FF000000"/>
        <rFont val="Calibri"/>
        <family val="2"/>
        <scheme val="minor"/>
      </rPr>
      <t>*Nota:</t>
    </r>
    <r>
      <rPr>
        <sz val="11"/>
        <color rgb="FF000000"/>
        <rFont val="Calibri"/>
        <family val="2"/>
        <scheme val="minor"/>
      </rPr>
      <t xml:space="preserve"> los valores están contemplados dentro del presupuesto general.</t>
    </r>
  </si>
  <si>
    <t>Programa -  Capacitaciones transversales</t>
  </si>
  <si>
    <r>
      <t xml:space="preserve">Convocatoria por medios interpersonales para cada una de las capacitaciones del programa 2: Voz a voz por medio de un líder por cada  resguardo indígena. 
</t>
    </r>
    <r>
      <rPr>
        <b/>
        <sz val="11"/>
        <color theme="1"/>
        <rFont val="Calibri"/>
        <family val="2"/>
        <scheme val="minor"/>
      </rPr>
      <t>*Nota:</t>
    </r>
    <r>
      <rPr>
        <sz val="11"/>
        <color theme="1"/>
        <rFont val="Calibri"/>
        <family val="2"/>
        <scheme val="minor"/>
      </rPr>
      <t xml:space="preserve"> la convocatoria se deberá realizar para la totalidad de actividades del programa </t>
    </r>
    <r>
      <rPr>
        <i/>
        <sz val="11"/>
        <color theme="1"/>
        <rFont val="Calibri"/>
        <family val="2"/>
        <scheme val="minor"/>
      </rPr>
      <t xml:space="preserve">capacitaciones transversales, </t>
    </r>
    <r>
      <rPr>
        <sz val="11"/>
        <color theme="1"/>
        <rFont val="Calibri"/>
        <family val="2"/>
        <scheme val="minor"/>
      </rPr>
      <t xml:space="preserve">de acuerdo con el cronograma definido para dichas capacitaciones. </t>
    </r>
  </si>
  <si>
    <t>Intérprete para cada una de los espacios que se desarrollarán en las 3 actividades del programa. (Se contratarán 2 interpretes por un mes).De ser necesario.</t>
  </si>
  <si>
    <r>
      <t xml:space="preserve">Gastos de transporte de los profesionales que realizarán las diferentes capacitaciones y/o talleres.
</t>
    </r>
    <r>
      <rPr>
        <b/>
        <sz val="11"/>
        <color rgb="FF000000"/>
        <rFont val="Calibri"/>
        <family val="2"/>
        <scheme val="minor"/>
      </rPr>
      <t>*Nota:</t>
    </r>
    <r>
      <rPr>
        <sz val="11"/>
        <color rgb="FF000000"/>
        <rFont val="Calibri"/>
        <family val="2"/>
        <scheme val="minor"/>
      </rPr>
      <t xml:space="preserve"> los valores están contemplados dentro del presupuesto general.</t>
    </r>
  </si>
  <si>
    <r>
      <t xml:space="preserve">Gastos de honorarios de  los profesionales que realizarán las diferentes capacitaciones y/o talleres.
</t>
    </r>
    <r>
      <rPr>
        <b/>
        <sz val="11"/>
        <color theme="1"/>
        <rFont val="Calibri"/>
        <family val="2"/>
        <scheme val="minor"/>
      </rPr>
      <t>*Nota:</t>
    </r>
    <r>
      <rPr>
        <sz val="11"/>
        <color theme="1"/>
        <rFont val="Calibri"/>
        <family val="2"/>
        <scheme val="minor"/>
      </rPr>
      <t xml:space="preserve"> los valores están contemplados dentro del presupuesto general.</t>
    </r>
  </si>
  <si>
    <t xml:space="preserve"> Actividad 1. Capacitaciones por grupos poblacionales: </t>
  </si>
  <si>
    <t>Mujeres, paz y energía</t>
  </si>
  <si>
    <t>Refrigerios: se estima asistencia de una mujer por el 60% de las viviendas.</t>
  </si>
  <si>
    <t xml:space="preserve">Und </t>
  </si>
  <si>
    <t>Gastos de materiales (resma, colores y esferos)</t>
  </si>
  <si>
    <t>Almuerzos (se estima la asistencia descrita en los refrigerios).</t>
  </si>
  <si>
    <t>Centinelas de la energía</t>
  </si>
  <si>
    <t xml:space="preserve">Refrigerios: se estima asistencia de almenos 30 niños, niñas, adolescentes y jóvenes de cada comunidad. </t>
  </si>
  <si>
    <t>Gastos de materiales didácticos para muestra física.</t>
  </si>
  <si>
    <t>Proyectos productivos y/o emprendimientos con el uso eficiente de la energía</t>
  </si>
  <si>
    <t>Refrigerios en la mañana y en la tarde: se estiman asistencia del 30% de los usuarios beneficiados.</t>
  </si>
  <si>
    <t>Gastos de materiales didácticos para la capacitación.</t>
  </si>
  <si>
    <t>Refrigerios en la mañana y en la tarde:  se estima asistencia del 50% de los usuarios beneficiados con un acompañante.</t>
  </si>
  <si>
    <t xml:space="preserve">Gastos de materiales para las actividades de aprendizaje. </t>
  </si>
  <si>
    <t>Acrílicos (contiene información de manejo de las soluciones individuales medidas: 20x30 cm).</t>
  </si>
  <si>
    <t xml:space="preserve">Impresión a escala de la solución energética concentrada e individual. </t>
  </si>
  <si>
    <t xml:space="preserve">Actividad 3: Escuela de Formación para la Transición Energética Justa –Escuela TEJ </t>
  </si>
  <si>
    <t>Momento 1 - Diálogo social e inicio montaje solución energética</t>
  </si>
  <si>
    <t xml:space="preserve">Refrigerios: se estiman asistencia del 20% de los usuarios beneficiados. </t>
  </si>
  <si>
    <t>Materiales  (Papel periódico, marcadores borrables, hojas blancas, cartulina, colores, dado, cinta, post-its, pinceles, alambre, esferos, fichas bibliográficas,  etc)</t>
  </si>
  <si>
    <t>Plotter con esquema de la cadena de la energía.</t>
  </si>
  <si>
    <t>Tarjetones con los momentos de la cadena de la energía.(Producción, Transformación,
Transmisión, Distribución y Comercialización)</t>
  </si>
  <si>
    <t>Placa de madera, arcilla u otro material</t>
  </si>
  <si>
    <t>Temperas en aceite.</t>
  </si>
  <si>
    <t>Trjetones con preguntas problematizadoras</t>
  </si>
  <si>
    <t>Caja soluciones: Piezas gráficas con la norma</t>
  </si>
  <si>
    <t>Momento 2 - Diálogo social de monitoreo y sostenibilidad</t>
  </si>
  <si>
    <t>Gastos de papelería</t>
  </si>
  <si>
    <t>Imagen de referencia de rompecabezas, tamaño 1/2 pliego.</t>
  </si>
  <si>
    <t>Ploter Pacto por la JET</t>
  </si>
  <si>
    <t>COSTO FIDUCIA</t>
  </si>
  <si>
    <t>COSTO
($)</t>
  </si>
  <si>
    <t>TIEMPO TOTAL</t>
  </si>
  <si>
    <t>VALOR PARCIAL
($)</t>
  </si>
  <si>
    <t>Contrato fiduciario año 2025</t>
  </si>
  <si>
    <t>Mes</t>
  </si>
  <si>
    <t>Contrato fiduciario año 2026</t>
  </si>
  <si>
    <t>IVA:   19%</t>
  </si>
  <si>
    <t>TOTAL CONTRATO FIDUCIARIO</t>
  </si>
  <si>
    <t>Elaboró:</t>
  </si>
  <si>
    <t xml:space="preserve">Carlos Orlando Cardenas </t>
  </si>
  <si>
    <t>M.P.: BY 250-33430</t>
  </si>
  <si>
    <t>GERENCIA DE PROYECTO</t>
  </si>
  <si>
    <t>1. COSTOS DE PERSONAL</t>
  </si>
  <si>
    <t>SMMLV</t>
  </si>
  <si>
    <t>Item</t>
  </si>
  <si>
    <t>No. Meses</t>
  </si>
  <si>
    <t>No. Personas</t>
  </si>
  <si>
    <t>% Dedicación</t>
  </si>
  <si>
    <t>Valor</t>
  </si>
  <si>
    <t xml:space="preserve">Subsidio de transporte </t>
  </si>
  <si>
    <t>Salario Mes 2025</t>
  </si>
  <si>
    <t>Auxilio Transporte</t>
  </si>
  <si>
    <t>noviembre 10/2024</t>
  </si>
  <si>
    <t>1.1</t>
  </si>
  <si>
    <t>Coordinador de Gerencia</t>
  </si>
  <si>
    <t xml:space="preserve">https://www.computrabajo.com.co/salarios/gerente-de-proyectos </t>
  </si>
  <si>
    <t>1.2</t>
  </si>
  <si>
    <t>Profesional Técnico</t>
  </si>
  <si>
    <t xml:space="preserve">https://www.computrabajo.com.co/salarios/asesoresas-profesionales </t>
  </si>
  <si>
    <t>1.4</t>
  </si>
  <si>
    <t>Profesional Jurídico</t>
  </si>
  <si>
    <t xml:space="preserve">https://www.computrabajo.com.co/salarios/abogadoa </t>
  </si>
  <si>
    <t>1.7</t>
  </si>
  <si>
    <t>Profesional Tecnico 1 (Esp. Licitaciones)</t>
  </si>
  <si>
    <t xml:space="preserve">https://www.computrabajo.com.co/salarios/especialista </t>
  </si>
  <si>
    <t>1.8</t>
  </si>
  <si>
    <t>Profesional Financiero</t>
  </si>
  <si>
    <t xml:space="preserve">https://www.computrabajo.com.co/salarios/financieroa </t>
  </si>
  <si>
    <t>1.9</t>
  </si>
  <si>
    <t xml:space="preserve">https://www.computrabajo.com.co/salarios/asistentea-administrativo </t>
  </si>
  <si>
    <t>Subtotal Costos de Personal</t>
  </si>
  <si>
    <t>Factor Prestacional</t>
  </si>
  <si>
    <t>Valor Total Costos de Personal</t>
  </si>
  <si>
    <t>2. COSTOS INDIRECTOS</t>
  </si>
  <si>
    <t>Costo</t>
  </si>
  <si>
    <t>Cant</t>
  </si>
  <si>
    <t>Valor Parcial</t>
  </si>
  <si>
    <t>2.1</t>
  </si>
  <si>
    <t>Viáticos</t>
  </si>
  <si>
    <t>2.1.1</t>
  </si>
  <si>
    <t>2,1,2</t>
  </si>
  <si>
    <t>Pasajes</t>
  </si>
  <si>
    <t>2.2</t>
  </si>
  <si>
    <t>Costos de alquiler de equipos, transporte y oficina</t>
  </si>
  <si>
    <t>2.2.1</t>
  </si>
  <si>
    <t>2.2.2</t>
  </si>
  <si>
    <t>2.3</t>
  </si>
  <si>
    <t>Costos varios</t>
  </si>
  <si>
    <t>2.3.1</t>
  </si>
  <si>
    <t>Informes, papelería, reproducciòn de documentos, planos, fotografias.</t>
  </si>
  <si>
    <t>2.3.2</t>
  </si>
  <si>
    <t>2.3.3</t>
  </si>
  <si>
    <t>Alquiler de Software Project Professional 2016 o superior</t>
  </si>
  <si>
    <t>2.3.4</t>
  </si>
  <si>
    <t>Alquiler licencia software AutoCAD 3D</t>
  </si>
  <si>
    <t>2.4</t>
  </si>
  <si>
    <t>Impuestos y Polizas</t>
  </si>
  <si>
    <t>2.4.1</t>
  </si>
  <si>
    <t>impuestos</t>
  </si>
  <si>
    <t>2.4.2</t>
  </si>
  <si>
    <t>Pólizas</t>
  </si>
  <si>
    <t>Valor Total Costos Indirectos</t>
  </si>
  <si>
    <t>RESUMEN COSTOS GERENCIA</t>
  </si>
  <si>
    <t>Costos de personal</t>
  </si>
  <si>
    <t>Costos Indirectos</t>
  </si>
  <si>
    <t>Subtotal Gerencia (1 + 2)</t>
  </si>
  <si>
    <t>IVA (19% * (3+4))</t>
  </si>
  <si>
    <t>Valor Total Gerencia (3 + 4+5)</t>
  </si>
  <si>
    <t>CarlosOrlando Cardenas Munevar</t>
  </si>
  <si>
    <t>Cant.</t>
  </si>
  <si>
    <t>valor</t>
  </si>
  <si>
    <t>Subtotal</t>
  </si>
  <si>
    <t>individual</t>
  </si>
  <si>
    <t>5 kW</t>
  </si>
  <si>
    <t>10 kW</t>
  </si>
  <si>
    <t>15 kW</t>
  </si>
  <si>
    <t>panel</t>
  </si>
  <si>
    <t>bateria</t>
  </si>
  <si>
    <t>controlador</t>
  </si>
  <si>
    <t>inversor</t>
  </si>
  <si>
    <t>CRONOGRAMA Y FLUJO DE FONDOS</t>
  </si>
  <si>
    <t>ACTIVIDAD</t>
  </si>
  <si>
    <t>CANT.</t>
  </si>
  <si>
    <t>V. SUBTOTAL</t>
  </si>
  <si>
    <t>MES 1</t>
  </si>
  <si>
    <t>MES 2</t>
  </si>
  <si>
    <t>MES 3</t>
  </si>
  <si>
    <t>MES 4</t>
  </si>
  <si>
    <t>MES 5</t>
  </si>
  <si>
    <t>MES 6</t>
  </si>
  <si>
    <t>MES 7</t>
  </si>
  <si>
    <t>MES 8</t>
  </si>
  <si>
    <t>MES 9</t>
  </si>
  <si>
    <t>MES 10</t>
  </si>
  <si>
    <t>MES 11</t>
  </si>
  <si>
    <t>MES 12</t>
  </si>
  <si>
    <t>MES 13</t>
  </si>
  <si>
    <t>MES 14</t>
  </si>
  <si>
    <t>MES 15</t>
  </si>
  <si>
    <t>MES 16</t>
  </si>
  <si>
    <t>MES 17</t>
  </si>
  <si>
    <t>MES 18</t>
  </si>
  <si>
    <t>MES 19</t>
  </si>
  <si>
    <t>MES 20</t>
  </si>
  <si>
    <t>ETAPA PRECONTRACTUAL</t>
  </si>
  <si>
    <t>S 1 A S 4</t>
  </si>
  <si>
    <t>S 5 A S 8</t>
  </si>
  <si>
    <t>S 9 A S 12</t>
  </si>
  <si>
    <t>S 13 A S 16</t>
  </si>
  <si>
    <t>S 17 A S 20</t>
  </si>
  <si>
    <t>S 21 A S 22</t>
  </si>
  <si>
    <t>S 23 A S 24</t>
  </si>
  <si>
    <t>S 29</t>
  </si>
  <si>
    <t>S 30</t>
  </si>
  <si>
    <t>S 31</t>
  </si>
  <si>
    <t>S 32</t>
  </si>
  <si>
    <t>S 33</t>
  </si>
  <si>
    <t>S 34</t>
  </si>
  <si>
    <t>S 35</t>
  </si>
  <si>
    <t>S 36</t>
  </si>
  <si>
    <t>S 37</t>
  </si>
  <si>
    <t>S 38</t>
  </si>
  <si>
    <t>S 39</t>
  </si>
  <si>
    <t>S 40</t>
  </si>
  <si>
    <t>S 41</t>
  </si>
  <si>
    <t>S 42</t>
  </si>
  <si>
    <t>S 43</t>
  </si>
  <si>
    <t>S 44</t>
  </si>
  <si>
    <t>S 45</t>
  </si>
  <si>
    <t>S 46</t>
  </si>
  <si>
    <t>S 47</t>
  </si>
  <si>
    <t>S 48</t>
  </si>
  <si>
    <t>S 49</t>
  </si>
  <si>
    <t>S 50</t>
  </si>
  <si>
    <t>S 51</t>
  </si>
  <si>
    <t>S 52</t>
  </si>
  <si>
    <t>S 53</t>
  </si>
  <si>
    <t>S 54</t>
  </si>
  <si>
    <t>S 55</t>
  </si>
  <si>
    <t>S 56</t>
  </si>
  <si>
    <t>S 57</t>
  </si>
  <si>
    <t>S 58</t>
  </si>
  <si>
    <t>S 59</t>
  </si>
  <si>
    <t>S 60</t>
  </si>
  <si>
    <t>S 61</t>
  </si>
  <si>
    <t>S 62</t>
  </si>
  <si>
    <t>S 63</t>
  </si>
  <si>
    <t>S 64</t>
  </si>
  <si>
    <t>S 65 A S 68</t>
  </si>
  <si>
    <t>S 69 A S 72</t>
  </si>
  <si>
    <t>S 73 A S 76</t>
  </si>
  <si>
    <t>S 77 A S 80</t>
  </si>
  <si>
    <t>S 81 A S 84</t>
  </si>
  <si>
    <t>Constitución de Patrimonio Autonomo</t>
  </si>
  <si>
    <t>Contratación de Gerencia</t>
  </si>
  <si>
    <t>Contratación de Interventoría</t>
  </si>
  <si>
    <t>Contratación de Ejecutor</t>
  </si>
  <si>
    <t>ETAPA EJECUCIÓN</t>
  </si>
  <si>
    <t>und</t>
  </si>
  <si>
    <t>ADQUISICIÓN Y LEGALIAZCIÓN IVA EN UPME</t>
  </si>
  <si>
    <t>Adquisición de equipos</t>
  </si>
  <si>
    <t>Transito de equipos</t>
  </si>
  <si>
    <t>Legalización de equipos</t>
  </si>
  <si>
    <t>ETAPA DE LIQUIDACION</t>
  </si>
  <si>
    <t>Emitir y firmar las Actas de recibo de obras, Actas de entrega de activos al prestador del AOM.</t>
  </si>
  <si>
    <t>dia</t>
  </si>
  <si>
    <t>Entrega de infraestructura, recopilación de documentación y liquidación del contrato de obra</t>
  </si>
  <si>
    <t>Liquidación contrato de interventoría</t>
  </si>
  <si>
    <t>Certificado de cierre de saldos y entrega ENC</t>
  </si>
  <si>
    <t xml:space="preserve">SUBTOTAL COSTOS DIRECTOS </t>
  </si>
  <si>
    <t>SUBTOTAL COSTOS INDIRECTOS</t>
  </si>
  <si>
    <t>SUBTOTAL 1 COSTOS DIRECTOS + INDIRECTOS</t>
  </si>
  <si>
    <t>COSTO TOTAL PROYECTO</t>
  </si>
  <si>
    <t xml:space="preserve">% PROGRAMADO </t>
  </si>
  <si>
    <t>% ACUMULADO PROGRAMADO</t>
  </si>
  <si>
    <t>PRESUPUESTO DEL PROYECTO</t>
  </si>
  <si>
    <t>DESCRIPCION</t>
  </si>
  <si>
    <t>VALOR UNITARIO</t>
  </si>
  <si>
    <t>VALOR PARCIAL</t>
  </si>
  <si>
    <t>EQ. &amp; HERRAM.</t>
  </si>
  <si>
    <t>TRANSPORTE</t>
  </si>
  <si>
    <t>M.O. CALIFICADA</t>
  </si>
  <si>
    <t>M.O. NO CALIFICADA</t>
  </si>
  <si>
    <t>VR. UNITARIO</t>
  </si>
  <si>
    <t>VR. PARCIAL</t>
  </si>
  <si>
    <t>REALIZAR REPLANTEO DE OBRA</t>
  </si>
  <si>
    <t>IMPLEMENTAR SISTEMA INDIVIDUAL SOLAR FOTOVOLTAICO</t>
  </si>
  <si>
    <t>Sistema de generación de 2010 Wp</t>
  </si>
  <si>
    <t>Estructura de soporte para 3 paneles solares</t>
  </si>
  <si>
    <t>Sistema de control, medición y monitoreo</t>
  </si>
  <si>
    <t>IMPLEMENTAR SSFV MICRORED 5 KW</t>
  </si>
  <si>
    <t>3.1</t>
  </si>
  <si>
    <t>Sistema de generación de 10720 Wp</t>
  </si>
  <si>
    <t>3.2</t>
  </si>
  <si>
    <t>Estructura de soporte y obras civiles para 16 paneles solares</t>
  </si>
  <si>
    <t>3.3</t>
  </si>
  <si>
    <t>3.4</t>
  </si>
  <si>
    <t>Acometida, SPT y monitoreo domiciliario</t>
  </si>
  <si>
    <t>3.5</t>
  </si>
  <si>
    <t>IMPLEMENTAR SSFV MICRORED 10 KW</t>
  </si>
  <si>
    <t>4.1</t>
  </si>
  <si>
    <t>Sistema de generación de 21440 Wp</t>
  </si>
  <si>
    <t>4.2</t>
  </si>
  <si>
    <t>Estructura de soporte y obras civiles para 32 paneles solares</t>
  </si>
  <si>
    <t>4.3</t>
  </si>
  <si>
    <t>4.4</t>
  </si>
  <si>
    <t>4.5</t>
  </si>
  <si>
    <t>IMPLEMENTAR SSFV MICRORED 15 KW</t>
  </si>
  <si>
    <t>5.1</t>
  </si>
  <si>
    <t>Sistema de generación de 32160 Wp</t>
  </si>
  <si>
    <t>5.2</t>
  </si>
  <si>
    <t>Estructura de soporte y obras civiles para 48 paneles solares</t>
  </si>
  <si>
    <t>5.3</t>
  </si>
  <si>
    <t>5.4</t>
  </si>
  <si>
    <t>5.5</t>
  </si>
  <si>
    <t>IMPLEMENTAR INSTALACIONES INTERNAS EN AC</t>
  </si>
  <si>
    <t>TOTAL COSTOS DIRECTOS</t>
  </si>
  <si>
    <t>ADMINISTRACIÓN</t>
  </si>
  <si>
    <t>IMPREVISTOS</t>
  </si>
  <si>
    <t>UTILIDAD</t>
  </si>
  <si>
    <t>TOTAL COSTOS INDIRECTOS (AIU)</t>
  </si>
  <si>
    <t>VALOR CONSTRUCCIÓN (COSTOS DIRECTOS +  COSTOS INDIRECTOS)</t>
  </si>
  <si>
    <t>INTERVENTORÍA INTEGRAL (% CON RESPECTO A LOS COSTOS DIRECTOS + COSTOS INDIRECTOS)</t>
  </si>
  <si>
    <t>RETIE(% CON RESPECTO A LOS CD ELÉCTRICOS DE NANO Y MICRO REDES)</t>
  </si>
  <si>
    <t>REALIZAR GERENCIA DE PROYECTO (% CON RESPECTO A LOS COSTOS DIRECTOS + COSTOS INDIRECTOS)</t>
  </si>
  <si>
    <t>REALIZAR FIDUCIA (% CON RESPECTO A LOS COSTOS DIRECTOS + COSTOS INDIRECTOS)</t>
  </si>
  <si>
    <t>RUBRO CONTINGENTE (% CON RESPECTO A LOS COSTOS DIRECTOS)</t>
  </si>
  <si>
    <t>Componente Social (% CON RESPECTO A LOS COSTOS DIRECTOS)</t>
  </si>
  <si>
    <t>POLIZA CONTRIBUYENTE (% CON RESPECTO A LOS COSTOS Cd + Ci + I + Gp)</t>
  </si>
  <si>
    <t>PMA (% CON RESPECTO A LOS COSTOS DIRECTOS)</t>
  </si>
  <si>
    <t>Gravamen Movimientos Financieros (GMF 4X1000)</t>
  </si>
  <si>
    <t>VALOR TOTAL PROYECTO</t>
  </si>
  <si>
    <t>No. USUARIOS</t>
  </si>
  <si>
    <t>COSTO POR USUARIO</t>
  </si>
  <si>
    <t>materiales solucion individual</t>
  </si>
  <si>
    <t>SISFV</t>
  </si>
  <si>
    <t>VR PARCIAL V. 15-04-24</t>
  </si>
  <si>
    <t>VARIACIÓN TELECOM</t>
  </si>
  <si>
    <t>CONCENTRADO</t>
  </si>
  <si>
    <t>INCREMENTO RESPETO A SSIFV</t>
  </si>
  <si>
    <t>BALANCE PRESUPUESTO</t>
  </si>
  <si>
    <t>PPTO OBJETIVO</t>
  </si>
  <si>
    <t>DIFERENCIA</t>
  </si>
  <si>
    <t>COSTO RESTANTE POR SISTEMA PARA OBRAS CIVILES</t>
  </si>
  <si>
    <t>COSTO ACTUAL POR SISTEMA PARA OBRAS CIVILES</t>
  </si>
  <si>
    <t>COSTO EXTRA DISPONIBLE POR SISTEMA</t>
  </si>
  <si>
    <t>% INCREMENTO</t>
  </si>
  <si>
    <t>Nota: Según la Resolución 40117 de 2024 del RETIE, las instalaciones eléctricas con una capacidad instalada mayor o igual a 10 kVA requieren certificación RETIE plena. Sin embargo, aquellas con capacidad menor a 10 kVA no requieren certificarse conforme a la normativa vigente, por tal razón se contemplo la certificación RETIE para los SSFV de 10KW y 15 KW por tener una potencia instalada mayor a 10 KWp.</t>
  </si>
  <si>
    <t xml:space="preserve">Elaboro: Carlos Orlando Cardenas 
                 Ingeniero Electromecanico
                 BY 250-33430
                 Cel: 3125850562              </t>
  </si>
  <si>
    <t>PRESUPUESTO SISTEMA INDIVIDUAL SOLAR FOTOVOLTAICO 2010 Wp, BATERÍA 200 Ah</t>
  </si>
  <si>
    <t>Suministro e instalación de módulos solares fotovoltaicos monocristalinos 2010 Wp (3 paneles de 670 Wp) cada uno con las siguientes características: ƞ=21.57%+3%. Condiciones STC. Garantía de producción a 12 años del 90% y del 80% a 25 años, temperatura de trabajo de -40ºC+85ºC, IEC61205, con certificación de Conformidad de Producto Internacional.</t>
  </si>
  <si>
    <t>2.1.2</t>
  </si>
  <si>
    <t>Acometida principal eléctrica subterránea desde los módulos solares hasta el gabinete de diseño especial. Incluye: Hasta 10 m de tubería PVC de 3/4" inmersa dentro del tubo de soporte del panel y subterránea, hasta 1.5 m de tubería IMC de 3/4" a la vista hasta llegar al gabinete, 2 curvas PVC de 3/4", 2 terminales para tubo IMC de 3/4", 2 curvas galvanizada IMC de 3/4" y hasta 12 m de cable: 1x10 AWG Positivo + 1x10 AWG Negativo + 1x8 AWG Tierra y accesorios de conexión.</t>
  </si>
  <si>
    <t>2.1.3</t>
  </si>
  <si>
    <t xml:space="preserve">Suministro e instalación de gabinete autosoportado en lámina galvanizada de 598 mm de ancho x 840 mm de alto x 460 mm de fondo en lámina CR calibre 18, con pintura electrostática gris rall 70-32,  accesorios, conexionado, cableado, canalización, fijación y protecciones eléctricas incluye DPS de BT, para el alojamiento de equipos y accesorios, tipo interior.
Todas las puertas deberán abrir únicamente en sentido lateral mínimo 120° respecto a la sección horizontal superior del armario, deben poseer una agarradera que facilite su accionamiento y las bisagras deben ser galvanizadas, cromadas, niqueladas o en acero inoxidable, bronce o aluminio suficientemente fuertes para asegurar rígidamente la puerta de la estructura e instaladas sin que pierdan el recubrimiento protector IP 33.
El encerramiento metálico deberá estar debidamente marcado y cumplir con los requerimientos mínimos de seguridad definidos por el RETIE numeral 20.23. </t>
  </si>
  <si>
    <t>2.1.4</t>
  </si>
  <si>
    <t>Suministro e instalación de controlador de carga, 50 A, 48 VDC MPPT Solar; eficiencia mínima del 98%, apto para cargar baterías tipo LiFePO4.  Con todas las protecciones eléctricas necesarias en caso de sobrecarga, cortocircuito, advertencia de alto voltaje</t>
  </si>
  <si>
    <t>2.1.5</t>
  </si>
  <si>
    <t>Suministro e Instalación de batería de ion - litio tipo fosfato de hierro (LiFePO4) de ciclo profundo de 200 Ah - 51,2 VDC - 6.000 ciclos hasta el 80% DOD, libre de mantenimiento. Con BMS y puertos de comunicaciones, vida útil mín de 15 años y 10 años de garantia.</t>
  </si>
  <si>
    <t>2.1.6</t>
  </si>
  <si>
    <t>Suministro e instalación de inversor de onda pura de baja frecuencia, potencia de 2000 VA , - 20 a 50 °C, 21 - 48 VDC input - 120 VAC output, f=60 Hz, con protección y desconexión por bajo voltaje en la batería, protección contra sobrecarga y transformador de salida . Eficiencia mayor al 90%</t>
  </si>
  <si>
    <t>2.1.7</t>
  </si>
  <si>
    <t>Sistema de puesta a tierra con una varilla de cobre 5/8" x 2,4m, bajante en cable de cobre desnudo o verde Nº 6, con soldadura exotérmica y tratamiento de suelos, caja de inspección de 30 x 30 cm.</t>
  </si>
  <si>
    <t>2.1.8</t>
  </si>
  <si>
    <t>Acometida parcial eléctrica desde el equipo de medida hasta el tablero de distribución. Incluye: Hasta 2 m de tubería EMT de 3/4" y hasta 3 m de cable THHN: 1x8 AWG Fase + 1x8 AWG Neutro + 1x8 AWG Tierra.</t>
  </si>
  <si>
    <t>Suministro e instalación de poste reforzado en fibra de vidrio de h=4m, 510kgf. contiene: tapa en la cima y base, soporte metálico galvanizado fijo para 3 paneles solares y cimentación diámetro 0,55m, h=1,15m (incluye 5 cm solado).</t>
  </si>
  <si>
    <t>Excavación de zanja para acometida principal en zona verde, de 20 cm de ancho x 60 cm de profundidad y hasta 6 m de longitud. Se utilizará para relleno, el mismo material excavado.</t>
  </si>
  <si>
    <t xml:space="preserve">Medidor de energía monofásico bifilar 5 (80) A, 120 V, calibrado. Incluye sistema de  gestión </t>
  </si>
  <si>
    <t>PRESUPUESTO SSFV MICRORED 5 KW</t>
  </si>
  <si>
    <t>3.1.1</t>
  </si>
  <si>
    <t>Suministro, transporte e instalación de Panel Solar de 670 W Mono PERC incluido en TIER-1 incluye, cable solar XLPE 6mm2, par de conectores MC4 y caja de conexión IP68 con diodos de paso con las siguientes características: ƞ ≥ 20%; tolerancia +3% condiciones STC. Garantía de producción a 12 años ≥ 90% y ≥ 80% a 25 años, temperatura de trabajo de -40ºC +80ºC, IEC61205. Certificación de conformidad de producto RETIE</t>
  </si>
  <si>
    <t>3.1.2</t>
  </si>
  <si>
    <t>Suministro, transporte e instalación de acometida solar para 4 lazos fotovoltaicos. Incluye cable bajante de los lazos fotovoltaicos Cu solar FV calibre 10 AWG hasta la caja combinadora FV y tubería LiquidTight para ingreso al envolvente, con accesorios.</t>
  </si>
  <si>
    <t>3.1.3</t>
  </si>
  <si>
    <t>Suministro, transporte e instalación de caja combinadora FV. Incluye gabinete eléctrico con cumplimiento RETIE y tapa traslucida, de dimensiones 630x530x180 mm; protecciones, barrajes y DPS Tipo 1+2.</t>
  </si>
  <si>
    <t>3.1.4</t>
  </si>
  <si>
    <t>Suministro, transporte e instalación de controlador MPPT 250/70A, tensiones de trabajo a 48V, con bluetooth y VE.CAN incorporado para configuración y monitorización de historico, eficiencia de conversión 99%, función de trabajo en paralelo. Incluye cableado de entrada en calibre 10 AWG, cableado de salida en 2 AWG y cableado de comnunicaciones VE.CAN</t>
  </si>
  <si>
    <t>3.1.5</t>
  </si>
  <si>
    <t>Suministro, transporte e instalación de tablero principal en DC con cumplimiento RETIE, dimensiones 820x620x300, incluye barrajes de 200 A, protecciones de 80, 100 y 160 A 500VDC y cableado hacia arreglos de baterías e inversores.</t>
  </si>
  <si>
    <t>3.1.6</t>
  </si>
  <si>
    <t>Suministro, transporte e instalación de banco de baterías de 24576 Wh a 51,2 V. Incluye rack de baterías, cables de interconexión y conexión al sistema de moniteoreo mediante protocolo CAN-BUS.las baterías de ion - litio tipo fosfato de hierro (LiFePO4) de ciclo profundo de 120 Ah - 51,2 VDC -  6.000 ciclos hasta el 80% DOD, libre de mantenimiento. Con BMS, puertos de comunicaciones,  vida útil mín de 15 años y 10 años de garantia.</t>
  </si>
  <si>
    <t>3.1.7</t>
  </si>
  <si>
    <t>Suministro e instalación de inversor de onda pura de 5000 VA 120V, FP 0.8, eficiencia del 94% y función de trabajo en paralelo. Incluye cable de salida en calibre 6 AWG</t>
  </si>
  <si>
    <t>3.1.8</t>
  </si>
  <si>
    <t>Suministro, transporte e instalación de lonchera eléctrica en AC con cumplimiento retie para interruptor termomagnético monopolar de 50 A. Incluye interruptor termomagnético.</t>
  </si>
  <si>
    <t>3.1.9</t>
  </si>
  <si>
    <t>Suministro, transporte e instalación de autotransformador tipo SPLIT de 5 kVA 120/240 V</t>
  </si>
  <si>
    <t>3.1.10</t>
  </si>
  <si>
    <t>Suministro, transporte e instalación de tablero de distribución en AC, para 6 circuitos. Incluye barrajes de 80 A para sistema monofásico trifilar, DPS tipo 2, protección de entrada de 50 A 120 VAC y protecciones de circuitos de 20 A y 16 A.</t>
  </si>
  <si>
    <t>3.1.11</t>
  </si>
  <si>
    <t>Suministro, transporte e instalación de canalizaciones internas del envolvente. Incluye canaleta de 60x200 mm y tubería conduit PVC SCH 40.</t>
  </si>
  <si>
    <t>GB</t>
  </si>
  <si>
    <t>3.1.12</t>
  </si>
  <si>
    <t>Suministro, transporte e instalación de sistemas auxiliares y de emergencia</t>
  </si>
  <si>
    <t>3.1.13</t>
  </si>
  <si>
    <t>Suministro, transporte e instalación de sistema puesta a tierra con 4 varillas de cobre 5/8" x 2,4m bajante en cable de cobre desnudo calibre 2 AWG con soldadura exotérmica. Incluye barraje de puesta a tierra principal, cableado de equipotenciaciación de equipos y estructuras, bajante y electrodos</t>
  </si>
  <si>
    <t>3.2.1</t>
  </si>
  <si>
    <t>Localización y replanteo civil</t>
  </si>
  <si>
    <t>m2</t>
  </si>
  <si>
    <t>3.2.2</t>
  </si>
  <si>
    <t>Desmonte y limpieza del terreno (Incluye retiro de material sobrante)</t>
  </si>
  <si>
    <t>3.2.3</t>
  </si>
  <si>
    <t>Excavación manual (incluye retiro)</t>
  </si>
  <si>
    <t>m3</t>
  </si>
  <si>
    <t>3.2.4</t>
  </si>
  <si>
    <t>Relleno y compactación con material seleccionado</t>
  </si>
  <si>
    <t>3.2.5</t>
  </si>
  <si>
    <t>Cerramiento en malla eslabonada, tubo metálico galvanizado con brazo y tres filas de alambre puas,  incluye portón de 3 m (2 hojas), platinas y ángulos, excavación, viga de amarre en concreto reforzado de 21 MPa y concreto ciclópeo</t>
  </si>
  <si>
    <t>m</t>
  </si>
  <si>
    <t>3.2.6</t>
  </si>
  <si>
    <t>Concreto simple resistencia 2000 psi - Mezcla in situ  para solado de cimentación</t>
  </si>
  <si>
    <t>3.2.7</t>
  </si>
  <si>
    <t xml:space="preserve">Concreto simple resistencia 3000 psi - Mezcla in situ  para cimentación de envolvente, incluye formaleta de madera </t>
  </si>
  <si>
    <t>3.2.8</t>
  </si>
  <si>
    <t>Acero de refuerzo Fy 4200 kg/cm2, para cimentación de envolvente</t>
  </si>
  <si>
    <t>kg</t>
  </si>
  <si>
    <t>3.2.9</t>
  </si>
  <si>
    <t>Suministro, transporte e instalación de envolvente para equipos (B=3.0 m, L=4.0 m, H=2.3-2.85 m),  en estructura interlocking de WPC, puerta de acceso metálica con pintura electrostática, teja termo acústica en PVC acanalada blanca por ambas caras  2.5 mm de espesor con caballetes.</t>
  </si>
  <si>
    <t>3.2.10</t>
  </si>
  <si>
    <t>Suministro, transporte e instalación de estructura en acero galvanizado para soporte de paneles según diseño. Incluye cortes, perforaciones, conexiones, unión a envolente, elementos de sujeción de paneles en aluminio 6005-T6 y pintura anticorrosiva.</t>
  </si>
  <si>
    <t>3.3.1</t>
  </si>
  <si>
    <t xml:space="preserve">Medidor de energía AMI monofásico bifilar 5 (80) A, 120 V, calibrado. Incluye sistema de  gestión </t>
  </si>
  <si>
    <t>3.4.1</t>
  </si>
  <si>
    <t>Suministro, transporte e instalación de acometida domiciliaria subterranea desde caja de conexiones hasta medidor domiciliario, en cable de aluminio antifraude 2x No 6 AWG y tubería PVC 3/4"</t>
  </si>
  <si>
    <t>3.4.2</t>
  </si>
  <si>
    <t>Suministro, transporte e instalación de sistema puesta a tierra con varilla de cobre 5/8" x 2.4m y bajante en cable de cobre desnudo No 8 AWG</t>
  </si>
  <si>
    <t>3.5.1</t>
  </si>
  <si>
    <t>m³</t>
  </si>
  <si>
    <t>3.5.2</t>
  </si>
  <si>
    <t>3.5.3</t>
  </si>
  <si>
    <t>3.5.4</t>
  </si>
  <si>
    <t>Suministro, transporte e instalación de canalización subterranea en tuberías tipo PVC de 2x2'' con acometida en cable #2 y #2  THWN-2 AWG (entre contenedor y usuarios- 1 tubo de reserva). Incluye poliuretano expansivo y soldadura de PVC</t>
  </si>
  <si>
    <t>ML</t>
  </si>
  <si>
    <t>3.5.5</t>
  </si>
  <si>
    <t>3.5.6</t>
  </si>
  <si>
    <t>Suministro e instalación de caja de inspección de BT, Norma CS274-1</t>
  </si>
  <si>
    <t>PRESUPUESTO SSFV MICRORED 10 KW</t>
  </si>
  <si>
    <t>4.1.1</t>
  </si>
  <si>
    <t>4.1.2</t>
  </si>
  <si>
    <t>Suministro, transporte e instalación de acometida solar para 8 lazos fotovoltaicos. Incluye cable bajante de los lazos fotovoltaicos Cu solar FV calibre 10 AWG hasta la caja combinadora FV y tubería LiquidTight para ingreso al envolvente, con accesorios.</t>
  </si>
  <si>
    <t>4.1.3</t>
  </si>
  <si>
    <t>Suministro, transporte e instalación de caja combinadora FV. Incluye gabinete eléctrico con cumplimiento RETIE y tapa traslucida, de dimensiones 630x530x180 mm; protecciones, barrajes y DPS Tipo 1+ 2.</t>
  </si>
  <si>
    <t>4.1.4</t>
  </si>
  <si>
    <t>4.1.5</t>
  </si>
  <si>
    <t>Suministro, transporte e instalación de tablero principal en DC con cumplimiento RETIE, dimensiones 820x620x300, incluye barrajes de 500 A, protecciones de 80, 100 y 320 A 500VDC y cableado hacia arreglos de baterías e inversores.</t>
  </si>
  <si>
    <t>4.1.6</t>
  </si>
  <si>
    <t>Suministro, transporte e instalación de banco de baterías de 49152 Wh a 51,2 V. Incluye rack de baterías, cables de interconexión y conexión al sistema de moniteoreo mediante protocolo CAN-BUS. las baterías de ion - litio tipo fosfato de hierro (LiFePO4) de ciclo profundo de 120 Ah - 51,2 VDC -  6.000 ciclos hasta el 80% DOD, libre de mantenimiento. Con BMS, puertos de comunicaciones,  vida útil mín de 15 años y 10 años de garantia.</t>
  </si>
  <si>
    <t>4.1.7</t>
  </si>
  <si>
    <t>4.1.8</t>
  </si>
  <si>
    <t>Suministro, transporte e instalación de tablero de inversores en AC con cumplimiento retie, dimensiones 420x320x200 mm, incluye barrajes de 200 A, protecciones de 50 A y 100 A 120 Vac, y cableado de salida a autotransformador</t>
  </si>
  <si>
    <t>4.1.9</t>
  </si>
  <si>
    <t>Suministro, transporte e instalación de autotransformador tipo SPLIT de 10 kVA 120/240 V</t>
  </si>
  <si>
    <t>4.1.10</t>
  </si>
  <si>
    <t>Suministro, transporte e instalación de tablero de distribución en AC, para 6 circuitos. Incluye barrajes de 100 A para sistema trifásico tetrafilar, DPS tipo 2, protección de entrada de 50 A 120 VAC y protecciones de circuitos de 40 A y 16 A.</t>
  </si>
  <si>
    <t>4.1.11</t>
  </si>
  <si>
    <t>Suministro, transporte e instalación de canalizaciones internas del envolvente. Incluye canaleta de 60x300 mm y tubería conduit PVC SCH 40.</t>
  </si>
  <si>
    <t>4.1.12</t>
  </si>
  <si>
    <t>4.1.13</t>
  </si>
  <si>
    <t>Suministro, transporte e instalación de sistema puesta a tierra con 4 varillas de cobre 5/8" x 2,4m bajante en cable de cobre desnudo calibre 2 AWG con soldadura exotérmica. Incluye barraje de puesta a tierra principal, suelo mejorado, cableado de equipotenciaciación de equipos y estructuras, bajante y electrodos</t>
  </si>
  <si>
    <t>4.2.1</t>
  </si>
  <si>
    <t>4.2.2</t>
  </si>
  <si>
    <t>4.2.3</t>
  </si>
  <si>
    <t>4.2.4</t>
  </si>
  <si>
    <t>4.2.5</t>
  </si>
  <si>
    <t>4.2.6</t>
  </si>
  <si>
    <t>4.2.7</t>
  </si>
  <si>
    <t>4.2.8</t>
  </si>
  <si>
    <t>4.2.9</t>
  </si>
  <si>
    <t>4.2.10</t>
  </si>
  <si>
    <t>4.3.1</t>
  </si>
  <si>
    <t>4.4.1</t>
  </si>
  <si>
    <t>4.4.2</t>
  </si>
  <si>
    <t>4.5.1</t>
  </si>
  <si>
    <t>4.5.2</t>
  </si>
  <si>
    <t>4.5.3</t>
  </si>
  <si>
    <t>4.5.4</t>
  </si>
  <si>
    <t>Suministro, transporte e instalación de canalización subterranea en tuberías tipo PVC de 2x2'' con acometida en cable #1/0 y #2  THWN-2 AWG (entre contenedor y usuarios- 1 tubo de reserva, calibre acorde a regulación de tensión). Incluye poliuretano expansivo y soldadura de PVC</t>
  </si>
  <si>
    <t>4.5.5</t>
  </si>
  <si>
    <t>4.5.6</t>
  </si>
  <si>
    <t>PRESUPUESTO SSFV MICRORED 15 KW</t>
  </si>
  <si>
    <t>Suministro, transporte e instalación de acometida solar para 12 lazos fotovoltaicos. Incluye cable bajante de los lazos fotovoltaicos Cu solar FV calibre 10 AWG hasta la caja combinadora FV y tubería LiquidTight para ingreso al envolvente, con accesorios.</t>
  </si>
  <si>
    <t>Suministro, transporte e instalación de caja combinadora FV. Incluye gabinete eléctrico con cumplimiento RETIE y tapa traslucida, de dimensiones 630x530x180 mm; protecciones, barrajes y DPS Tipo 1 +2.</t>
  </si>
  <si>
    <t>Suministro, transporte e instalación de tablero principal en DC con cumplimiento RETIE, dimensiones 820x620x300, incluye barrajes de 500 A, protecciones de 80, 100 y 630 A 500VDC y cableado hacia arreglos de baterías e inversores.</t>
  </si>
  <si>
    <t>Suministro, transporte e instalación de banco de baterías de 73728 Wh a 51,2 V. Incluye rack de baterías, cables de interconexión y conexión al sistema de moniteoreo mediante protocolo CAN-BUS. las baterías de ion - litio tipo fosfato de hierro (LiFePO4) de ciclo profundo de 120 Ah - 51,2 VDC -  6.000 ciclos hasta el 80% DOD, libre de mantenimiento. Con BMS, puertos de comunicaciones,  vida útil mín de 15 años y 10 años de garantia.</t>
  </si>
  <si>
    <t>Suministro, transporte e instalación de tablero de inversores en AC con cumplimiento retie, dimensiones 420x320x200 mm, incluye barrajes de 200 A, protecciones de 50 A y 160 A 120 Vac, y cableado de salida a autotransformador</t>
  </si>
  <si>
    <t>Suministro, transporte e instalación de autotransformador trifásico 15 kVA, eficiencia 96%, Envolvente IP40, conexión Y/Y 120/208 V</t>
  </si>
  <si>
    <t>ITEM: 1</t>
  </si>
  <si>
    <t xml:space="preserve">  I.  MATERIALES</t>
  </si>
  <si>
    <t>SUBTOTAL:</t>
  </si>
  <si>
    <t xml:space="preserve"> II.  EQUIPO Y HERRAMIENTA</t>
  </si>
  <si>
    <t>Tarifa/día</t>
  </si>
  <si>
    <t>III.  TRANSPORTE</t>
  </si>
  <si>
    <t>Personas</t>
  </si>
  <si>
    <t xml:space="preserve">IV.  MANO DE OBRA </t>
  </si>
  <si>
    <t>Jornal</t>
  </si>
  <si>
    <t>Fac. Pres.</t>
  </si>
  <si>
    <t xml:space="preserve">TOTAL COSTO DIRECTO: </t>
  </si>
  <si>
    <t>UNIDAD:</t>
  </si>
  <si>
    <t>Peso</t>
  </si>
  <si>
    <t>Tipo</t>
  </si>
  <si>
    <t>.</t>
  </si>
  <si>
    <t>Tarifa / Kg</t>
  </si>
  <si>
    <t>KG</t>
  </si>
  <si>
    <t>Elaboro: Carlos Orlando Cardenas 
                 Ingeniero Electromecanico
                 BY 250-33430</t>
  </si>
  <si>
    <t>ANÁLISIS DE PRECIOS UNITARIOS</t>
  </si>
  <si>
    <t>Descripción:</t>
  </si>
  <si>
    <t>Vlr. Unitario</t>
  </si>
  <si>
    <t>I - Materiales</t>
  </si>
  <si>
    <t>Concreto (21 Mpa)</t>
  </si>
  <si>
    <t>Peso (kg)</t>
  </si>
  <si>
    <t>Peso Mezcla:</t>
  </si>
  <si>
    <t>Desperdicio 5%</t>
  </si>
  <si>
    <t>Acero de refuerzo estructural</t>
  </si>
  <si>
    <t>Tomado de: Manual del Constructor Cemex 2005</t>
  </si>
  <si>
    <t>Desperdicio 15%</t>
  </si>
  <si>
    <t xml:space="preserve">Estructura de soporte </t>
  </si>
  <si>
    <t>Subtotal I</t>
  </si>
  <si>
    <t>Subtotal I - Materiales</t>
  </si>
  <si>
    <t>II - Herramienta y Equipo</t>
  </si>
  <si>
    <t>Codigo</t>
  </si>
  <si>
    <t>UND</t>
  </si>
  <si>
    <t>Tarifa</t>
  </si>
  <si>
    <t>Herramienta Menor 8% Mano de obra</t>
  </si>
  <si>
    <t>Subtotal II</t>
  </si>
  <si>
    <t>Subtotal II - Herramientas y Equipos</t>
  </si>
  <si>
    <t>III- Mano de Obra</t>
  </si>
  <si>
    <t>Dedicacion</t>
  </si>
  <si>
    <t>Descripcion</t>
  </si>
  <si>
    <t>Salario día + prestaciones</t>
  </si>
  <si>
    <t>Oficial / Capataz</t>
  </si>
  <si>
    <t>Ayudante de obra Civil (2)</t>
  </si>
  <si>
    <t>Subtotal III</t>
  </si>
  <si>
    <t>Subtotal III - Mano de Obra</t>
  </si>
  <si>
    <t>IV - Transporte</t>
  </si>
  <si>
    <t>Subtotal IV</t>
  </si>
  <si>
    <t>Subtotal IV - Trasnporte</t>
  </si>
  <si>
    <t>Subtotal Costo directo</t>
  </si>
  <si>
    <t>Acero</t>
  </si>
  <si>
    <t>#varillas una direccion</t>
  </si>
  <si>
    <t>1/2''</t>
  </si>
  <si>
    <t>masa</t>
  </si>
  <si>
    <t>kg/m</t>
  </si>
  <si>
    <t>Longitud</t>
  </si>
  <si>
    <t># varilla</t>
  </si>
  <si>
    <t># varilla cortante</t>
  </si>
  <si>
    <t>Longitud total</t>
  </si>
  <si>
    <t>Peso actividad</t>
  </si>
  <si>
    <t>Densidad concreto</t>
  </si>
  <si>
    <t>kg/m3</t>
  </si>
  <si>
    <t>Concreto zapata</t>
  </si>
  <si>
    <t>estrucutra</t>
  </si>
  <si>
    <t>Acero estrcutral</t>
  </si>
  <si>
    <t>Hilo para albañileria en poliuretano</t>
  </si>
  <si>
    <t>Puntilla con cabeza 1"</t>
  </si>
  <si>
    <t>lb</t>
  </si>
  <si>
    <t>Estaca de madera h=0,50 - 0,60m A=4 25 cm</t>
  </si>
  <si>
    <t xml:space="preserve">UN </t>
  </si>
  <si>
    <t>Guadañadora</t>
  </si>
  <si>
    <t>hr</t>
  </si>
  <si>
    <t>Volqueta (6m3)</t>
  </si>
  <si>
    <t>rellenos</t>
  </si>
  <si>
    <t>cantidad</t>
  </si>
  <si>
    <t>cantidad relleno</t>
  </si>
  <si>
    <t>5 kw</t>
  </si>
  <si>
    <t xml:space="preserve">10 kw </t>
  </si>
  <si>
    <t>15 kw</t>
  </si>
  <si>
    <t>L(m)</t>
  </si>
  <si>
    <t>Rieles</t>
  </si>
  <si>
    <t>100x100x4 (kg/m)</t>
  </si>
  <si>
    <t>150x150x4 (kg/m)</t>
  </si>
  <si>
    <t>Suministro, transporte e instalación de instalación interna domiciliaria en AC, comprende los siguientes elementos:
- Tablero de distribución monofásico de cuatro circuitos.
- Dos (2) interruptores automáticos monopolares tipo enchufable de 20 A.
- Cuatro (4) salidas de alumbrado con interruptor con polo a tierra.
- Hasta 30 m de tubería PVC SCH 40 de 1/2" con accesorios.
- Hasta 100 m de cable de Cu THHN Nº 12 AWG
- Cuatro (4) salidas para tomacorrientes dobles con polo a tierra.</t>
  </si>
  <si>
    <t>Lista de precios Materiales Estudio de mercados IPSE</t>
  </si>
  <si>
    <t>CATEGORÍA</t>
  </si>
  <si>
    <t>Material</t>
  </si>
  <si>
    <t>Peso Kg</t>
  </si>
  <si>
    <t>Valor Unitario</t>
  </si>
  <si>
    <t>PRECIO BASE</t>
  </si>
  <si>
    <t>AJUSTE POSITIVO</t>
  </si>
  <si>
    <t>FUENTE</t>
  </si>
  <si>
    <t>Equipo principal</t>
  </si>
  <si>
    <t>Módulo solar fotovoltaico monocristalino tipo PERC "Half Cell" TIER 1 de 545 Wp</t>
  </si>
  <si>
    <t>Cableado y accesorios</t>
  </si>
  <si>
    <t>Cable Cu solar XLPE 4mm 1kV 120 °C</t>
  </si>
  <si>
    <t>Conector hembra o macho MC4, 100V para cable de 6mm2</t>
  </si>
  <si>
    <t>Cable Cu solar XLPE 6 AWG 1kV 120 °C</t>
  </si>
  <si>
    <t>https://autosolar.co/cable-unifilar/cable-unifilar-16-mm2-solar-pv-zz-f-negro</t>
  </si>
  <si>
    <t>Canalizaciones y accesorios</t>
  </si>
  <si>
    <t>Coraza flexible Liquid Tight 1 1/4"</t>
  </si>
  <si>
    <t>Terminal IMC 1/ 1/4"</t>
  </si>
  <si>
    <t>Abrazadera metálica doble ala 1 1/4"</t>
  </si>
  <si>
    <t>Tableros y gabinetes</t>
  </si>
  <si>
    <t>Gabinete eléctrico con tapa traslucida, doble fondo y cumplimiento RETIE, dimensiones 630x530x180 mm</t>
  </si>
  <si>
    <t>Barrajes</t>
  </si>
  <si>
    <t>Barraje de cobre tropicalizado de 210 A para 16 conexiones</t>
  </si>
  <si>
    <t>https://edelco.co/producto/platina-de-cobre-1-8-x-5-8-200a/</t>
  </si>
  <si>
    <t>Accesorios Eléctricos</t>
  </si>
  <si>
    <t>Riel DIN 35 mm x 7.5 mm</t>
  </si>
  <si>
    <t>Protecciones</t>
  </si>
  <si>
    <t xml:space="preserve">Interruptor termomagnético 50A 2P 500 VDC 6 Ka </t>
  </si>
  <si>
    <t>https://solphower.co/es/productos/solar-dc-breaker-projoy-2p-500v-16a</t>
  </si>
  <si>
    <t xml:space="preserve">Interruptor termomagnético 250A 2P 500 VDC 20 Ka </t>
  </si>
  <si>
    <t>https://solphower.co/es/productos/breaker-dc-projoy-2p-500v-125a-160a-200a-250a-ip66</t>
  </si>
  <si>
    <t>DPS</t>
  </si>
  <si>
    <t>DPS Tipo 2 500 Uc Up 2,5 kV 18-40 kA</t>
  </si>
  <si>
    <t>Cable de Aluminio Serie  8000 THHN. 2/0 AWG</t>
  </si>
  <si>
    <t>https://interelectricas.com.co/alambres-y-cables/1946-cable-de-aluminio-aislado-no-2-0-awg-serie-8000-thhn.html</t>
  </si>
  <si>
    <t>Controlador MPPT 250/70A, tensiones de trabajo a 24V-48V, con conexión bluetoot y VE.CAN para configuración y monitorización de historico, eficiencia de conversión 99%, función de trabajo en paralelo</t>
  </si>
  <si>
    <t>https://autosolar.co/controladores-de-carga-mppt/controlador-carga-smartsolar-mppt-25070-tr-victron-energy</t>
  </si>
  <si>
    <t>Cable de Aluminio Serie  8000 THHN. 8 AWG</t>
  </si>
  <si>
    <t>https://electroservimos.co/cables-electricos/3606-cbac8n-cable-thw-no-8-aluminiocobrizado-600v-75-gr-cert-retie-40-amps-andes-precio-por-metro.html</t>
  </si>
  <si>
    <t>Cable de Aluminio Serie  8000 THHN. 1/0 AWG</t>
  </si>
  <si>
    <t>https://interelectricas.com.co/alambres-y-cables/1939-cable-de-aluminio-aislado-no-1-0-awg-serie-8000-thhn.html</t>
  </si>
  <si>
    <t>Gabinete eléctrico metálico con revestimiento eléctrostatico de dimensiones 820x620x300 IP66 Doble fondo.</t>
  </si>
  <si>
    <t>https://edemco.co/producto/gabinete-atlantic-3-820-620-300-ip66</t>
  </si>
  <si>
    <t>Barraje de cobre tropicalizado de 650 A para 16 conexiones</t>
  </si>
  <si>
    <t xml:space="preserve">Interruptor termomagnético 100A 2P 500 VDC 6 Ka </t>
  </si>
  <si>
    <t>https://solphower.co/es/productos/breaker-dc-2p-100a-feeo</t>
  </si>
  <si>
    <t>Cable de Aluminio Serie  8000 THHN. 3/0 AWG</t>
  </si>
  <si>
    <t>https://interelectricas.com.co/alambres-y-cables/1950-cable-de-aluminio-aislado-no-3-0-awg-serie-8000-thhn.html</t>
  </si>
  <si>
    <t xml:space="preserve">Interruptor termomagnético 140A 2P 500 VDC 6 Ka </t>
  </si>
  <si>
    <t>https://solphower.co/es/productos/moulded-breaker-dc-2p-250a-feeo</t>
  </si>
  <si>
    <t xml:space="preserve">Interruptor termomagnético 200A 2P 500 VDC 6 Ka </t>
  </si>
  <si>
    <t>Borna para ponchar varios calibres y terminales</t>
  </si>
  <si>
    <t>https://interelectricas.com.co/articulos-electricos/1111-borna-no-6-awg-de-ponchar-estanada-en-cobre-barril-largo.html</t>
  </si>
  <si>
    <t>Tubo termoencogible. Distintos calibres, distintos colores</t>
  </si>
  <si>
    <t>https://www.homecenter.com.co/homecenter-co/product/519776/tubo-termoencogible-10mm-x-10cm/519776/</t>
  </si>
  <si>
    <t>Batería de LiFePO4 6.1 kWh - 48V - 120 Ah, 6000 ciclos con DOD 80%, incluido BMS</t>
  </si>
  <si>
    <t>Gabinete de Piso 40U (Ancho: 710 mm • Fondo: 990 mm)</t>
  </si>
  <si>
    <t xml:space="preserve">Cable Cu TWK 10 AWG </t>
  </si>
  <si>
    <t>https://edelco.co/producto/cable-cobre-vehiculo-8/</t>
  </si>
  <si>
    <t>Terminales para batería. Par</t>
  </si>
  <si>
    <t>JG</t>
  </si>
  <si>
    <t>https://autosolar.co/accesorios-de-baterias/cables-pylontech-lv-bateria-inversor</t>
  </si>
  <si>
    <t>Inversor 5kVA, voltaje de salida 230V/120V, con dos entradas CA y dos salidas CA, certificacion IEC 60335-1, IEC 60335-2 y IEC 62109-1</t>
  </si>
  <si>
    <t>Gabinete eléctrico metálico con cumplimiento RETIE, con revestimiento eléctrostatico de dimensiones 420x320x200 IP66 Doble fondo.</t>
  </si>
  <si>
    <t>https://edemco.co/producto/gabinete-atlantic-3-420-320-200-ip66</t>
  </si>
  <si>
    <t>Barraje de cobre tropicalizado de 110 A para 16 conexiones</t>
  </si>
  <si>
    <t>Interruptor termomagnético 30 A 1P 120/240 VAC 10kA</t>
  </si>
  <si>
    <t>https://interelectricas.com.co/breakers/1253-breaker-de-riel-monopolar-abb-1-x-32a-10ka.html</t>
  </si>
  <si>
    <t>Interruptor termomagnético 100 A 1P 120/240 VAC 10kA</t>
  </si>
  <si>
    <t>https://suneoenergy.com.co/breaker-acdc-siemens-100a-monopolar-125vdc</t>
  </si>
  <si>
    <t xml:space="preserve">Autotransformador tipo split 120/230AC, 100A </t>
  </si>
  <si>
    <t>Gabinete eléctrico metálico con cumplimiento RETIE, con revestimiento eléctrostatico de dimensiones 250x700x100 IP66 Doble fondo.</t>
  </si>
  <si>
    <t>Barraje de cobre tropicalizado de 250 A para 16 conexiones</t>
  </si>
  <si>
    <t>SPT</t>
  </si>
  <si>
    <t>Kit de barra de cobre para puesta tierra de 8 conectores con área transversal no menor a 21,14 mm2. Incluye aisladores y accesorios de sujeción</t>
  </si>
  <si>
    <t>Cable Cu THHN 16 AWG</t>
  </si>
  <si>
    <t>https://interelectricas.com.co/alambres-y-cables/2018-cable-de-cobre-encauchetado-2-x-16-awg-metro.html</t>
  </si>
  <si>
    <t>Interruptor termomagnético 200 A 2P 120/240 VAC 10kA</t>
  </si>
  <si>
    <t>https://electroriente.com.co/producto/totalizador-200a-50ka/</t>
  </si>
  <si>
    <t>Interruptor termomagnético 130 A 2P 120/240 VAC 10kA</t>
  </si>
  <si>
    <t>https://ingecomsas.com/producto/breaker-industrial-trifasico-ls-150a/</t>
  </si>
  <si>
    <t>Interruptor termomagnético 16 A 1P 120/240 VAC 10kA</t>
  </si>
  <si>
    <t>https://interelectricas.com.co/breakers/1241-breaker-de-riel-abb-monopolar-1-x-16a-10ka-ref-2cds251001r0164-.html</t>
  </si>
  <si>
    <t>Canaleta conduit de 60x300 mm</t>
  </si>
  <si>
    <t>https://interelectricas.com.co/redes-estructuradas/445-bandeja-rejiband-60-x-300-x-3mts-c8.html</t>
  </si>
  <si>
    <t>Tuberia conduit PVC SCH 40 1/4"</t>
  </si>
  <si>
    <t>https://interelectricas.com.co/26-tuberia-metalica-y-pvc?q=Categor%C3%ADas-Tuberia+PVC-Tuberia+SCH40</t>
  </si>
  <si>
    <t>Tuberia conduit PVC 2 1/2"</t>
  </si>
  <si>
    <t>https://interelectricas.com.co/tuberia-metalica-y-pvc/2347-tubo-ducto-pvc-db-de-3-x-3-mts.html</t>
  </si>
  <si>
    <t>Uniones, curvas y terminales PVC. Varios calibres</t>
  </si>
  <si>
    <t>https://interelectricas.com.co/26-tuberia-metalica-y-pvc?page=2</t>
  </si>
  <si>
    <t>Accesorios para fijación de canaleta (tornillería, pegante, chazos, etc)</t>
  </si>
  <si>
    <t>Conector recto coraza Liquid Tight 1 1/4"</t>
  </si>
  <si>
    <t>https://interelectricas.com.co/herrajes-electricos/1738-conector-coraza-liquid-recto-1-1-4-pulg-.html</t>
  </si>
  <si>
    <t>Union rápida para curvas canaleta conduit. Difertentes medidas</t>
  </si>
  <si>
    <t>Union con tornillo para canaleta (tipo perro)</t>
  </si>
  <si>
    <t>Union rápida para canaleta EDRN</t>
  </si>
  <si>
    <t>Desconectador de baterías 600 A</t>
  </si>
  <si>
    <t>https://autosolar.co/accesorios-de-baterias/desconectador-de-baterias-600a</t>
  </si>
  <si>
    <t>Monitoreo y control</t>
  </si>
  <si>
    <t>Equipo de monitorización compatible con inversor, controlador y batería, WiFi y/o Ethernet y bluetooth, con firmaware gratuito y plataforma abierta</t>
  </si>
  <si>
    <t>Modem satelital</t>
  </si>
  <si>
    <t>Cable UTP Cat5E</t>
  </si>
  <si>
    <t>https://www.homecenter.com.co/homecenter-co/product/659478/cable-utp-cat-5e-100-cobre/659478/</t>
  </si>
  <si>
    <t>Cable UTP Cat6</t>
  </si>
  <si>
    <t>https://www.homecenter.com.co/homecenter-co/product/659484/cable-utp-cat-6-100-cobre/659484/</t>
  </si>
  <si>
    <t>Conector RJ45</t>
  </si>
  <si>
    <t>Conector Patchcore RJ45 hembra</t>
  </si>
  <si>
    <t>Coraza flexible Liquid Tight 1/2"</t>
  </si>
  <si>
    <t>https://interelectricas.com.co/tuberia-metalica-y-pvc/2086-coraza-liquid-tight-tipo-americano-1-2-pulgadas-x-metro.html</t>
  </si>
  <si>
    <t>Conector recto coraza Liquid Tight 1/2"</t>
  </si>
  <si>
    <t>Caja de protección para albergue de equipos de monitoreo, con tapa frontal adecuada para instalación de pantalla de monitoreo</t>
  </si>
  <si>
    <t>Cable VE.Direct / VE.Can 1.8m</t>
  </si>
  <si>
    <t>Cable coaxial y antena para externa para interperie</t>
  </si>
  <si>
    <t>Otros</t>
  </si>
  <si>
    <t>Extintor</t>
  </si>
  <si>
    <t>Instalaciones internas</t>
  </si>
  <si>
    <t>Tomacorriente doble con polo a tierra</t>
  </si>
  <si>
    <t>Caja PVC 2" x 4"</t>
  </si>
  <si>
    <t>Cable de Aluminio Desnudo. 3/0 AWG</t>
  </si>
  <si>
    <t>Varilla de cobre 5/8 x 2.4 m</t>
  </si>
  <si>
    <t>Soldadura exotermina 90 gr</t>
  </si>
  <si>
    <t>Grapas de sujeción</t>
  </si>
  <si>
    <t>Terminal doble ojo #2 AWG</t>
  </si>
  <si>
    <t>https://interelectricas.com.co/articulos-electricos/1126-borna-no-3-0-awg-de-ponchar-estanada-en-cobre-barril-largo.html</t>
  </si>
  <si>
    <t>Caja de inspección 30x30 cm con tapa</t>
  </si>
  <si>
    <t>Kit de barra de cobre para puesta tierra de 10 conectores con área transversal no menor a 21,14 mm2. Incluye aisladores y accesorios de sujeción</t>
  </si>
  <si>
    <t>Cable de Aluminio Serie  8000 THHN. 2 AWG</t>
  </si>
  <si>
    <t>https://interelectricas.com.co/alambres-y-cables/1921-cable-de-aluminio-aislado-no-2-awg-serie-8000-thhn.html</t>
  </si>
  <si>
    <t>Cable de Aluminio Serie  8000 THHN. 4 AWG</t>
  </si>
  <si>
    <t>https://interelectricas.com.co/alambres-y-cables/1928-cable-de-aluminio-aislado-no-4-awg-serie-8000-thhn.html</t>
  </si>
  <si>
    <t>Cinta acero inoxidable 19 mm (3/4")</t>
  </si>
  <si>
    <t>Hebilla acero inoxidable para cinta 19 mm (3/4")</t>
  </si>
  <si>
    <t>Ojo de aluminio para acometida domiciliaria</t>
  </si>
  <si>
    <t>Pinza de anclaje acometida domiciliaria</t>
  </si>
  <si>
    <t>Perno 7/16" con chazo</t>
  </si>
  <si>
    <t>Abrazadera metálica galvanizada doble ala 3/4"</t>
  </si>
  <si>
    <t>Cable de aluminio antifraude (con neutro concéntrico) 2 x No. 6 AWG</t>
  </si>
  <si>
    <t>Tuberia conduit PVC tipo A 3/4"</t>
  </si>
  <si>
    <t>https://interelectricas.com.co/tuberia-metalica-y-pvc/2368-tubo-pvc-conduit-de-3-4-x-3-mts.html</t>
  </si>
  <si>
    <t>Tubería conduit PVC SCH 40 3/4"</t>
  </si>
  <si>
    <t>https://interelectricas.com.co/tuberia-metalica-y-pvc/338-tubo-conduit-plastimec-pvc-sch40-3-4-pulg-x-3-mt-gris.html</t>
  </si>
  <si>
    <t>Cable Cu Desnudo 8 AWG</t>
  </si>
  <si>
    <t>https://interelectricas.com.co/alambres-y-cables/2255-cable-de-cobre-desnudo-no-8-awg-metro.html</t>
  </si>
  <si>
    <t>Medidor de energía monofásico bifilar 5 (80) A, 120 V, calibrado y certificado</t>
  </si>
  <si>
    <t>Caja policarbonato para medidor monofásico prepago con cumplimiento RETIE</t>
  </si>
  <si>
    <t>Civil</t>
  </si>
  <si>
    <t>L</t>
  </si>
  <si>
    <t>Conduit pvc tipo A - 2"</t>
  </si>
  <si>
    <t>Soldadura PVC</t>
  </si>
  <si>
    <t>Curva PVC 2"</t>
  </si>
  <si>
    <t>Union PVC 2"</t>
  </si>
  <si>
    <t>Cinta amarilla</t>
  </si>
  <si>
    <t>Cinta roja</t>
  </si>
  <si>
    <t>Cable Al Multiplex Triplex 2x1/0 + 1/0 THWN</t>
  </si>
  <si>
    <t>Cable Al Multiplex Triplex 2x2 + 2 THWN</t>
  </si>
  <si>
    <t>Caja de inspección</t>
  </si>
  <si>
    <t>Caja de inspección de BT, Norma Codensa CS274-1. Incluye rejilla para drenaje, tubería de desagüe, sellantes, marco metálico en ángulo de (2 1/2" x 2 1/2" x 3/16") y tapa en concreto reforzado.</t>
  </si>
  <si>
    <t>Barraje Premoldeado Para Baja Tensión Sumergible 500A 6 Puertos</t>
  </si>
  <si>
    <t>Terminal PVC tipo A 2"</t>
  </si>
  <si>
    <t>Sellador elástico cortafuego de silicona</t>
  </si>
  <si>
    <t>Tablero de distribución 1Ø - 3H de 4 circuitos</t>
  </si>
  <si>
    <t>Interruptor termomagnético enchufable 1 x 20 A, 120 VAC - 10 KA</t>
  </si>
  <si>
    <t>Caja PVC 4" x 4" con tapa lisa</t>
  </si>
  <si>
    <t>Plafón de losa</t>
  </si>
  <si>
    <t>Interruptor sencillo</t>
  </si>
  <si>
    <t>Conector tipo resorte No 12 AWG</t>
  </si>
  <si>
    <t>Cable Cu THHN 12 AWG</t>
  </si>
  <si>
    <t>Tornillo metálico galvanizado 1/4" x 1" con arandela</t>
  </si>
  <si>
    <t>Caja PVC Octagonal</t>
  </si>
  <si>
    <t>Estación metereologica inalambrica con sensor de humedad, temperatura, velocidad de viento, irradiación solar, radiación UV, precipitación incluye pantalla de monitorización</t>
  </si>
  <si>
    <t>Tubo de acero 2" mástil de soporte</t>
  </si>
  <si>
    <t>Soporte riel chanel 2x4cm x3m</t>
  </si>
  <si>
    <t>Grapas riel chanel conduit EMT 2"</t>
  </si>
  <si>
    <t>Cable Cu solar XLPE 10 AWG 1kV 120 °C</t>
  </si>
  <si>
    <t>Cable Cu THHN 10 AWG</t>
  </si>
  <si>
    <t>https://interelectricas.com.co/alambres-y-cables/1388-cable-de-cobre-aislado-thhn-no-10-metro-color-rojo.html</t>
  </si>
  <si>
    <t>Uniones, curvas y terminales IMC. Varios calibres</t>
  </si>
  <si>
    <t>https://interelectricas.com.co/tuberia-metalica-y-pvc/905-curva-90deg-galvanizada-imc-de-3-4.html</t>
  </si>
  <si>
    <t>Tuberia conduit IMC 3/4"</t>
  </si>
  <si>
    <t>https://interelectricas.com.co/tuberia-metalica-y-pvc/2326-tubo-metalico-imc-de-3-4-pulgadas-x-3-mts-con-union.html</t>
  </si>
  <si>
    <t>Barra bornera tierra con soporte plástico riel din de 10 cm</t>
  </si>
  <si>
    <t>Barra de cobre 12x2x100 mm (incluye aisladores)</t>
  </si>
  <si>
    <t xml:space="preserve">Canaleta ranurada dexon 25 x 40 mm </t>
  </si>
  <si>
    <t>Cinta de amarre dexon 10 cm color blanco</t>
  </si>
  <si>
    <t>Gabinete metálico con puerta y chapa para equipos y conexiones DC/AC de 598 mm de ancho, 840 mm de alto, 460 cm de fondo (incluye doblefondo, angeos, diseño y fabricación a la medida de los componentes), con soporte interior para batería 48V/100Ah)</t>
  </si>
  <si>
    <t>Marcador tipo anillo ar2 (+, -, L, N,T) x 20 Piezas</t>
  </si>
  <si>
    <t>Tornillo autoperforante de cabeza estrella 1/4" x 1/4"</t>
  </si>
  <si>
    <t xml:space="preserve">Interruptor termomagnético 25A 2P 500 VDC 6 Ka </t>
  </si>
  <si>
    <t xml:space="preserve">Interruptor termomagnético 80A 2P 500 VDC 6 Ka </t>
  </si>
  <si>
    <t xml:space="preserve">Interruptor termomagnético 25A 1P 120 VAC 10 Ka </t>
  </si>
  <si>
    <t>https://interelectricas.com.co/breakers/2873-breaker-de-riel-abb-monopolar-1-x-25a-10ka-ref-2cds251001r0254.html</t>
  </si>
  <si>
    <t>Cable Cu Soldador 2 AWG</t>
  </si>
  <si>
    <t>https://interelectricas.com.co/alambres-y-cables/2541-cable-de-cobre-aislado-soldador-no-2-awg.html</t>
  </si>
  <si>
    <t>Cable Cu SGT 2 AWG</t>
  </si>
  <si>
    <t>https://suneoenergy.com.co/cable-bateria-sgt-procables-2-awg-metro</t>
  </si>
  <si>
    <t>Controlador de carga MPPT 48 VDC capacidad 50 A</t>
  </si>
  <si>
    <t>Batería de ión - litio tipo fosfato de hierro (LiFePO4) de ciclo profundo de 100 Ah - 51,2 VDC</t>
  </si>
  <si>
    <t>https://autosolar.co/baterias-de-litio/bateria-litio-narada-c100-48v-100ah-48kwh</t>
  </si>
  <si>
    <t>Inversor de onda senoidal pura 48 VDC / 120 VAC -  2000 VA, FP=1</t>
  </si>
  <si>
    <t>Malla electrosoldada 150x150x4,5mm ASTM 706</t>
  </si>
  <si>
    <t>https://gyj.com.co/villavicencio/malla-electrosoldada-villavicencio-acero-construccion.html?utm_sku=16803</t>
  </si>
  <si>
    <t>Poste reforzado en fibra de vidrio de 3 m, 510kgf. contiene: platina base en lámina ASTM A36 y soporte fijo para 2 paneles solares.</t>
  </si>
  <si>
    <t>Datalogguer (Toma de datos medidor)</t>
  </si>
  <si>
    <t>Coraza flexible Liquid Tight 1"</t>
  </si>
  <si>
    <t>https://interelectricas.com.co/tuberia-metalica-y-pvc/2088-coraza-liquid-tight-tipo-americano-1-pulgadas-x-metro.html</t>
  </si>
  <si>
    <t>Abrazadera metálica doble ala 1"</t>
  </si>
  <si>
    <t>Conector recto coraza Liquid Tight 1"</t>
  </si>
  <si>
    <t>https://interelectricas.com.co/herrajes-electricos/1735-conector-coraza-liquid-tight-recto-1-pulg-.html</t>
  </si>
  <si>
    <t>Barraje de cobre tropicalizado de 200 A para 16 conexiones</t>
  </si>
  <si>
    <t>Barraje de cobre tropicalizado de 550 A para 16 conexiones</t>
  </si>
  <si>
    <t>Barraje de cobre tropicalizado de 100 A para 16 conexiones</t>
  </si>
  <si>
    <t>Interruptor termomagnético 80 A 1P 120/240 VAC 10kA</t>
  </si>
  <si>
    <t>Interruptor termomagnético 160 A 2P 120/240 VAC 10kA</t>
  </si>
  <si>
    <t>Interruptor termomagnético 110 A 2P 120/240 VAC 10kA</t>
  </si>
  <si>
    <t>Barraje de cobre tropicalizado de 120 A para 16 conexiones</t>
  </si>
  <si>
    <t>Controlador MPPT 250/60A, tensiones de trabajo a 24V-48V, con conexión bluetoot y VE.CAN para configuración y monitorización de historico, eficiencia de conversión 99%, función de trabajo en paralelo</t>
  </si>
  <si>
    <t>Barraje de cobre tropicalizado de 400 A para 16 conexiones</t>
  </si>
  <si>
    <t>Cable Cu SGT 6 AWG</t>
  </si>
  <si>
    <t>https://interelectricas.com.co/alambres-y-cables/2543-cable-de-cobre-aislado-soldador-no-6-awg.html</t>
  </si>
  <si>
    <t>Cable Cu SGT 4 AWG</t>
  </si>
  <si>
    <t>https://interelectricas.com.co/alambres-y-cables/2542-cable-de-cobre-aislado-soldador-no-4-awg.html</t>
  </si>
  <si>
    <t>Cable Cu SGT 1/0 AWG</t>
  </si>
  <si>
    <t>https://interelectricas.com.co/alambres-y-cables/2544-cable-de-cobre-aislado-soldador-no-1-0-awg.html</t>
  </si>
  <si>
    <t>Barraje de cobre tropicalizado de 60 A para 16 conexiones</t>
  </si>
  <si>
    <t>Interruptor termomagnético 50 A 1P 120/240 VAC 10kA</t>
  </si>
  <si>
    <t>https://interelectricas.com.co/breakers/2942-breaker-de-riel-abb-monopolar-1-x-50a-10ka-ref-2cds251001r0504.html</t>
  </si>
  <si>
    <t>Barraje de cobre tropicalizado de 125 A para 16 conexiones</t>
  </si>
  <si>
    <t>Interruptor termomagnético 90 A 2P 120/240 VAC 10kA</t>
  </si>
  <si>
    <t>Canaleta conduit de 60x200 mm</t>
  </si>
  <si>
    <t>https://masvoltaje.com/material-electrico/29150-rejiband-60x200-gc-c7-pemsa-60232200-embalaje-de-18-metros-28431927006725.html</t>
  </si>
  <si>
    <t>Cable de Aluminio Serie  8000 THHN. 6 AWG</t>
  </si>
  <si>
    <t>https://fyeel.com.co/productos/1937-cable-de-aluminio-aislado-no-6-awg-serie-8000-thhn.html</t>
  </si>
  <si>
    <t>Barraje de cobre tropicalizado de 30 A para 6 conexiones</t>
  </si>
  <si>
    <t>Módulo solar fotovoltaico monocristalino tipo PERC "Half Cell" TIER 1 de 570 Wp</t>
  </si>
  <si>
    <t>https://solphower.co/es/productos/panel-solar-trina-solar-575w-vertex-mono-halfcell</t>
  </si>
  <si>
    <t>Controlador MPPT 150/60A, tensiones de trabajo a 24V-48V, con conexión bluetoot y VE.CAN para configuración y monitorización de historico, eficiencia de conversión 99%, función de trabajo en paralelo</t>
  </si>
  <si>
    <t>Barraje de cobre tropicalizado de 350 A para 16 conexiones</t>
  </si>
  <si>
    <t>Interruptor termomagnético 60 A 1P 120/240 VAC 10kA</t>
  </si>
  <si>
    <t>Interruptor termomagnético 80 A 2P 120/240 VAC 10kA</t>
  </si>
  <si>
    <t>https://articulo.mercadolibre.com.co/MCO-538461157-breaker-enchufable-schneider-bipolar-80-a-10-ka-120-240-v-_JM</t>
  </si>
  <si>
    <t>Barraje de cobre tropicalizado de 135 A para 16 conexiones</t>
  </si>
  <si>
    <t xml:space="preserve">Interruptor termomagnético 160A 2P 500 VDC 6 Ka </t>
  </si>
  <si>
    <t>Barraje de cobre tropicalizado de 270 A para 16 conexiones</t>
  </si>
  <si>
    <t>Barraje de cobre tropicalizado de 160 A para 16 conexiones</t>
  </si>
  <si>
    <t>Barraje de cobre tropicalizado de 70 A para 16 conexiones</t>
  </si>
  <si>
    <t>Barraje de cobre tropicalizado de 150 A para 16 conexiones</t>
  </si>
  <si>
    <t>Interruptor termomagnético 50 A 2P 120/240 VAC 10kA</t>
  </si>
  <si>
    <t>Interruptor termomagnético 60 A 2P 120/240 VAC 10kA</t>
  </si>
  <si>
    <t xml:space="preserve">Interruptor termomagnético 125A 2P 500 VDC 6 Ka </t>
  </si>
  <si>
    <t>https://solphower.co/es/productos/solar-dc-breaker-projoy-2p-160v-80a</t>
  </si>
  <si>
    <t>Tablero enchufe monofásico con cumplimiento retie</t>
  </si>
  <si>
    <t>https://www.homecenter.com.co/homecenter-co/product/319988/tablero-enchufe-monofase-4-circuitos-no-puerta-no-totalizador/319988/</t>
  </si>
  <si>
    <t>Barraje de cobre tropicalizado de 80 A para 16 conexiones</t>
  </si>
  <si>
    <t>Interruptor termomagnético 40 A 2P 120/240 VAC 10kA</t>
  </si>
  <si>
    <t>Canaleta conduit de 60x100 mm</t>
  </si>
  <si>
    <t>https://www.sumidelec.com/bandeja-rejiband-rapide-60x100-60512100-pemsa-acero-electrocincado-p-12501</t>
  </si>
  <si>
    <t>Plan de datos satelital x año</t>
  </si>
  <si>
    <t>Radio Transmisor Telemetria + Cable Extensor Antena</t>
  </si>
  <si>
    <t>Radio Receptor Telemetria Control Maestro + Cable Extensor Antena</t>
  </si>
  <si>
    <t>Gabinete Controlador Maestro Y Panel</t>
  </si>
  <si>
    <t>Aplicativo Captura Datalogger (Datasol)</t>
  </si>
  <si>
    <t>Servidor (Pantalla-Teclado-Mouse)</t>
  </si>
  <si>
    <t>UPS  Servidor</t>
  </si>
  <si>
    <t>GAL</t>
  </si>
  <si>
    <t>Concreto simple resistencia 3000 psi - Mezcla in situ</t>
  </si>
  <si>
    <t>Concreto Ciclópeo 40% Piedra rajón y 60% Concreto de 17 Mpa - Mezcal in situ</t>
  </si>
  <si>
    <r>
      <t>Kit para construcción de depósito 9m</t>
    </r>
    <r>
      <rPr>
        <vertAlign val="superscript"/>
        <sz val="10"/>
        <rFont val="Arial"/>
        <family val="2"/>
      </rPr>
      <t>2.</t>
    </r>
    <r>
      <rPr>
        <sz val="10"/>
        <rFont val="Arial"/>
        <family val="2"/>
      </rPr>
      <t xml:space="preserve"> Incluye muros en WPC sistema interlocking, cubierta en teja termoacústica en PVC color blanca, puerta metálica doble hoja, tornillería y piezas de sujeción </t>
    </r>
  </si>
  <si>
    <r>
      <t>m</t>
    </r>
    <r>
      <rPr>
        <vertAlign val="superscript"/>
        <sz val="10"/>
        <rFont val="Arial"/>
        <family val="2"/>
      </rPr>
      <t>2</t>
    </r>
  </si>
  <si>
    <t>Recebo B200</t>
  </si>
  <si>
    <t>invias</t>
  </si>
  <si>
    <t xml:space="preserve">Tubería cuadrada   ASTM A-500 Gr. C </t>
  </si>
  <si>
    <t>Modem celular 3G y LTE 4G, con receptor GPS integrado</t>
  </si>
  <si>
    <t>Medidor de energía AMI monofásico bifilar 5 (80) A, 120 V, calibrado</t>
  </si>
  <si>
    <t>Modulo externo 3G/4G</t>
  </si>
  <si>
    <t>Módulo solar fotovoltaico monocristalino tipo PERC "Half Cell" TIER 1 de 550 Wp</t>
  </si>
  <si>
    <t>https://autosolar.co/paneles-solares-24v/panel-solar-550w-24v-monocristalino-perc-ecogreen</t>
  </si>
  <si>
    <t>Cable Cu solar XLPE 6mm 1kV 120 °C</t>
  </si>
  <si>
    <t>https://interelectricas.com.co/cable-solar/5396-cable-procables-cobre-fotovoltaico-solar-6mm-2-flex-xlpe-sr2000v-negro.html</t>
  </si>
  <si>
    <t xml:space="preserve">Interruptor termomagnético 25A 2P 120/240V VAC 10 Ka </t>
  </si>
  <si>
    <t>https://interelectricas.com.co/breakers/1335-breaker-legrand-riel-2x25-amp-6ka.html</t>
  </si>
  <si>
    <t>DPS Tipo 1+2 500 Uc Up 2,5 kV 18-40 kA</t>
  </si>
  <si>
    <t>https://sein.com.co/tienda/automatizacion-y-control/dps/dps-clase1-2/</t>
  </si>
  <si>
    <t>Cable Cu THHN 4 AWG</t>
  </si>
  <si>
    <t>https://interelectricas.com.co/alambres-y-cables/1986-cable-de-cobre-aislado-no-4-awg-metro-thhn-color-negro.html</t>
  </si>
  <si>
    <t>Cable Cu THHN 2 AWG</t>
  </si>
  <si>
    <t>https://interelectricas.com.co/alambres-y-cables/1785-cable-de-cobre-aislado-no-2-metro-thhn-color-negro-.html</t>
  </si>
  <si>
    <t>Cable Cu THHN 1/0 AWG</t>
  </si>
  <si>
    <t>https://interelectricas.com.co/alambres-y-cables/1994-cable-de-cobre-aislado-no-1-0-awg-metro-thhn-color-negro.html</t>
  </si>
  <si>
    <t>Cable Cu THHN 2/0 AWG</t>
  </si>
  <si>
    <t>https://interelectricas.com.co/alambres-y-cables/1997-cable-de-cobre-aislado-no-2-0-awg-metro-thhn-color-negro.html</t>
  </si>
  <si>
    <t>Cable Cu THHN 6 AWG</t>
  </si>
  <si>
    <t xml:space="preserve">Interruptor termomagnético 20A 2P 120/240V VAC 10 Ka </t>
  </si>
  <si>
    <t>https://interelectricas.com.co/breakers/1262-breaker-de-riel-bipolar-abb-2-x-20a-10ka.html</t>
  </si>
  <si>
    <t>DPS- Señalizacion Tipo 2 2P 150 Uc 20-40 kA</t>
  </si>
  <si>
    <t>Cable de Cobre Desnudo. 2 AWG</t>
  </si>
  <si>
    <t>https://interelectricas.com.co/alambres-y-cables/2249-cable-de-cobre-desnudo-no-2-awg-metro.html</t>
  </si>
  <si>
    <t>Bentonita mejorada</t>
  </si>
  <si>
    <t>BULTO</t>
  </si>
  <si>
    <t>Cable Cu THHN 8 AWG</t>
  </si>
  <si>
    <t>https://interelectricas.com.co/alambres-y-cables/2478-cable-de-cobre-aislado-no-8-awg-metro-thhn-color-negro.html</t>
  </si>
  <si>
    <t>Barraje de cobre tropicalizado de 300 A para 16 conexiones</t>
  </si>
  <si>
    <t xml:space="preserve">Interruptor termomagnético 320A 2P 500 VDC 6 Ka </t>
  </si>
  <si>
    <t>Cable Cu THHN 250 MCM</t>
  </si>
  <si>
    <t>https://interelectricas.com.co/alambres-y-cables/2004-cable-de-cobre-aislado-no-250-mcm-metro-thhn-color-negro.html</t>
  </si>
  <si>
    <t>Barraje de cobre tropicalizado de 500 A para 16 conexiones</t>
  </si>
  <si>
    <t xml:space="preserve">Interruptor termomagnético 630A 2P 500 VDC 6 Ka </t>
  </si>
  <si>
    <t>Cable Cu THHN 350 MCM</t>
  </si>
  <si>
    <t>https://interelectricas.com.co/alambres-y-cables/2007-cable-de-cobre-aislado-no-350-mcm-metro-thhn-color-negro.html</t>
  </si>
  <si>
    <t xml:space="preserve">Autotransformador 15 kVA trifásico, IP40 Y/Y 120/208 V </t>
  </si>
  <si>
    <t>Interruptor termomagnético 50 A 3P 208 VAC 10kA</t>
  </si>
  <si>
    <t>https://interelectricas.com.co/breakers/1373-breaker-ciles-enchufable-tripolar-3x-50amp-10ka-cobre.html</t>
  </si>
  <si>
    <t>Interruptor termomagnético 40 A 3P 208 VAC 10kA</t>
  </si>
  <si>
    <t>https://interelectricas.com.co/breakers/1284-breaker-de-riel-tripolar-abb-3-x-40a-10ka.html</t>
  </si>
  <si>
    <t>DPS- Señalizacion Tipo 2 3P 250 Uc 20-40 kA</t>
  </si>
  <si>
    <t>Tubo EMT 1 1/2"</t>
  </si>
  <si>
    <t>Unión EMT 1 1/2"</t>
  </si>
  <si>
    <t>Adaptador EMT 1 1/2"</t>
  </si>
  <si>
    <t>Curva EMT 1 1/2"</t>
  </si>
  <si>
    <t xml:space="preserve">Tubo EMT 2" </t>
  </si>
  <si>
    <t>Adaptador EMT 2"</t>
  </si>
  <si>
    <t>Unión EMT 2"</t>
  </si>
  <si>
    <t>Curva EMT 2"</t>
  </si>
  <si>
    <t xml:space="preserve">Tubo EMT 3" </t>
  </si>
  <si>
    <t>Adaptador EMT 3"</t>
  </si>
  <si>
    <t>Unión EMT 3"</t>
  </si>
  <si>
    <t>Curva EMT 3"</t>
  </si>
  <si>
    <t>https://ecofener.com/inversores-a-red-trifasicos/2206-inversor-a-red-trifasico-15000w-fronius-symo-advanced-150-3-m.html</t>
  </si>
  <si>
    <t>Inversor Symo Advanced 15.0-3 480 WLAN/LAN/Webserver Fronius</t>
  </si>
  <si>
    <t>https://autosolar.co/inversores-solares-48v/inversor-quattro-48v-10000va-140-100-120v-vebus-victron-energy</t>
  </si>
  <si>
    <t>Inversor bidireccional Victron Quattro 10 kW 120 V</t>
  </si>
  <si>
    <t>https://maquitecdecolombia.com/compra-de/generador/generador-abierto/generador-diesel-abierto-24-kw-110-220v-3f-fdg30/</t>
  </si>
  <si>
    <t>Generador Diesel 3F 36kVA/29kW 230/132V abierto</t>
  </si>
  <si>
    <t>Transformador de distribución monofásico 5 kVA 13200/208/127 V.</t>
  </si>
  <si>
    <t>Transformador de distribución trifásico 30 kVA 13200/208/127 V.</t>
  </si>
  <si>
    <t>Aislador suspension sintetico-polimerico para 15 KV</t>
  </si>
  <si>
    <t>Arandela presión 5/8"</t>
  </si>
  <si>
    <t>Arandela presión 1/2"</t>
  </si>
  <si>
    <t xml:space="preserve">Cruceta de 2,4 Mts x 3 x 3 x 1/4 </t>
  </si>
  <si>
    <t>Grapa de retención aluminio 6 - 2/0 AWG</t>
  </si>
  <si>
    <t xml:space="preserve">Perno de maquina 5/8 X 10" </t>
  </si>
  <si>
    <t>Perno de maquina 1/2 X 1 1/2</t>
  </si>
  <si>
    <t>Espárrago 5/8 X 10"</t>
  </si>
  <si>
    <t>Tuerca de ojo redonda 5/8"</t>
  </si>
  <si>
    <t>Diagonal de 68 cm 1 1/2 x 1 1/2 x 3/16</t>
  </si>
  <si>
    <t>Arandela cuadrada 2 x 2 x 5/8 "</t>
  </si>
  <si>
    <t>Arandela cuadrada 2 x 2 x 1/2 "</t>
  </si>
  <si>
    <t>Conector de ranuras paralelas 2/0-2/0 tipo DBH-2</t>
  </si>
  <si>
    <t>Aislador tipo pin 15 kV ANSI 55-5</t>
  </si>
  <si>
    <t>https://interelectricas.com.co/328-tuberia-imc</t>
  </si>
  <si>
    <t>Tuberia IMC 3" x 3m</t>
  </si>
  <si>
    <t>https://interelectricas.com.co/94-capacetes</t>
  </si>
  <si>
    <t>Capacete Galvanizado para tuberia IMC de 3"</t>
  </si>
  <si>
    <t>https://interelectricas.com.co/127-curvas-imc</t>
  </si>
  <si>
    <t>CURVA CONDUIT PVC 3" TDP</t>
  </si>
  <si>
    <t>Collarin 2 salidas 6" - 7"</t>
  </si>
  <si>
    <t>Perno carriage 5/8 x 2</t>
  </si>
  <si>
    <t>Conector en aluminio 2 pernos 6 - 2/0</t>
  </si>
  <si>
    <t>Cortacircuitos 15 KV</t>
  </si>
  <si>
    <t>Dado galvanizado de 3" x 3"</t>
  </si>
  <si>
    <t>Fusible tipo dual</t>
  </si>
  <si>
    <t>Grapa para conexión en caliente</t>
  </si>
  <si>
    <t>Pararrayos 12 kV - 10 kA</t>
  </si>
  <si>
    <t>Collarin para Transformador de 8 - 9 pl. 1/4 Bajo Silicio 200 mm</t>
  </si>
  <si>
    <t>Cable ACSR Nº 2</t>
  </si>
  <si>
    <t>ml</t>
  </si>
  <si>
    <t>Aislador tipo tensor 4/1/4"</t>
  </si>
  <si>
    <t>Grapa prensora 3 pernos para cable 3/8"</t>
  </si>
  <si>
    <t>Guardacabo para cable 3/8"</t>
  </si>
  <si>
    <t>Arandela cuadrada plano 4 x 4 x 5/8 "</t>
  </si>
  <si>
    <t>Varilla de anclaje 1.8 m x 5/8"</t>
  </si>
  <si>
    <t>Bloque de anclaje en Concreto</t>
  </si>
  <si>
    <t>Cable galvanizado 3/8"</t>
  </si>
  <si>
    <t>Soldadura exotermica 115 gr</t>
  </si>
  <si>
    <t xml:space="preserve">Cinta bandit 5/8" </t>
  </si>
  <si>
    <t>Hebilla de acero inoxidable 5/8"</t>
  </si>
  <si>
    <t>https://interelectricas.com.co/319-tuberia-emt</t>
  </si>
  <si>
    <t>Tubo EMT 1/2 x 3m</t>
  </si>
  <si>
    <t>Hidrogel para tratamiento de tierras ( 25 KG)</t>
  </si>
  <si>
    <t>Aislador tipo carrete</t>
  </si>
  <si>
    <t xml:space="preserve">Conector Bimetalico 2 Perno 1/0 - 366 Kcmil </t>
  </si>
  <si>
    <t>Percha tipo pesado de 1 puestos</t>
  </si>
  <si>
    <t>Cable cuadruplex 3 x 2/0  + 1/0</t>
  </si>
  <si>
    <t>https://interelectricas.com.co/308-cables-multiplex</t>
  </si>
  <si>
    <t>Cable triplex 2x4 + 4</t>
  </si>
  <si>
    <t>https://interelectricas.com.co/296-cable-acometida-concentrico</t>
  </si>
  <si>
    <t>Cable monofásico concentrico 1x8+8 CU</t>
  </si>
  <si>
    <t>https://interelectricas.com.co/227-uniones-emt</t>
  </si>
  <si>
    <t>Union EMT 1/2"</t>
  </si>
  <si>
    <t>Terminal EMT 1/2"</t>
  </si>
  <si>
    <t>https://interelectricas.com.co/126-curvas-emt</t>
  </si>
  <si>
    <t>Curva EMT 1/2"</t>
  </si>
  <si>
    <t>https://equipmaster.com.co/product/planta-electrica-advance-de12stai3/</t>
  </si>
  <si>
    <t>Generador Diesel 3F 12kVA/10kW 230/132V cerrada</t>
  </si>
  <si>
    <t>https://maquitecdecolombia.com/compra-de/generador/generador-cabinado/planta-electrica-diesel-advance-21kva-trifasico-110-220v-17-9gal-t-digital/</t>
  </si>
  <si>
    <t>Generador Diesel 3F 21kVA/19kW 230/132V cerrada</t>
  </si>
  <si>
    <t>https://ineldec.com/producto/transformador-seco-trifasico-75-kva-tipo-clase-h/</t>
  </si>
  <si>
    <t>Transformador de distribución para aplicación solar 75 kVA - 208V/13,2KV seco</t>
  </si>
  <si>
    <t>https://ineldec.com/producto/transformador-trifasico-seco-de-30-kva-clase-h/</t>
  </si>
  <si>
    <t>Transformador de distribución para aplicación solar 30 kVA - 208V/13,2KV seco</t>
  </si>
  <si>
    <t>Celda para transformador tipo seco de 15 KV (220 X 150 X 120) m, lámina de acero estirada en frío calibre 14-16, tratada químicamente para la desoxidación, desengrase y fosfatado, con acabado epóxico, aplicado electrostáticamente</t>
  </si>
  <si>
    <t>https://interelectricas.com.co/83-cajas-acometidas</t>
  </si>
  <si>
    <t xml:space="preserve">Caja para acometida en policarbonato trifásica  </t>
  </si>
  <si>
    <t xml:space="preserve">Brazo para soporte luminaria horizontal </t>
  </si>
  <si>
    <t>https://interelectricas.com.co/167-luminaria-led-alumbrado-publico</t>
  </si>
  <si>
    <t xml:space="preserve">Luminaria led street light zd216 40w luz neutra </t>
  </si>
  <si>
    <t>https://interelectricas.com.co/139-fotoceldas</t>
  </si>
  <si>
    <t xml:space="preserve">Fotocelda </t>
  </si>
  <si>
    <t>Cable cuadruplex 3 x 1/0  + 1/0</t>
  </si>
  <si>
    <t xml:space="preserve">Conector Bimetalico 1 Perno No 1 Cab. 6 </t>
  </si>
  <si>
    <t>Capacete Galvanizado para tubería galvanizada 3/4"</t>
  </si>
  <si>
    <t>Tuberia IMC 3/4" x 3m</t>
  </si>
  <si>
    <t>Poste en fibra de vidrio 8m 750kgf</t>
  </si>
  <si>
    <t xml:space="preserve">Poste en poliéster reforzado con fibra de vidrio (PRFV) ASCE 104/ASTM D4923, h=4m, 510kgf. </t>
  </si>
  <si>
    <t>Peso tomado de la ficha técnica de Fibratore (Invesa). Precio base cotización enviada por Invesa</t>
  </si>
  <si>
    <t>Batería de ión - litio tipo fosfato de hierro (LiFePO4) de ciclo profundo de 120 Ah - 51,2 VDC</t>
  </si>
  <si>
    <t>Poste metálico redondo de diámetro 4" x 3 metros de altura y 3 mm de espesor, con marco superior fijo de soporte angular para 3 paneles y platina base de 25 x 25 cm x 9,5 mm espesor, galvanizado en caliente, incluye pernos de anclaje</t>
  </si>
  <si>
    <t xml:space="preserve">Interruptor termomagnético 20A 2P 500 VDC 6 Ka </t>
  </si>
  <si>
    <t>Comunicaciones</t>
  </si>
  <si>
    <t>Medidor Prepago 120V 5-80A</t>
  </si>
  <si>
    <t>Caja medidor pequeña con interruptor magnetico</t>
  </si>
  <si>
    <t>Datasol Light (Captura Informacion)</t>
  </si>
  <si>
    <t>Aplicativo servidor de captura datalogger</t>
  </si>
  <si>
    <t>App Software Android Lectura informacion medidores (Hasta 10 Dispositivos)</t>
  </si>
  <si>
    <t xml:space="preserve">Plataforma de Recaudo </t>
  </si>
  <si>
    <t>Software Datafono Local</t>
  </si>
  <si>
    <t>Datafono Local</t>
  </si>
  <si>
    <t>Software Datafono Viajero</t>
  </si>
  <si>
    <t xml:space="preserve">Datafono viajero </t>
  </si>
  <si>
    <t xml:space="preserve">Medidor Prepago 120V 5-80A (AMI) </t>
  </si>
  <si>
    <t xml:space="preserve">Plataforma HES AMI </t>
  </si>
  <si>
    <t>Concentrador AMI PLC CL818C84</t>
  </si>
  <si>
    <t>Gabinete Concentrador</t>
  </si>
  <si>
    <t>Plan Internet Satelital Anual Estándar Starlink</t>
  </si>
  <si>
    <t>Equipo internet satelital Starlink Standar (incluye Antena + Router)</t>
  </si>
  <si>
    <t>Malla electrosoldada 150x150 x 5mm</t>
  </si>
  <si>
    <t>Formaleta de madera para concreto</t>
  </si>
  <si>
    <t>Módulo solar fotovoltaico monocristalino tipo PERC "Half Cell" TIER 1 de 670 Wp</t>
  </si>
  <si>
    <t>Batería de ión - litio tipo fosfato de hierro (LiFePO4) de ciclo profundo de 200 Ah - 51,2 VDC</t>
  </si>
  <si>
    <t>Angulo 50 x 50 x 3mm</t>
  </si>
  <si>
    <t>Angulo L ASTM A572 Gr. 50 galvanizado 1/8"x1 1/2"</t>
  </si>
  <si>
    <t>Peso (kg/m) tomado del catálogo de Steckerl Aceros. Precio base presentación x 6m</t>
  </si>
  <si>
    <t>Angulo L ASTM A572 Gr. 50 galvanizado 1/4"x3"</t>
  </si>
  <si>
    <t>Platina ASTM A36 300x300, e=9,53mm</t>
  </si>
  <si>
    <t>Peso tomado del catálogo de Steckerl Aceros</t>
  </si>
  <si>
    <t xml:space="preserve">Platina ASTM A36 200 x 50, e=6,35mm </t>
  </si>
  <si>
    <t>Soldadura electrodo E7018</t>
  </si>
  <si>
    <t xml:space="preserve">Perno ASTM A325 galvanizado 3/8", L=8" </t>
  </si>
  <si>
    <t>Peso asumido por poca cantidad unitaria e incidencia en el costo del apu</t>
  </si>
  <si>
    <t xml:space="preserve">Tornillo metálico galvanizado 13x38mm </t>
  </si>
  <si>
    <t xml:space="preserve">Angulo L ASTM A572 Gr. 50 galvanizado 3/16"x2 1/2" </t>
  </si>
  <si>
    <t xml:space="preserve">Angulo L ASTM A572 Gr. 50 galvanizado 3/16"x2" </t>
  </si>
  <si>
    <t>Caja Combinadora Barraje Bornera 2 canales x 125A 500V</t>
  </si>
  <si>
    <t>Terminal de compresión un hueco # 6 AWG</t>
  </si>
  <si>
    <t>Terminal aislado tipo pin # 6 AWG</t>
  </si>
  <si>
    <t xml:space="preserve">Interruptor termomagnético 30A 2P 500 VDC 6 Ka </t>
  </si>
  <si>
    <t xml:space="preserve">Interruptor termomagnético 90A 2P 500 VDC 6 Ka </t>
  </si>
  <si>
    <t>Cable Cu THHN 10 AWG verde</t>
  </si>
  <si>
    <t>Cable Cu THHN 12 AWG verde</t>
  </si>
  <si>
    <t>Cable Cu THHN 6 AWG verde</t>
  </si>
  <si>
    <t>protecciones</t>
  </si>
  <si>
    <t>Fusible DC 25 A</t>
  </si>
  <si>
    <t>Cable Cu THHN 4/0 AWG</t>
  </si>
  <si>
    <t>Capacitación en el manejo de software de operación del sistema de medición - virtual por 3 días</t>
  </si>
  <si>
    <t>Capacitación en el manejo de software de operación del sistema de medición - presencial</t>
  </si>
  <si>
    <t>Capacitación en el manejo de software aplicativo movil lectura medidor - virtual por 3 días</t>
  </si>
  <si>
    <t>Capacitación en el manejo de software aplicativo movil lectura medidor - presencial</t>
  </si>
  <si>
    <t>Cable Cu THHN 4 AWG verde</t>
  </si>
  <si>
    <t>Cable Cu THHN 8 AWG verde</t>
  </si>
  <si>
    <t xml:space="preserve">Autotransformador 5 kVA trifásico, IP40 Y/Y 120/208 V </t>
  </si>
  <si>
    <t xml:space="preserve">Autotransformador 10 kVA trifásico, IP40 Y/Y 120/208 V </t>
  </si>
  <si>
    <t xml:space="preserve">Interruptor termomagnético 300A 2P 500 VDC 6 Ka </t>
  </si>
  <si>
    <t>Interruptor</t>
  </si>
  <si>
    <t>Interruptor termomagnético AC 1P 120VAC 20A</t>
  </si>
  <si>
    <t>Terminal de compresión un hueco # 8 AWG</t>
  </si>
  <si>
    <t>Abrazadera metálica galvanizada doble ala 1/2"</t>
  </si>
  <si>
    <t>Papel contact Naranja x pliego</t>
  </si>
  <si>
    <t>Pliego</t>
  </si>
  <si>
    <t xml:space="preserve">Portafusibles 1P 1000VDC </t>
  </si>
  <si>
    <t>Cable de Cobre Desnudo. 1/0 AWG</t>
  </si>
  <si>
    <r>
      <rPr>
        <b/>
        <sz val="11"/>
        <rFont val="Arial"/>
        <family val="2"/>
      </rPr>
      <t>Justificación del Aumento del 15% en el Precio para 2025</t>
    </r>
    <r>
      <rPr>
        <sz val="11"/>
        <rFont val="Arial"/>
        <family val="2"/>
      </rPr>
      <t xml:space="preserve">
Ante los diversos factores económicos y de contexto que afectan la formación de precios, se proyecta un incremento del 15% en el costo de bienes y servicios entre el año 2024 y 2025. Esta proyección se fundamenta en la variación de la Tasa Representativa del Mercado (TRM), el Índice de Precios al Consumidor (IPC) y el impacto de la inseguridad y la incertidumbre política en el país.
1. Variación de la TRM (Tasa Representativa del Mercado)
El comportamiento del dólar frente al peso colombiano ha sido un factor determinante en la estructura de costos, especialmente en sectores con insumos importados o transacciones en moneda extranjera. Se estima que, debido a la volatilidad del mercado y la posible depreciación del peso, la TRM pueda aumentar entre un 8% y 10% en 2025. Este incremento impactará directamente en los costos de importación, generando una presión alcista sobre los precios.
2. Inflación y Costos Internos (IPC)
El Índice de Precios al Consumidor (IPC) refleja el aumento del costo de vida y la inflación general en el país. Para 2025, se proyecta una inflación cercana al 8%, impulsada por el incremento en precios de transporte, energía y alimentos. Este factor obliga a ajustar los precios de bienes y servicios para mantener márgenes de rentabilidad y cubrir el incremento en los costos operativos.
3. Inseguridad y Riesgo Económico
El clima de inseguridad en el país ha generado costos adicionales en términos de logística, almacenamiento y protección de mercancía. Además, la incertidumbre política y económica desincentiva la inversión y encarece los procesos de distribución. Se estima que estos factores contribuyan con un 2% - 3% al ajuste de precios, debido a mayores gastos en transporte y medidas de seguridad.
Conclusión
Sumando el impacto de la TRM (8%-10%), la inflación (8%) y los costos derivados de la inseguridad (2%-3%), se justifica un ajuste del 15% en el precio de los bienes y servicios para 2025. Este aumento no solo responde a la necesidad de compensar el incremento en costos, sino también a la estabilidad y sostenibilidad financiera de las operaciones en un entorno económico desafiante.</t>
    </r>
  </si>
  <si>
    <t>RESUMEN COSTOS INTERVENTORÍA</t>
  </si>
  <si>
    <t>PARA ITERACIÓN</t>
  </si>
  <si>
    <t>Costos de transporte de personal</t>
  </si>
  <si>
    <t>Costos de oficina</t>
  </si>
  <si>
    <t>Estampillas, Impuestos y pólizas</t>
  </si>
  <si>
    <t>Valor Total Costos (1 + 2 + 3 + 4 + 5)</t>
  </si>
  <si>
    <t>Honorarios y retribución (10% * 6)</t>
  </si>
  <si>
    <t>Subtotal Interventoría (6 + 7)</t>
  </si>
  <si>
    <t>IVA (19% * 8)</t>
  </si>
  <si>
    <t>Valor Total Interventoría (8 + 9)</t>
  </si>
  <si>
    <t>Salario mensual</t>
  </si>
  <si>
    <t>INT1</t>
  </si>
  <si>
    <t>INT2</t>
  </si>
  <si>
    <t>INT3</t>
  </si>
  <si>
    <t>INT4</t>
  </si>
  <si>
    <t>INT5</t>
  </si>
  <si>
    <t>INT6</t>
  </si>
  <si>
    <t>INT7</t>
  </si>
  <si>
    <t>INT8</t>
  </si>
  <si>
    <t>INT9</t>
  </si>
  <si>
    <t>INT10</t>
  </si>
  <si>
    <t>INT11</t>
  </si>
  <si>
    <t>2. VIÁTICOS</t>
  </si>
  <si>
    <t>Dedicación promedio</t>
  </si>
  <si>
    <t>Mensual</t>
  </si>
  <si>
    <t>Alimentación personal obra</t>
  </si>
  <si>
    <t>Hospedaje personal obra</t>
  </si>
  <si>
    <t>3. TRANSPORTE DE PERSONAL A OBRA</t>
  </si>
  <si>
    <t>Ïtem</t>
  </si>
  <si>
    <t>Concepto</t>
  </si>
  <si>
    <t>Valor unitario</t>
  </si>
  <si>
    <t>Meses</t>
  </si>
  <si>
    <t>Costo total</t>
  </si>
  <si>
    <t>Transporte de personal de la interventoría a cabecera municipal</t>
  </si>
  <si>
    <t>Transporte de personal de la interventoría a los usuarios</t>
  </si>
  <si>
    <t>4. COSTOS DE OFICINA</t>
  </si>
  <si>
    <t>Valor Mensual</t>
  </si>
  <si>
    <t>Arrendamiento</t>
  </si>
  <si>
    <t>Servicios públicos (energía, agua, internet y otros)</t>
  </si>
  <si>
    <t>Celulares</t>
  </si>
  <si>
    <t>Licenciamiento de software</t>
  </si>
  <si>
    <t>Papelería, fotocopias y otros elementos de oficina</t>
  </si>
  <si>
    <t>4.6</t>
  </si>
  <si>
    <t>Elementos de aseo y cafetería</t>
  </si>
  <si>
    <t>4.7</t>
  </si>
  <si>
    <t>Equipo de oficina</t>
  </si>
  <si>
    <t>4.8</t>
  </si>
  <si>
    <t>Equipos medición (GPS, multímetro)</t>
  </si>
  <si>
    <t>4.9</t>
  </si>
  <si>
    <t>Seguridad industrial y ocupacional</t>
  </si>
  <si>
    <t>5. ESTAMPILLAS, IMPUESTOS Y PÓLIZAS</t>
  </si>
  <si>
    <t>%</t>
  </si>
  <si>
    <t>ORDEN REGIONAL</t>
  </si>
  <si>
    <t>Estampilla pro cultura</t>
  </si>
  <si>
    <t>* para SGR o contratación departamental, municipal</t>
  </si>
  <si>
    <t>Estampilla bienestar adulto mayor</t>
  </si>
  <si>
    <t>Estampilla por desarrollo fronterizo</t>
  </si>
  <si>
    <t>Estampilla pro universidad</t>
  </si>
  <si>
    <t>* para SGR o contratación departamental, municipal ** Para contratación nacional es pro universidad nacional</t>
  </si>
  <si>
    <t>Tasa prodeportes y recreación</t>
  </si>
  <si>
    <t>ORDEN NACIONAL</t>
  </si>
  <si>
    <t>5.6</t>
  </si>
  <si>
    <t>Impuesto de industria y comercio</t>
  </si>
  <si>
    <t>5.7</t>
  </si>
  <si>
    <t>Impuesto 4/1000</t>
  </si>
  <si>
    <t>5.8</t>
  </si>
  <si>
    <t>Pólizas y garantías</t>
  </si>
  <si>
    <t xml:space="preserve">Elaborado por:   </t>
  </si>
  <si>
    <t>Andrés Felipe Paez Mantilla</t>
  </si>
  <si>
    <t>Ing en Energía</t>
  </si>
  <si>
    <t>MP: 68289-414785 STD</t>
  </si>
  <si>
    <t>COSTO SUPERVISIÓN</t>
  </si>
  <si>
    <t xml:space="preserve">https://www.computrabajo.com.co/salarios/ingeniero-especialista </t>
  </si>
  <si>
    <t>COSTOS CAPACITACIÓN</t>
  </si>
  <si>
    <t>Ingeniero especialista en SISFV</t>
  </si>
  <si>
    <t>Transporte Bogotá - Veredas - Bogotá</t>
  </si>
  <si>
    <t>Viajes</t>
  </si>
  <si>
    <t>Logística (Alquiler salón y refrigerios)</t>
  </si>
  <si>
    <t>Material de capacitación: Cartillas</t>
  </si>
  <si>
    <t>Total Costos Capacitación</t>
  </si>
  <si>
    <t>Valor con AIU</t>
  </si>
  <si>
    <t>Compra y Fab.</t>
  </si>
  <si>
    <t>Emb. y Transp.</t>
  </si>
  <si>
    <t>Tram. Impor.</t>
  </si>
  <si>
    <t>Módulo solar fotovoltaico monocristalino de 400 Wp incluye caja de conexión IP67 con diodos de paso</t>
  </si>
  <si>
    <r>
      <t>Batería de ión - litio tipo fosfato de hierro (LiFePO4) de ciclo profundo de 120 Ah - 24 V</t>
    </r>
    <r>
      <rPr>
        <sz val="8"/>
        <rFont val="Arial"/>
        <family val="2"/>
      </rPr>
      <t>DC</t>
    </r>
    <r>
      <rPr>
        <sz val="10"/>
        <rFont val="Arial"/>
        <family val="2"/>
      </rPr>
      <t xml:space="preserve"> - 3650 ciclos hasta el 80% DOD, con BMS integrado</t>
    </r>
  </si>
  <si>
    <t>Regulador de carga MPPT de 24 VDC - 40 Amp. con display LCD, para batería de Ión - Litio</t>
  </si>
  <si>
    <t>Inversor "off-grid" de 1000 W, 24 VDC - 120 VAC, 60 Hz, onda senoidal pura con display LCD</t>
  </si>
  <si>
    <t>3.6</t>
  </si>
  <si>
    <t>3.7</t>
  </si>
  <si>
    <r>
      <t>VALOR TOTAL</t>
    </r>
    <r>
      <rPr>
        <sz val="10"/>
        <rFont val="Arial"/>
        <family val="2"/>
      </rPr>
      <t xml:space="preserve"> </t>
    </r>
    <r>
      <rPr>
        <b/>
        <sz val="10"/>
        <rFont val="Arial"/>
        <family val="2"/>
      </rPr>
      <t>CONTRATO DE EJECUCIÓN</t>
    </r>
  </si>
  <si>
    <t xml:space="preserve">  -</t>
  </si>
  <si>
    <t>Realizar Replanteo de obra</t>
  </si>
  <si>
    <t>1.3</t>
  </si>
  <si>
    <t>1.5</t>
  </si>
  <si>
    <t>2.5</t>
  </si>
  <si>
    <t>2.6</t>
  </si>
  <si>
    <t>2.7</t>
  </si>
  <si>
    <t>1.1.1</t>
  </si>
  <si>
    <t>1.1.2</t>
  </si>
  <si>
    <t>1.1.3</t>
  </si>
  <si>
    <t>1.1.4</t>
  </si>
  <si>
    <t>1.1.5</t>
  </si>
  <si>
    <t>1.1.6</t>
  </si>
  <si>
    <t>1.1.7</t>
  </si>
  <si>
    <t>1.1.8</t>
  </si>
  <si>
    <t>1.2.1</t>
  </si>
  <si>
    <t>1.2.2</t>
  </si>
  <si>
    <t>1.3.1</t>
  </si>
  <si>
    <t>2.1.9</t>
  </si>
  <si>
    <t>2.1.10</t>
  </si>
  <si>
    <t>2.1.11</t>
  </si>
  <si>
    <t>2.1.12</t>
  </si>
  <si>
    <t>2.1.13</t>
  </si>
  <si>
    <t>2.2.3</t>
  </si>
  <si>
    <t>2.2.4</t>
  </si>
  <si>
    <t>2.2.5</t>
  </si>
  <si>
    <t>2.2.6</t>
  </si>
  <si>
    <t>2.2.7</t>
  </si>
  <si>
    <t>2.2.8</t>
  </si>
  <si>
    <t>2.2.9</t>
  </si>
  <si>
    <t>2.2.10</t>
  </si>
  <si>
    <t>2.5.1</t>
  </si>
  <si>
    <t>2.5.2</t>
  </si>
  <si>
    <t>2.5.3</t>
  </si>
  <si>
    <t>2.5.4</t>
  </si>
  <si>
    <t>2.5.5</t>
  </si>
  <si>
    <t>2.5.6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</si>
</sst>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 &quot;Pts&quot;_-;\-* #,##0\ &quot;Pts&quot;_-;_-* &quot;-&quot;\ &quot;Pts&quot;_-;_-@_-"/>
    <numFmt numFmtId="168" formatCode="_-* #,##0.00\ &quot;Pts&quot;_-;\-* #,##0.00\ &quot;Pts&quot;_-;_-* &quot;-&quot;??\ &quot;Pts&quot;_-;_-@_-"/>
    <numFmt numFmtId="169" formatCode="#,##0.0"/>
    <numFmt numFmtId="170" formatCode="&quot;$&quot;\ #,##0.00"/>
    <numFmt numFmtId="171" formatCode="_-[$$-240A]* #,##0_-;\-[$$-240A]* #,##0_-;_-[$$-240A]* &quot;-&quot;??_-;_-@_-"/>
    <numFmt numFmtId="172" formatCode="0.0%"/>
    <numFmt numFmtId="173" formatCode="_-&quot;$&quot;\ * #,##0_-;\-&quot;$&quot;\ * #,##0_-;_-&quot;$&quot;\ * &quot;-&quot;??_-;_-@_-"/>
    <numFmt numFmtId="174" formatCode="_-&quot;$&quot;\ * #,##0.0_-;\-&quot;$&quot;\ * #,##0.0_-;_-&quot;$&quot;\ * &quot;-&quot;_-;_-@_-"/>
    <numFmt numFmtId="175" formatCode="0.0"/>
    <numFmt numFmtId="176" formatCode="&quot;$&quot;\ #,##0"/>
    <numFmt numFmtId="177" formatCode="0.000%"/>
    <numFmt numFmtId="178" formatCode="&quot;$&quot;\ #,##0.0"/>
    <numFmt numFmtId="179" formatCode="#,##0.000"/>
    <numFmt numFmtId="180" formatCode="_(* #,##0.00_);_(* \(#,##0.00\);_(* &quot;-&quot;??_);_(@_)"/>
    <numFmt numFmtId="181" formatCode="_(&quot;$&quot;\ * #,##0_);_(&quot;$&quot;\ * \(#,##0\);_(&quot;$&quot;\ * &quot;-&quot;_);_(@_)"/>
    <numFmt numFmtId="182" formatCode="_ * #,##0.00_ ;_ * \-#,##0.00_ ;_ * &quot;-&quot;??_ ;_ @_ "/>
    <numFmt numFmtId="183" formatCode="_ * #,##0_ ;_ * \-#,##0_ ;_ * &quot;-&quot;??_ ;_ @_ "/>
    <numFmt numFmtId="184" formatCode="&quot;$&quot;#,##0"/>
    <numFmt numFmtId="185" formatCode="_(* #,##0_);_(* \(#,##0\);_(* &quot;-&quot;??_);_(@_)"/>
    <numFmt numFmtId="186" formatCode="[$$-240A]\ #,##0"/>
    <numFmt numFmtId="187" formatCode="#,##0.0\ _€"/>
    <numFmt numFmtId="188" formatCode="&quot;No. &quot;#,##0"/>
    <numFmt numFmtId="189" formatCode="_ &quot;$&quot;\ * #,##0.00_ ;_ &quot;$&quot;\ * \-#,##0.00_ ;_ &quot;$&quot;\ * &quot;-&quot;??_ ;_ @_ "/>
    <numFmt numFmtId="190" formatCode="_(&quot;$&quot;* #,##0_);_(&quot;$&quot;* \(#,##0\);_(&quot;$&quot;* &quot;-&quot;??_);_(@_)"/>
    <numFmt numFmtId="191" formatCode="_-&quot;$&quot;\ * #,##0.0_-;\-&quot;$&quot;\ * #,##0.0_-;_-&quot;$&quot;\ * &quot;-&quot;?_-;_-@_-"/>
    <numFmt numFmtId="192" formatCode="[$$-500A]\ #,##0.00"/>
    <numFmt numFmtId="193" formatCode="[$$-500A]#,##0.00"/>
    <numFmt numFmtId="194" formatCode="_-&quot;$&quot;\ * #,##0.00_-;\-&quot;$&quot;\ * #,##0.00_-;_-&quot;$&quot;\ * &quot;-&quot;??_-;_-@"/>
    <numFmt numFmtId="195" formatCode="0.000"/>
    <numFmt numFmtId="196" formatCode="_-* #,##0_-;\-* #,##0_-;_-* &quot;-&quot;??_-;_-@_-"/>
    <numFmt numFmtId="197" formatCode="_-[$$-240A]* #,##0.00_-;\-[$$-240A]* #,##0.00_-;_-[$$-240A]* &quot;-&quot;??_-;_-@_-"/>
    <numFmt numFmtId="198" formatCode="#,##0.0000"/>
    <numFmt numFmtId="199" formatCode="_-[$$-240A]* #,##0.0_-;\-[$$-240A]* #,##0.0_-;_-[$$-240A]* &quot;-&quot;??_-;_-@_-"/>
    <numFmt numFmtId="200" formatCode="_-[$$-240A]\ * #,##0.00_-;\-[$$-240A]\ * #,##0.00_-;_-[$$-240A]\ * &quot;-&quot;??_-;_-@_-"/>
    <numFmt numFmtId="201" formatCode="#,##0_ ;\-#,##0\ "/>
    <numFmt numFmtId="202" formatCode="&quot;$&quot;#,##0.00"/>
    <numFmt numFmtId="203" formatCode="[$$-240A]\ #,##0.000"/>
    <numFmt numFmtId="204" formatCode="#,##0.00_ ;\-#,##0.00\ "/>
    <numFmt numFmtId="205" formatCode="0.0\ &quot; Dias&quot;"/>
  </numFmts>
  <fonts count="1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u/>
      <sz val="10"/>
      <name val="Arial"/>
      <family val="2"/>
    </font>
    <font>
      <sz val="8"/>
      <name val="Arial"/>
      <family val="2"/>
    </font>
    <font>
      <u/>
      <sz val="10"/>
      <color theme="10"/>
      <name val="Arial"/>
      <family val="2"/>
    </font>
    <font>
      <sz val="10"/>
      <name val="Arial"/>
      <family val="2"/>
    </font>
    <font>
      <b/>
      <sz val="12"/>
      <name val="Arial"/>
      <family val="2"/>
    </font>
    <font>
      <sz val="10"/>
      <name val="Arial"/>
      <family val="2"/>
    </font>
    <font>
      <sz val="11"/>
      <name val="Arial"/>
      <family val="2"/>
    </font>
    <font>
      <sz val="11"/>
      <color rgb="FF3F3F76"/>
      <name val="Calibri"/>
      <family val="2"/>
      <scheme val="minor"/>
    </font>
    <font>
      <sz val="8"/>
      <name val="Arial"/>
      <family val="2"/>
    </font>
    <font>
      <sz val="11"/>
      <color indexed="8"/>
      <name val="Calibri"/>
      <family val="2"/>
    </font>
    <font>
      <sz val="10"/>
      <color rgb="FFFF0000"/>
      <name val="Arial"/>
      <family val="2"/>
    </font>
    <font>
      <sz val="10"/>
      <color theme="1"/>
      <name val="Arial"/>
      <family val="2"/>
    </font>
    <font>
      <sz val="9"/>
      <color indexed="81"/>
      <name val="Tahoma"/>
      <family val="2"/>
    </font>
    <font>
      <b/>
      <sz val="9"/>
      <color indexed="81"/>
      <name val="Tahoma"/>
      <family val="2"/>
    </font>
    <font>
      <b/>
      <sz val="10"/>
      <color theme="0"/>
      <name val="Arial"/>
      <family val="2"/>
    </font>
    <font>
      <sz val="10"/>
      <color indexed="8"/>
      <name val="Arial"/>
      <family val="2"/>
    </font>
    <font>
      <sz val="10"/>
      <color theme="0"/>
      <name val="Arial"/>
      <family val="2"/>
    </font>
    <font>
      <b/>
      <sz val="11"/>
      <color theme="1"/>
      <name val="Calibri"/>
      <family val="2"/>
      <scheme val="minor"/>
    </font>
    <font>
      <sz val="11"/>
      <name val="Calibri"/>
      <family val="2"/>
      <scheme val="minor"/>
    </font>
    <font>
      <sz val="10"/>
      <color theme="1"/>
      <name val="Calibri"/>
      <family val="2"/>
    </font>
    <font>
      <u/>
      <sz val="11"/>
      <color theme="10"/>
      <name val="Calibri"/>
      <family val="2"/>
      <scheme val="minor"/>
    </font>
    <font>
      <sz val="8"/>
      <color theme="1"/>
      <name val="Arial"/>
      <family val="2"/>
    </font>
    <font>
      <u/>
      <sz val="8"/>
      <color theme="10"/>
      <name val="Arial"/>
      <family val="2"/>
    </font>
    <font>
      <sz val="10"/>
      <name val="Arial Unicode MS"/>
      <family val="2"/>
    </font>
    <font>
      <u/>
      <sz val="10"/>
      <name val="Arial"/>
      <family val="2"/>
    </font>
    <font>
      <vertAlign val="superscript"/>
      <sz val="10"/>
      <name val="Arial"/>
      <family val="2"/>
    </font>
    <font>
      <sz val="10"/>
      <color theme="1"/>
      <name val="Arial Unicode MS"/>
      <family val="2"/>
    </font>
    <font>
      <sz val="9"/>
      <color theme="1"/>
      <name val="Calibri"/>
      <family val="2"/>
      <scheme val="minor"/>
    </font>
    <font>
      <sz val="10"/>
      <color theme="1"/>
      <name val="Calibri"/>
      <family val="2"/>
      <scheme val="minor"/>
    </font>
    <font>
      <b/>
      <sz val="10"/>
      <color indexed="8"/>
      <name val="Arial"/>
      <family val="2"/>
    </font>
    <font>
      <b/>
      <i/>
      <sz val="10"/>
      <color indexed="8"/>
      <name val="Arial"/>
      <family val="2"/>
    </font>
    <font>
      <b/>
      <sz val="14"/>
      <name val="Arial Narrow"/>
      <family val="2"/>
    </font>
    <font>
      <b/>
      <sz val="12"/>
      <name val="Arial Narrow"/>
      <family val="2"/>
    </font>
    <font>
      <sz val="10"/>
      <name val="Arial Narrow"/>
      <family val="2"/>
    </font>
    <font>
      <b/>
      <sz val="11"/>
      <color rgb="FF262626"/>
      <name val="Arial Narrow"/>
      <family val="2"/>
    </font>
    <font>
      <b/>
      <sz val="12"/>
      <color rgb="FFFF0000"/>
      <name val="Arial Narrow"/>
      <family val="2"/>
    </font>
    <font>
      <sz val="12"/>
      <name val="Arial"/>
      <family val="2"/>
    </font>
    <font>
      <sz val="11"/>
      <color rgb="FF000000"/>
      <name val="Calibri"/>
      <family val="2"/>
    </font>
    <font>
      <sz val="11"/>
      <color theme="1"/>
      <name val="Calibri"/>
      <family val="2"/>
      <scheme val="minor"/>
    </font>
    <font>
      <sz val="11"/>
      <color theme="1"/>
      <name val="Calibri"/>
      <family val="2"/>
    </font>
    <font>
      <b/>
      <sz val="11"/>
      <color theme="1"/>
      <name val="Calibri"/>
      <family val="2"/>
    </font>
    <font>
      <b/>
      <sz val="11"/>
      <color theme="1"/>
      <name val="Arial"/>
      <family val="2"/>
    </font>
    <font>
      <sz val="11"/>
      <color rgb="FFFFFFFF"/>
      <name val="Arial"/>
      <family val="2"/>
    </font>
    <font>
      <sz val="11"/>
      <color rgb="FFFFFFFF"/>
      <name val="Calibri"/>
      <family val="2"/>
      <scheme val="minor"/>
    </font>
    <font>
      <sz val="11"/>
      <color theme="1"/>
      <name val="Arial"/>
      <family val="2"/>
    </font>
    <font>
      <sz val="12"/>
      <color theme="1"/>
      <name val="Calibri"/>
      <family val="2"/>
    </font>
    <font>
      <sz val="12"/>
      <color rgb="FF000000"/>
      <name val="Lato"/>
      <family val="2"/>
    </font>
    <font>
      <b/>
      <sz val="11"/>
      <name val="Arial"/>
      <family val="2"/>
    </font>
    <font>
      <b/>
      <sz val="12"/>
      <color theme="0"/>
      <name val="Arial"/>
      <family val="2"/>
    </font>
    <font>
      <sz val="11"/>
      <color theme="1"/>
      <name val="Arial Unicode MS"/>
      <family val="2"/>
    </font>
    <font>
      <b/>
      <sz val="11"/>
      <color theme="1"/>
      <name val="Arial Unicode MS"/>
      <family val="2"/>
    </font>
    <font>
      <sz val="10"/>
      <name val="Arial"/>
      <family val="2"/>
    </font>
    <font>
      <sz val="8"/>
      <name val="Arial"/>
      <family val="2"/>
    </font>
    <font>
      <sz val="10"/>
      <color rgb="FF000000"/>
      <name val="Calibri"/>
      <family val="2"/>
    </font>
    <font>
      <sz val="8"/>
      <color theme="1"/>
      <name val="Calibri"/>
      <family val="2"/>
      <scheme val="minor"/>
    </font>
    <font>
      <b/>
      <sz val="11"/>
      <color rgb="FF000000"/>
      <name val="Calibri"/>
      <family val="2"/>
    </font>
    <font>
      <sz val="12"/>
      <color rgb="FF000000"/>
      <name val="Calibri"/>
      <family val="2"/>
    </font>
    <font>
      <b/>
      <sz val="20"/>
      <color indexed="8"/>
      <name val="Arial"/>
      <family val="2"/>
    </font>
    <font>
      <b/>
      <sz val="12"/>
      <color theme="1"/>
      <name val="Calibri"/>
      <family val="2"/>
    </font>
    <font>
      <b/>
      <sz val="8"/>
      <name val="Arial"/>
      <family val="2"/>
    </font>
    <font>
      <sz val="11"/>
      <name val="Calibri"/>
      <family val="2"/>
    </font>
    <font>
      <sz val="8"/>
      <color rgb="FF000000"/>
      <name val="Lato"/>
      <family val="2"/>
    </font>
    <font>
      <b/>
      <sz val="11"/>
      <color theme="1"/>
      <name val="Arial Narrow"/>
      <family val="2"/>
    </font>
    <font>
      <sz val="11"/>
      <color theme="1"/>
      <name val="Arial Narrow"/>
      <family val="2"/>
    </font>
    <font>
      <i/>
      <sz val="11"/>
      <color rgb="FFFFFFFF"/>
      <name val="Arial"/>
      <family val="2"/>
    </font>
    <font>
      <sz val="9"/>
      <color rgb="FF000000"/>
      <name val="Lato"/>
      <family val="2"/>
    </font>
    <font>
      <sz val="10"/>
      <color rgb="FF000000"/>
      <name val="Lato"/>
      <family val="2"/>
    </font>
    <font>
      <b/>
      <sz val="11"/>
      <color rgb="FF000000"/>
      <name val="Calibri"/>
      <family val="2"/>
      <scheme val="minor"/>
    </font>
    <font>
      <b/>
      <sz val="11"/>
      <name val="Calibri"/>
      <family val="2"/>
      <scheme val="minor"/>
    </font>
    <font>
      <b/>
      <i/>
      <sz val="11"/>
      <color theme="1"/>
      <name val="Calibri"/>
      <family val="2"/>
      <scheme val="minor"/>
    </font>
    <font>
      <sz val="11"/>
      <color rgb="FF000000"/>
      <name val="Calibri"/>
      <family val="2"/>
      <scheme val="minor"/>
    </font>
    <font>
      <i/>
      <sz val="11"/>
      <color theme="1"/>
      <name val="Calibri"/>
      <family val="2"/>
      <scheme val="minor"/>
    </font>
    <font>
      <b/>
      <i/>
      <sz val="11"/>
      <color rgb="FF000000"/>
      <name val="Calibri"/>
      <family val="2"/>
      <scheme val="minor"/>
    </font>
    <font>
      <sz val="11"/>
      <color theme="0"/>
      <name val="Calibri"/>
      <family val="2"/>
      <scheme val="minor"/>
    </font>
    <font>
      <sz val="10"/>
      <name val="Calibri"/>
      <family val="2"/>
    </font>
    <font>
      <i/>
      <sz val="10"/>
      <color theme="1"/>
      <name val="Arial"/>
      <family val="2"/>
    </font>
    <font>
      <i/>
      <sz val="10"/>
      <color theme="0"/>
      <name val="Arial"/>
      <family val="2"/>
    </font>
    <font>
      <sz val="10"/>
      <name val="Calibri"/>
      <family val="2"/>
      <scheme val="minor"/>
    </font>
    <font>
      <sz val="10"/>
      <color indexed="57"/>
      <name val="Calibri"/>
      <family val="2"/>
      <scheme val="minor"/>
    </font>
    <font>
      <sz val="10"/>
      <color indexed="49"/>
      <name val="Calibri"/>
      <family val="2"/>
      <scheme val="minor"/>
    </font>
    <font>
      <sz val="10"/>
      <color indexed="52"/>
      <name val="Calibri"/>
      <family val="2"/>
      <scheme val="minor"/>
    </font>
    <font>
      <sz val="10"/>
      <color indexed="55"/>
      <name val="Calibri"/>
      <family val="2"/>
      <scheme val="minor"/>
    </font>
    <font>
      <sz val="10"/>
      <color indexed="10"/>
      <name val="Calibri"/>
      <family val="2"/>
      <scheme val="minor"/>
    </font>
    <font>
      <sz val="8"/>
      <name val="Calibri"/>
      <family val="2"/>
      <scheme val="minor"/>
    </font>
    <font>
      <sz val="10"/>
      <color rgb="FF0000FF"/>
      <name val="Calibri"/>
      <family val="2"/>
      <scheme val="minor"/>
    </font>
    <font>
      <b/>
      <sz val="10"/>
      <name val="Calibri"/>
      <family val="2"/>
      <scheme val="minor"/>
    </font>
    <font>
      <sz val="8"/>
      <color indexed="10"/>
      <name val="Calibri"/>
      <family val="2"/>
      <scheme val="minor"/>
    </font>
    <font>
      <sz val="10"/>
      <color indexed="62"/>
      <name val="Calibri"/>
      <family val="2"/>
      <scheme val="minor"/>
    </font>
    <font>
      <b/>
      <sz val="10"/>
      <color indexed="8"/>
      <name val="Calibri"/>
      <family val="2"/>
      <scheme val="minor"/>
    </font>
    <font>
      <b/>
      <sz val="10"/>
      <color rgb="FF0000FF"/>
      <name val="Calibri"/>
      <family val="2"/>
      <scheme val="minor"/>
    </font>
    <font>
      <i/>
      <u/>
      <sz val="10"/>
      <name val="Arial"/>
      <family val="2"/>
    </font>
    <font>
      <sz val="8"/>
      <name val="Arial"/>
    </font>
  </fonts>
  <fills count="44">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CC99"/>
      </patternFill>
    </fill>
    <fill>
      <patternFill patternType="solid">
        <fgColor theme="4"/>
        <bgColor indexed="64"/>
      </patternFill>
    </fill>
    <fill>
      <patternFill patternType="solid">
        <fgColor rgb="FFFFFF0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4"/>
        <bgColor theme="4"/>
      </patternFill>
    </fill>
    <fill>
      <patternFill patternType="solid">
        <fgColor rgb="FFD8E4BC"/>
        <bgColor rgb="FF000000"/>
      </patternFill>
    </fill>
    <fill>
      <patternFill patternType="solid">
        <fgColor rgb="FFDCE6F1"/>
        <bgColor rgb="FF000000"/>
      </patternFill>
    </fill>
    <fill>
      <patternFill patternType="solid">
        <fgColor rgb="FFB4C6E7"/>
        <bgColor indexed="64"/>
      </patternFill>
    </fill>
    <fill>
      <patternFill patternType="solid">
        <fgColor rgb="FFF2DCDB"/>
        <bgColor rgb="FF000000"/>
      </patternFill>
    </fill>
    <fill>
      <patternFill patternType="solid">
        <fgColor theme="5" tint="0.79998168889431442"/>
        <bgColor rgb="FF000000"/>
      </patternFill>
    </fill>
    <fill>
      <patternFill patternType="solid">
        <fgColor theme="9" tint="0.79998168889431442"/>
        <bgColor rgb="FF000000"/>
      </patternFill>
    </fill>
    <fill>
      <patternFill patternType="solid">
        <fgColor theme="3" tint="0.89999084444715716"/>
        <bgColor rgb="FF000000"/>
      </patternFill>
    </fill>
    <fill>
      <patternFill patternType="solid">
        <fgColor rgb="FFFFFF00"/>
        <bgColor rgb="FF000000"/>
      </patternFill>
    </fill>
    <fill>
      <patternFill patternType="solid">
        <fgColor theme="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indexed="9"/>
        <bgColor indexed="64"/>
      </patternFill>
    </fill>
    <fill>
      <patternFill patternType="solid">
        <fgColor rgb="FFD0CECE"/>
        <bgColor rgb="FFD0CECE"/>
      </patternFill>
    </fill>
    <fill>
      <patternFill patternType="solid">
        <fgColor rgb="FFD8D8D8"/>
        <bgColor rgb="FFD8D8D8"/>
      </patternFill>
    </fill>
    <fill>
      <patternFill patternType="solid">
        <fgColor rgb="FF9CC2E5"/>
        <bgColor rgb="FF9CC2E5"/>
      </patternFill>
    </fill>
    <fill>
      <patternFill patternType="solid">
        <fgColor rgb="FFFFC000"/>
        <bgColor indexed="64"/>
      </patternFill>
    </fill>
    <fill>
      <patternFill patternType="solid">
        <fgColor theme="4" tint="0.39997558519241921"/>
        <bgColor rgb="FF8EAADB"/>
      </patternFill>
    </fill>
    <fill>
      <patternFill patternType="solid">
        <fgColor rgb="FFFF0000"/>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F2F2F2"/>
        <bgColor rgb="FFF2F2F2"/>
      </patternFill>
    </fill>
    <fill>
      <patternFill patternType="solid">
        <fgColor theme="0"/>
        <bgColor rgb="FFF2F2F2"/>
      </patternFill>
    </fill>
    <fill>
      <patternFill patternType="solid">
        <fgColor theme="9"/>
        <bgColor indexed="64"/>
      </patternFill>
    </fill>
    <fill>
      <patternFill patternType="solid">
        <fgColor theme="3" tint="0.39997558519241921"/>
        <bgColor indexed="64"/>
      </patternFill>
    </fill>
    <fill>
      <patternFill patternType="solid">
        <fgColor theme="2" tint="-9.9978637043366805E-2"/>
        <bgColor indexed="64"/>
      </patternFill>
    </fill>
    <fill>
      <patternFill patternType="solid">
        <fgColor theme="4"/>
      </patternFill>
    </fill>
    <fill>
      <patternFill patternType="solid">
        <fgColor rgb="FFECF1F8"/>
        <bgColor indexed="64"/>
      </patternFill>
    </fill>
  </fills>
  <borders count="191">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rgb="FF00B050"/>
      </left>
      <right style="thin">
        <color rgb="FF00B050"/>
      </right>
      <top style="thin">
        <color rgb="FF00B050"/>
      </top>
      <bottom style="thin">
        <color rgb="FF00B050"/>
      </bottom>
      <diagonal/>
    </border>
    <border>
      <left style="thin">
        <color indexed="64"/>
      </left>
      <right style="thin">
        <color indexed="64"/>
      </right>
      <top/>
      <bottom style="thin">
        <color indexed="64"/>
      </bottom>
      <diagonal/>
    </border>
    <border>
      <left style="thin">
        <color rgb="FF00B050"/>
      </left>
      <right style="thin">
        <color rgb="FF00B050"/>
      </right>
      <top/>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right style="thin">
        <color rgb="FF00B050"/>
      </right>
      <top/>
      <bottom style="thin">
        <color indexed="64"/>
      </bottom>
      <diagonal/>
    </border>
    <border>
      <left style="thin">
        <color rgb="FF7F7F7F"/>
      </left>
      <right style="thin">
        <color rgb="FF7F7F7F"/>
      </right>
      <top/>
      <bottom style="thin">
        <color rgb="FF7F7F7F"/>
      </bottom>
      <diagonal/>
    </border>
    <border>
      <left style="thin">
        <color indexed="64"/>
      </left>
      <right style="thin">
        <color indexed="64"/>
      </right>
      <top style="thin">
        <color theme="4"/>
      </top>
      <bottom style="thin">
        <color indexed="64"/>
      </bottom>
      <diagonal/>
    </border>
    <border>
      <left style="thin">
        <color rgb="FF7F7F7F"/>
      </left>
      <right style="thin">
        <color rgb="FF7F7F7F"/>
      </right>
      <top style="thin">
        <color theme="4"/>
      </top>
      <bottom style="thin">
        <color rgb="FF7F7F7F"/>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auto="1"/>
      </right>
      <top style="thin">
        <color auto="1"/>
      </top>
      <bottom style="medium">
        <color auto="1"/>
      </bottom>
      <diagonal/>
    </border>
    <border>
      <left style="thin">
        <color theme="4"/>
      </left>
      <right/>
      <top style="thin">
        <color theme="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auto="1"/>
      </right>
      <top/>
      <bottom/>
      <diagonal/>
    </border>
    <border>
      <left style="thin">
        <color rgb="FF000000"/>
      </left>
      <right style="thin">
        <color indexed="64"/>
      </right>
      <top/>
      <bottom style="thin">
        <color rgb="FF000000"/>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auto="1"/>
      </right>
      <top/>
      <bottom style="medium">
        <color auto="1"/>
      </bottom>
      <diagonal/>
    </border>
    <border>
      <left/>
      <right style="thin">
        <color rgb="FF000000"/>
      </right>
      <top/>
      <bottom style="thin">
        <color rgb="FF000000"/>
      </bottom>
      <diagonal/>
    </border>
    <border>
      <left/>
      <right/>
      <top style="thin">
        <color theme="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thin">
        <color indexed="64"/>
      </right>
      <top style="medium">
        <color indexed="64"/>
      </top>
      <bottom style="thin">
        <color indexed="64"/>
      </bottom>
      <diagonal/>
    </border>
    <border>
      <left/>
      <right/>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bottom style="hair">
        <color indexed="64"/>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top style="thin">
        <color rgb="FF000000"/>
      </top>
      <bottom/>
      <diagonal/>
    </border>
    <border>
      <left style="thin">
        <color indexed="64"/>
      </left>
      <right/>
      <top/>
      <bottom/>
      <diagonal/>
    </border>
    <border>
      <left/>
      <right style="thin">
        <color indexed="64"/>
      </right>
      <top/>
      <bottom/>
      <diagonal/>
    </border>
    <border>
      <left style="hair">
        <color indexed="64"/>
      </left>
      <right/>
      <top/>
      <bottom/>
      <diagonal/>
    </border>
    <border>
      <left/>
      <right style="hair">
        <color indexed="64"/>
      </right>
      <top/>
      <bottom/>
      <diagonal/>
    </border>
    <border>
      <left/>
      <right style="thin">
        <color rgb="FF000000"/>
      </right>
      <top/>
      <bottom/>
      <diagonal/>
    </border>
    <border>
      <left style="medium">
        <color indexed="64"/>
      </left>
      <right style="hair">
        <color indexed="64"/>
      </right>
      <top style="medium">
        <color rgb="FF000000"/>
      </top>
      <bottom style="medium">
        <color rgb="FF000000"/>
      </bottom>
      <diagonal/>
    </border>
    <border>
      <left style="hair">
        <color indexed="64"/>
      </left>
      <right style="hair">
        <color indexed="64"/>
      </right>
      <top style="medium">
        <color rgb="FF000000"/>
      </top>
      <bottom style="medium">
        <color rgb="FF000000"/>
      </bottom>
      <diagonal/>
    </border>
    <border>
      <left style="medium">
        <color indexed="64"/>
      </left>
      <right style="hair">
        <color indexed="64"/>
      </right>
      <top style="medium">
        <color rgb="FF000000"/>
      </top>
      <bottom style="medium">
        <color indexed="64"/>
      </bottom>
      <diagonal/>
    </border>
    <border>
      <left style="hair">
        <color indexed="64"/>
      </left>
      <right style="hair">
        <color indexed="64"/>
      </right>
      <top style="medium">
        <color rgb="FF000000"/>
      </top>
      <bottom style="medium">
        <color indexed="64"/>
      </bottom>
      <diagonal/>
    </border>
    <border>
      <left style="thin">
        <color rgb="FF00B050"/>
      </left>
      <right/>
      <top/>
      <bottom style="thin">
        <color rgb="FF00B050"/>
      </bottom>
      <diagonal/>
    </border>
    <border>
      <left/>
      <right/>
      <top/>
      <bottom style="thin">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hair">
        <color rgb="FF000000"/>
      </bottom>
      <diagonal/>
    </border>
    <border>
      <left style="thin">
        <color rgb="FF000000"/>
      </left>
      <right style="thin">
        <color rgb="FF000000"/>
      </right>
      <top/>
      <bottom style="hair">
        <color rgb="FF000000"/>
      </bottom>
      <diagonal/>
    </border>
    <border>
      <left style="thin">
        <color rgb="FF000000"/>
      </left>
      <right style="medium">
        <color rgb="FF000000"/>
      </right>
      <top style="medium">
        <color rgb="FF000000"/>
      </top>
      <bottom style="hair">
        <color rgb="FF000000"/>
      </bottom>
      <diagonal/>
    </border>
    <border>
      <left style="medium">
        <color rgb="FF000000"/>
      </left>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top style="hair">
        <color rgb="FF000000"/>
      </top>
      <bottom/>
      <diagonal/>
    </border>
    <border>
      <left style="thin">
        <color rgb="FF000000"/>
      </left>
      <right style="thin">
        <color rgb="FF000000"/>
      </right>
      <top style="hair">
        <color rgb="FF000000"/>
      </top>
      <bottom/>
      <diagonal/>
    </border>
    <border>
      <left/>
      <right style="medium">
        <color rgb="FF000000"/>
      </right>
      <top style="medium">
        <color indexed="64"/>
      </top>
      <bottom style="medium">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rgb="FF000000"/>
      </right>
      <top style="medium">
        <color indexed="64"/>
      </top>
      <bottom style="hair">
        <color indexed="64"/>
      </bottom>
      <diagonal/>
    </border>
    <border>
      <left style="medium">
        <color indexed="64"/>
      </left>
      <right/>
      <top style="hair">
        <color indexed="64"/>
      </top>
      <bottom style="medium">
        <color indexed="64"/>
      </bottom>
      <diagonal/>
    </border>
    <border>
      <left style="thin">
        <color rgb="FF000000"/>
      </left>
      <right style="thin">
        <color rgb="FF000000"/>
      </right>
      <top style="hair">
        <color indexed="64"/>
      </top>
      <bottom style="medium">
        <color indexed="64"/>
      </bottom>
      <diagonal/>
    </border>
    <border>
      <left style="thin">
        <color rgb="FF000000"/>
      </left>
      <right style="medium">
        <color rgb="FF000000"/>
      </right>
      <top style="hair">
        <color indexed="64"/>
      </top>
      <bottom style="medium">
        <color indexed="64"/>
      </bottom>
      <diagonal/>
    </border>
    <border>
      <left style="medium">
        <color rgb="FF000000"/>
      </left>
      <right/>
      <top/>
      <bottom/>
      <diagonal/>
    </border>
    <border>
      <left/>
      <right style="medium">
        <color rgb="FF000000"/>
      </right>
      <top/>
      <bottom/>
      <diagonal/>
    </border>
    <border>
      <left/>
      <right style="medium">
        <color rgb="FF000000"/>
      </right>
      <top/>
      <bottom style="thin">
        <color indexed="64"/>
      </bottom>
      <diagonal/>
    </border>
    <border>
      <left/>
      <right style="medium">
        <color rgb="FF000000"/>
      </right>
      <top style="thin">
        <color indexed="64"/>
      </top>
      <bottom/>
      <diagonal/>
    </border>
    <border>
      <left style="thin">
        <color rgb="FF000000"/>
      </left>
      <right style="medium">
        <color rgb="FF000000"/>
      </right>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hair">
        <color rgb="FF000000"/>
      </bottom>
      <diagonal/>
    </border>
    <border>
      <left style="thin">
        <color rgb="FF000000"/>
      </left>
      <right style="thin">
        <color rgb="FF000000"/>
      </right>
      <top style="medium">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style="dotted">
        <color indexed="64"/>
      </left>
      <right style="dotted">
        <color indexed="64"/>
      </right>
      <top style="dotted">
        <color indexed="64"/>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top style="thin">
        <color rgb="FF000000"/>
      </top>
      <bottom/>
      <diagonal/>
    </border>
    <border>
      <left/>
      <right style="thin">
        <color indexed="64"/>
      </right>
      <top style="thin">
        <color rgb="FF000000"/>
      </top>
      <bottom/>
      <diagonal/>
    </border>
    <border>
      <left style="medium">
        <color indexed="64"/>
      </left>
      <right style="thin">
        <color indexed="64"/>
      </right>
      <top/>
      <bottom style="hair">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73">
    <xf numFmtId="0" fontId="0" fillId="0" borderId="0"/>
    <xf numFmtId="168" fontId="12" fillId="0" borderId="0" applyFont="0" applyFill="0" applyBorder="0" applyAlignment="0" applyProtection="0"/>
    <xf numFmtId="167" fontId="12" fillId="0" borderId="0" applyFont="0" applyFill="0" applyBorder="0" applyAlignment="0" applyProtection="0"/>
    <xf numFmtId="0" fontId="12" fillId="0" borderId="0"/>
    <xf numFmtId="9" fontId="18" fillId="0" borderId="0" applyFont="0" applyFill="0" applyBorder="0" applyAlignment="0" applyProtection="0"/>
    <xf numFmtId="41" fontId="20" fillId="0" borderId="0" applyFont="0" applyFill="0" applyBorder="0" applyAlignment="0" applyProtection="0"/>
    <xf numFmtId="0" fontId="22" fillId="6" borderId="16" applyNumberFormat="0" applyAlignment="0" applyProtection="0"/>
    <xf numFmtId="0" fontId="24" fillId="0" borderId="0"/>
    <xf numFmtId="0" fontId="12" fillId="0" borderId="0"/>
    <xf numFmtId="0" fontId="11" fillId="0" borderId="0"/>
    <xf numFmtId="0" fontId="35" fillId="0" borderId="0" applyNumberFormat="0" applyFill="0" applyBorder="0" applyAlignment="0" applyProtection="0"/>
    <xf numFmtId="9" fontId="12" fillId="0" borderId="0" applyFont="0" applyFill="0" applyBorder="0" applyAlignment="0" applyProtection="0"/>
    <xf numFmtId="44" fontId="10" fillId="0" borderId="0" applyFont="0" applyFill="0" applyBorder="0" applyAlignment="0" applyProtection="0"/>
    <xf numFmtId="0" fontId="10" fillId="0" borderId="0"/>
    <xf numFmtId="41"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80" fontId="12" fillId="0" borderId="0" applyFont="0" applyFill="0" applyBorder="0" applyAlignment="0" applyProtection="0"/>
    <xf numFmtId="164" fontId="12" fillId="0" borderId="0" applyFont="0" applyFill="0" applyBorder="0" applyAlignment="0" applyProtection="0"/>
    <xf numFmtId="182" fontId="12"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0" fontId="12" fillId="0" borderId="0"/>
    <xf numFmtId="180" fontId="12" fillId="0" borderId="0" applyFont="0" applyFill="0" applyBorder="0" applyAlignment="0" applyProtection="0"/>
    <xf numFmtId="9" fontId="12" fillId="0" borderId="0" applyFont="0" applyFill="0" applyBorder="0" applyAlignment="0" applyProtection="0"/>
    <xf numFmtId="180" fontId="9" fillId="0" borderId="0" applyFont="0" applyFill="0" applyBorder="0" applyAlignment="0" applyProtection="0"/>
    <xf numFmtId="188" fontId="12" fillId="0" borderId="0" applyFont="0" applyFill="0" applyBorder="0" applyAlignment="0" applyProtection="0"/>
    <xf numFmtId="180" fontId="12" fillId="0" borderId="0" applyFont="0" applyFill="0" applyBorder="0" applyAlignment="0" applyProtection="0"/>
    <xf numFmtId="189" fontId="12" fillId="0" borderId="0" applyFont="0" applyFill="0" applyBorder="0" applyAlignment="0" applyProtection="0"/>
    <xf numFmtId="0" fontId="9" fillId="0" borderId="0"/>
    <xf numFmtId="180" fontId="9" fillId="0" borderId="0" applyFont="0" applyFill="0" applyBorder="0" applyAlignment="0" applyProtection="0"/>
    <xf numFmtId="0" fontId="9" fillId="0" borderId="0"/>
    <xf numFmtId="0" fontId="53" fillId="0" borderId="0"/>
    <xf numFmtId="0" fontId="8" fillId="0" borderId="0"/>
    <xf numFmtId="180" fontId="8" fillId="0" borderId="0" applyFont="0" applyFill="0" applyBorder="0" applyAlignment="0" applyProtection="0"/>
    <xf numFmtId="0" fontId="12" fillId="0" borderId="0"/>
    <xf numFmtId="9" fontId="52" fillId="0" borderId="0" applyFont="0" applyFill="0" applyBorder="0" applyAlignment="0" applyProtection="0"/>
    <xf numFmtId="0" fontId="12" fillId="0" borderId="0"/>
    <xf numFmtId="9" fontId="8" fillId="0" borderId="0" applyFont="0" applyFill="0" applyBorder="0" applyAlignment="0" applyProtection="0"/>
    <xf numFmtId="0" fontId="8" fillId="0" borderId="0"/>
    <xf numFmtId="0" fontId="12" fillId="0" borderId="0"/>
    <xf numFmtId="43" fontId="66"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0" fontId="52" fillId="0" borderId="0"/>
    <xf numFmtId="164" fontId="52" fillId="0" borderId="0" applyFont="0" applyFill="0" applyBorder="0" applyAlignment="0" applyProtection="0"/>
    <xf numFmtId="43" fontId="12" fillId="0" borderId="0" applyFont="0" applyFill="0" applyBorder="0" applyAlignment="0" applyProtection="0"/>
    <xf numFmtId="0" fontId="6" fillId="0" borderId="0"/>
    <xf numFmtId="42" fontId="6" fillId="0" borderId="0" applyFont="0" applyFill="0" applyBorder="0" applyAlignment="0" applyProtection="0"/>
    <xf numFmtId="0" fontId="12" fillId="0" borderId="0"/>
    <xf numFmtId="0" fontId="12" fillId="0" borderId="0"/>
    <xf numFmtId="42" fontId="12" fillId="0" borderId="0" applyFont="0" applyFill="0" applyBorder="0" applyAlignment="0" applyProtection="0"/>
    <xf numFmtId="167" fontId="12" fillId="0" borderId="0" applyFont="0" applyFill="0" applyBorder="0" applyAlignment="0" applyProtection="0"/>
    <xf numFmtId="0" fontId="17" fillId="0" borderId="0" applyNumberFormat="0" applyFill="0" applyBorder="0" applyAlignment="0" applyProtection="0"/>
    <xf numFmtId="9" fontId="60" fillId="0" borderId="0" applyFont="0" applyFill="0" applyBorder="0" applyAlignment="0" applyProtection="0"/>
    <xf numFmtId="180" fontId="12" fillId="0" borderId="0" applyFont="0" applyFill="0" applyBorder="0" applyAlignment="0" applyProtection="0"/>
    <xf numFmtId="0" fontId="5" fillId="0" borderId="0"/>
    <xf numFmtId="42" fontId="5" fillId="0" borderId="0" applyFont="0" applyFill="0" applyBorder="0" applyAlignment="0" applyProtection="0"/>
    <xf numFmtId="0" fontId="88" fillId="42" borderId="0" applyNumberFormat="0" applyBorder="0" applyAlignment="0" applyProtection="0"/>
    <xf numFmtId="0" fontId="4" fillId="0" borderId="0"/>
    <xf numFmtId="166" fontId="24" fillId="0" borderId="0" applyFont="0" applyFill="0" applyBorder="0" applyAlignment="0" applyProtection="0"/>
    <xf numFmtId="0" fontId="48" fillId="0" borderId="0"/>
    <xf numFmtId="182"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41" fontId="12" fillId="0" borderId="0" applyFont="0" applyFill="0" applyBorder="0" applyAlignment="0" applyProtection="0"/>
    <xf numFmtId="0" fontId="2" fillId="0" borderId="0"/>
    <xf numFmtId="42" fontId="2" fillId="0" borderId="0" applyFont="0" applyFill="0" applyBorder="0" applyAlignment="0" applyProtection="0"/>
    <xf numFmtId="0" fontId="2" fillId="0" borderId="0"/>
  </cellStyleXfs>
  <cellXfs count="1763">
    <xf numFmtId="0" fontId="0" fillId="0" borderId="0" xfId="0"/>
    <xf numFmtId="6" fontId="12" fillId="0" borderId="2" xfId="0" applyNumberFormat="1" applyFont="1" applyBorder="1" applyAlignment="1">
      <alignment horizontal="center" vertical="center"/>
    </xf>
    <xf numFmtId="0" fontId="14" fillId="0" borderId="0" xfId="0" applyFont="1" applyAlignment="1">
      <alignment vertical="center" wrapText="1"/>
    </xf>
    <xf numFmtId="166" fontId="0" fillId="0" borderId="0" xfId="0" applyNumberFormat="1"/>
    <xf numFmtId="0" fontId="12" fillId="0" borderId="2" xfId="0" applyFont="1" applyBorder="1" applyAlignment="1">
      <alignment horizontal="justify" vertical="center" wrapText="1"/>
    </xf>
    <xf numFmtId="0" fontId="12" fillId="0" borderId="0" xfId="3"/>
    <xf numFmtId="0" fontId="13" fillId="0" borderId="0" xfId="3" applyFont="1" applyAlignment="1">
      <alignment horizontal="left" vertical="center"/>
    </xf>
    <xf numFmtId="0" fontId="12" fillId="0" borderId="0" xfId="3" applyAlignment="1">
      <alignment vertical="center" wrapText="1"/>
    </xf>
    <xf numFmtId="0" fontId="13" fillId="0" borderId="1" xfId="3" applyFont="1" applyBorder="1" applyAlignment="1">
      <alignment horizontal="center" vertical="center"/>
    </xf>
    <xf numFmtId="0" fontId="13" fillId="0" borderId="0" xfId="3" quotePrefix="1" applyFont="1" applyAlignment="1">
      <alignment horizontal="left"/>
    </xf>
    <xf numFmtId="0" fontId="13" fillId="0" borderId="0" xfId="3" applyFont="1" applyAlignment="1">
      <alignment horizontal="right"/>
    </xf>
    <xf numFmtId="0" fontId="13" fillId="0" borderId="1" xfId="3" applyFont="1" applyBorder="1"/>
    <xf numFmtId="0" fontId="13" fillId="0" borderId="3" xfId="3" applyFont="1" applyBorder="1" applyAlignment="1">
      <alignment horizontal="center"/>
    </xf>
    <xf numFmtId="0" fontId="13" fillId="0" borderId="1" xfId="3" applyFont="1" applyBorder="1" applyAlignment="1">
      <alignment horizontal="center"/>
    </xf>
    <xf numFmtId="0" fontId="12" fillId="0" borderId="3" xfId="3" applyBorder="1" applyAlignment="1">
      <alignment horizontal="left"/>
    </xf>
    <xf numFmtId="0" fontId="12" fillId="0" borderId="1" xfId="3" applyBorder="1" applyAlignment="1">
      <alignment horizontal="center"/>
    </xf>
    <xf numFmtId="3" fontId="12" fillId="0" borderId="1" xfId="3" applyNumberFormat="1" applyBorder="1" applyAlignment="1">
      <alignment horizontal="center"/>
    </xf>
    <xf numFmtId="4" fontId="12" fillId="0" borderId="1" xfId="3" applyNumberFormat="1" applyBorder="1" applyAlignment="1">
      <alignment horizontal="right"/>
    </xf>
    <xf numFmtId="0" fontId="13" fillId="0" borderId="0" xfId="3" applyFont="1"/>
    <xf numFmtId="0" fontId="13" fillId="0" borderId="1" xfId="3" applyFont="1" applyBorder="1" applyAlignment="1">
      <alignment horizontal="right"/>
    </xf>
    <xf numFmtId="0" fontId="13" fillId="0" borderId="4" xfId="3" applyFont="1" applyBorder="1"/>
    <xf numFmtId="3" fontId="12" fillId="0" borderId="1" xfId="3" applyNumberFormat="1" applyBorder="1" applyAlignment="1">
      <alignment horizontal="right"/>
    </xf>
    <xf numFmtId="4" fontId="12" fillId="0" borderId="1" xfId="3" applyNumberFormat="1" applyBorder="1" applyAlignment="1">
      <alignment horizontal="center"/>
    </xf>
    <xf numFmtId="3" fontId="12" fillId="0" borderId="0" xfId="3" applyNumberFormat="1" applyAlignment="1">
      <alignment horizontal="right"/>
    </xf>
    <xf numFmtId="3" fontId="12" fillId="0" borderId="0" xfId="3" applyNumberFormat="1"/>
    <xf numFmtId="3" fontId="13" fillId="0" borderId="1" xfId="3" applyNumberFormat="1" applyFont="1" applyBorder="1" applyAlignment="1">
      <alignment horizontal="center"/>
    </xf>
    <xf numFmtId="0" fontId="12" fillId="0" borderId="1" xfId="3" applyBorder="1" applyAlignment="1">
      <alignment horizontal="justify" vertical="center" wrapText="1"/>
    </xf>
    <xf numFmtId="0" fontId="12" fillId="0" borderId="1" xfId="3" applyBorder="1" applyAlignment="1">
      <alignment horizontal="center" vertical="center"/>
    </xf>
    <xf numFmtId="3" fontId="12" fillId="0" borderId="1" xfId="3" applyNumberFormat="1" applyBorder="1" applyAlignment="1">
      <alignment horizontal="center" vertical="center"/>
    </xf>
    <xf numFmtId="0" fontId="13" fillId="0" borderId="5" xfId="3" applyFont="1" applyBorder="1" applyAlignment="1">
      <alignment horizontal="right"/>
    </xf>
    <xf numFmtId="3" fontId="12" fillId="0" borderId="0" xfId="3" applyNumberFormat="1" applyAlignment="1">
      <alignment horizontal="center" vertical="center"/>
    </xf>
    <xf numFmtId="0" fontId="12" fillId="0" borderId="0" xfId="3" applyAlignment="1">
      <alignment horizontal="center" vertical="center"/>
    </xf>
    <xf numFmtId="0" fontId="12" fillId="0" borderId="1" xfId="3" applyBorder="1"/>
    <xf numFmtId="170" fontId="12" fillId="0" borderId="0" xfId="3" applyNumberFormat="1"/>
    <xf numFmtId="0" fontId="12" fillId="0" borderId="0" xfId="0" applyFont="1"/>
    <xf numFmtId="171" fontId="12" fillId="0" borderId="1" xfId="1" applyNumberFormat="1" applyBorder="1" applyAlignment="1">
      <alignment horizontal="center" vertical="center"/>
    </xf>
    <xf numFmtId="171" fontId="12" fillId="0" borderId="1" xfId="3" applyNumberFormat="1" applyBorder="1" applyAlignment="1">
      <alignment horizontal="right"/>
    </xf>
    <xf numFmtId="171" fontId="13" fillId="0" borderId="1" xfId="3" applyNumberFormat="1" applyFont="1" applyBorder="1" applyAlignment="1">
      <alignment horizontal="right"/>
    </xf>
    <xf numFmtId="171" fontId="13" fillId="0" borderId="1" xfId="3" applyNumberFormat="1" applyFont="1" applyBorder="1" applyAlignment="1">
      <alignment horizontal="right" vertical="center"/>
    </xf>
    <xf numFmtId="171" fontId="12" fillId="0" borderId="0" xfId="3" applyNumberFormat="1"/>
    <xf numFmtId="171" fontId="12" fillId="0" borderId="1" xfId="3" applyNumberFormat="1" applyBorder="1" applyAlignment="1">
      <alignment horizontal="center"/>
    </xf>
    <xf numFmtId="171" fontId="13" fillId="0" borderId="0" xfId="3" applyNumberFormat="1" applyFont="1" applyAlignment="1">
      <alignment horizontal="right"/>
    </xf>
    <xf numFmtId="171" fontId="13" fillId="0" borderId="5" xfId="3" applyNumberFormat="1" applyFont="1" applyBorder="1" applyAlignment="1">
      <alignment horizontal="right"/>
    </xf>
    <xf numFmtId="0" fontId="12" fillId="0" borderId="3" xfId="3" applyBorder="1" applyAlignment="1">
      <alignment horizontal="justify" vertical="center"/>
    </xf>
    <xf numFmtId="171" fontId="12" fillId="0" borderId="1" xfId="3" applyNumberFormat="1" applyBorder="1" applyAlignment="1">
      <alignment horizontal="justify" vertical="center"/>
    </xf>
    <xf numFmtId="0" fontId="0" fillId="0" borderId="0" xfId="0" applyAlignment="1">
      <alignment vertical="center"/>
    </xf>
    <xf numFmtId="0" fontId="14" fillId="0" borderId="0" xfId="0" applyFont="1" applyAlignment="1">
      <alignment vertical="center"/>
    </xf>
    <xf numFmtId="0" fontId="12" fillId="0" borderId="0" xfId="0" applyFont="1" applyAlignment="1">
      <alignment vertical="center"/>
    </xf>
    <xf numFmtId="169" fontId="12" fillId="0" borderId="1" xfId="3" applyNumberFormat="1" applyBorder="1" applyAlignment="1">
      <alignment horizontal="center"/>
    </xf>
    <xf numFmtId="0" fontId="12" fillId="0" borderId="12" xfId="0" applyFont="1" applyBorder="1" applyAlignment="1">
      <alignment horizontal="center" vertical="center"/>
    </xf>
    <xf numFmtId="42" fontId="0" fillId="0" borderId="12" xfId="0" applyNumberFormat="1" applyBorder="1" applyAlignment="1">
      <alignment vertical="center"/>
    </xf>
    <xf numFmtId="0" fontId="13" fillId="3" borderId="12" xfId="0" applyFont="1" applyFill="1" applyBorder="1" applyAlignment="1">
      <alignment horizontal="center" vertical="center"/>
    </xf>
    <xf numFmtId="10" fontId="0" fillId="0" borderId="0" xfId="0" applyNumberFormat="1"/>
    <xf numFmtId="9" fontId="0" fillId="0" borderId="0" xfId="0" applyNumberFormat="1"/>
    <xf numFmtId="0" fontId="0" fillId="0" borderId="12" xfId="0" applyBorder="1" applyAlignment="1">
      <alignment horizontal="center" vertical="center"/>
    </xf>
    <xf numFmtId="10" fontId="0" fillId="0" borderId="0" xfId="4" applyNumberFormat="1" applyFont="1"/>
    <xf numFmtId="1" fontId="0" fillId="0" borderId="0" xfId="0" applyNumberFormat="1"/>
    <xf numFmtId="172" fontId="13" fillId="0" borderId="2" xfId="4" applyNumberFormat="1" applyFont="1" applyFill="1" applyBorder="1" applyAlignment="1">
      <alignment horizontal="right" vertical="center"/>
    </xf>
    <xf numFmtId="42" fontId="0" fillId="0" borderId="0" xfId="0" applyNumberFormat="1"/>
    <xf numFmtId="0" fontId="12" fillId="0" borderId="12" xfId="0" applyFont="1" applyBorder="1" applyAlignment="1">
      <alignment horizontal="justify" vertical="center" wrapText="1"/>
    </xf>
    <xf numFmtId="44" fontId="0" fillId="0" borderId="0" xfId="0" applyNumberFormat="1"/>
    <xf numFmtId="42" fontId="12" fillId="0" borderId="1" xfId="3" applyNumberFormat="1" applyBorder="1" applyAlignment="1">
      <alignment horizontal="center" vertical="center"/>
    </xf>
    <xf numFmtId="172" fontId="13" fillId="0" borderId="2" xfId="0" applyNumberFormat="1" applyFont="1" applyBorder="1" applyAlignment="1">
      <alignment horizontal="center" vertical="center"/>
    </xf>
    <xf numFmtId="0" fontId="21" fillId="0" borderId="0" xfId="0" applyFont="1"/>
    <xf numFmtId="0" fontId="12" fillId="0" borderId="2" xfId="0" applyFont="1" applyBorder="1" applyAlignment="1">
      <alignment horizontal="center" vertical="center"/>
    </xf>
    <xf numFmtId="42" fontId="12" fillId="0" borderId="2" xfId="0" applyNumberFormat="1" applyFont="1" applyBorder="1" applyAlignment="1">
      <alignment vertical="center"/>
    </xf>
    <xf numFmtId="42" fontId="12" fillId="0" borderId="0" xfId="0" applyNumberFormat="1" applyFont="1" applyAlignment="1">
      <alignment vertical="center"/>
    </xf>
    <xf numFmtId="0" fontId="13" fillId="5" borderId="12" xfId="0" applyFont="1" applyFill="1" applyBorder="1" applyAlignment="1">
      <alignment horizontal="center" vertical="center"/>
    </xf>
    <xf numFmtId="0" fontId="13" fillId="5" borderId="14" xfId="0" applyFont="1" applyFill="1" applyBorder="1" applyAlignment="1">
      <alignment horizontal="center" vertical="center"/>
    </xf>
    <xf numFmtId="3" fontId="0" fillId="0" borderId="12" xfId="0" applyNumberFormat="1" applyBorder="1" applyAlignment="1">
      <alignment horizontal="center" vertical="center"/>
    </xf>
    <xf numFmtId="0" fontId="12" fillId="0" borderId="12" xfId="0" applyFont="1" applyBorder="1" applyAlignment="1">
      <alignment horizontal="justify" vertical="center"/>
    </xf>
    <xf numFmtId="42" fontId="13" fillId="3" borderId="12" xfId="0" applyNumberFormat="1" applyFont="1" applyFill="1" applyBorder="1" applyAlignment="1">
      <alignment vertical="center"/>
    </xf>
    <xf numFmtId="42" fontId="13" fillId="3" borderId="12" xfId="0" applyNumberFormat="1" applyFont="1" applyFill="1" applyBorder="1"/>
    <xf numFmtId="9" fontId="13" fillId="4" borderId="12" xfId="0" applyNumberFormat="1" applyFont="1" applyFill="1" applyBorder="1" applyAlignment="1">
      <alignment horizontal="center"/>
    </xf>
    <xf numFmtId="2" fontId="0" fillId="0" borderId="0" xfId="0" applyNumberFormat="1" applyAlignment="1">
      <alignment horizontal="center"/>
    </xf>
    <xf numFmtId="0" fontId="17" fillId="0" borderId="0" xfId="10" applyFont="1"/>
    <xf numFmtId="0" fontId="12" fillId="0" borderId="15" xfId="0" applyFont="1" applyBorder="1" applyAlignment="1">
      <alignment horizontal="left"/>
    </xf>
    <xf numFmtId="0" fontId="12" fillId="0" borderId="2" xfId="0" applyFont="1" applyBorder="1" applyAlignment="1">
      <alignment horizontal="center"/>
    </xf>
    <xf numFmtId="0" fontId="0" fillId="0" borderId="2" xfId="0" applyBorder="1" applyAlignment="1">
      <alignment horizontal="center"/>
    </xf>
    <xf numFmtId="42" fontId="0" fillId="0" borderId="2" xfId="2" applyNumberFormat="1" applyFont="1" applyBorder="1"/>
    <xf numFmtId="174" fontId="0" fillId="0" borderId="0" xfId="0" applyNumberFormat="1"/>
    <xf numFmtId="10" fontId="12" fillId="0" borderId="0" xfId="4" applyNumberFormat="1" applyFont="1"/>
    <xf numFmtId="0" fontId="12" fillId="0" borderId="0" xfId="0" applyFont="1" applyAlignment="1">
      <alignment vertical="center" wrapText="1"/>
    </xf>
    <xf numFmtId="166" fontId="12" fillId="0" borderId="2" xfId="0" applyNumberFormat="1" applyFont="1" applyBorder="1" applyAlignment="1">
      <alignment horizontal="right" vertical="center" wrapText="1"/>
    </xf>
    <xf numFmtId="44" fontId="12" fillId="0" borderId="0" xfId="0" applyNumberFormat="1" applyFont="1" applyAlignment="1">
      <alignment vertical="center"/>
    </xf>
    <xf numFmtId="10" fontId="22" fillId="6" borderId="16" xfId="6" applyNumberFormat="1" applyAlignment="1">
      <alignment horizontal="center" vertical="center"/>
    </xf>
    <xf numFmtId="0" fontId="12" fillId="0" borderId="0" xfId="10" applyFont="1"/>
    <xf numFmtId="0" fontId="12" fillId="0" borderId="2" xfId="0" applyFont="1" applyBorder="1"/>
    <xf numFmtId="0" fontId="0" fillId="0" borderId="2" xfId="0" applyBorder="1"/>
    <xf numFmtId="0" fontId="22" fillId="6" borderId="16" xfId="6"/>
    <xf numFmtId="0" fontId="12" fillId="2" borderId="2" xfId="0" applyFont="1" applyFill="1" applyBorder="1"/>
    <xf numFmtId="3" fontId="0" fillId="0" borderId="2" xfId="0" applyNumberFormat="1" applyBorder="1"/>
    <xf numFmtId="0" fontId="22" fillId="6" borderId="2" xfId="6" applyBorder="1"/>
    <xf numFmtId="169" fontId="0" fillId="0" borderId="2" xfId="0" applyNumberFormat="1" applyBorder="1"/>
    <xf numFmtId="0" fontId="13" fillId="0" borderId="2" xfId="0" applyFont="1" applyBorder="1"/>
    <xf numFmtId="0" fontId="13" fillId="2" borderId="2" xfId="0" applyFont="1" applyFill="1" applyBorder="1"/>
    <xf numFmtId="175" fontId="13" fillId="2" borderId="2" xfId="0" applyNumberFormat="1" applyFont="1" applyFill="1" applyBorder="1"/>
    <xf numFmtId="175" fontId="0" fillId="0" borderId="0" xfId="0" applyNumberFormat="1"/>
    <xf numFmtId="169" fontId="13" fillId="0" borderId="2" xfId="0" applyNumberFormat="1" applyFont="1" applyBorder="1"/>
    <xf numFmtId="0" fontId="25" fillId="0" borderId="1" xfId="3" applyFont="1" applyBorder="1" applyAlignment="1">
      <alignment horizontal="justify" vertical="center" wrapText="1"/>
    </xf>
    <xf numFmtId="0" fontId="13" fillId="0" borderId="17" xfId="0" applyFont="1" applyBorder="1" applyAlignment="1">
      <alignment horizontal="center"/>
    </xf>
    <xf numFmtId="0" fontId="13" fillId="0" borderId="13" xfId="0" applyFont="1" applyBorder="1" applyAlignment="1">
      <alignment horizontal="center"/>
    </xf>
    <xf numFmtId="0" fontId="13" fillId="0" borderId="18" xfId="0" applyFont="1" applyBorder="1" applyAlignment="1">
      <alignment horizontal="center"/>
    </xf>
    <xf numFmtId="0" fontId="12" fillId="0" borderId="2" xfId="0" applyFont="1" applyBorder="1" applyAlignment="1">
      <alignment vertical="center"/>
    </xf>
    <xf numFmtId="0" fontId="12" fillId="0" borderId="2" xfId="0" applyFont="1" applyBorder="1" applyAlignment="1">
      <alignment wrapText="1"/>
    </xf>
    <xf numFmtId="42" fontId="0" fillId="0" borderId="2" xfId="0" applyNumberFormat="1" applyBorder="1" applyAlignment="1">
      <alignment vertical="center"/>
    </xf>
    <xf numFmtId="0" fontId="17" fillId="0" borderId="2" xfId="10" applyFont="1" applyBorder="1" applyAlignment="1">
      <alignment horizontal="center"/>
    </xf>
    <xf numFmtId="176" fontId="22" fillId="6" borderId="2" xfId="6" applyNumberFormat="1" applyBorder="1"/>
    <xf numFmtId="9" fontId="0" fillId="0" borderId="2" xfId="0" applyNumberFormat="1" applyBorder="1"/>
    <xf numFmtId="176" fontId="0" fillId="0" borderId="2" xfId="0" applyNumberFormat="1" applyBorder="1"/>
    <xf numFmtId="9" fontId="22" fillId="6" borderId="2" xfId="6" applyNumberFormat="1" applyBorder="1"/>
    <xf numFmtId="2" fontId="0" fillId="0" borderId="2" xfId="0" applyNumberFormat="1" applyBorder="1" applyAlignment="1">
      <alignment horizontal="center"/>
    </xf>
    <xf numFmtId="0" fontId="0" fillId="0" borderId="8" xfId="0" applyBorder="1"/>
    <xf numFmtId="0" fontId="12" fillId="0" borderId="6" xfId="0" applyFont="1" applyBorder="1" applyAlignment="1">
      <alignment horizontal="center"/>
    </xf>
    <xf numFmtId="0" fontId="0" fillId="0" borderId="19" xfId="0" applyBorder="1"/>
    <xf numFmtId="0" fontId="12" fillId="0" borderId="0" xfId="0" applyFont="1" applyAlignment="1">
      <alignment wrapText="1"/>
    </xf>
    <xf numFmtId="0" fontId="12" fillId="7" borderId="2" xfId="0" applyFont="1" applyFill="1" applyBorder="1"/>
    <xf numFmtId="0" fontId="22" fillId="6" borderId="16" xfId="6" applyAlignment="1">
      <alignment horizontal="center"/>
    </xf>
    <xf numFmtId="3" fontId="22" fillId="6" borderId="16" xfId="6" applyNumberFormat="1" applyAlignment="1">
      <alignment horizontal="center" vertical="center"/>
    </xf>
    <xf numFmtId="0" fontId="12" fillId="0" borderId="23" xfId="3" applyBorder="1"/>
    <xf numFmtId="0" fontId="13" fillId="0" borderId="23" xfId="3" applyFont="1" applyBorder="1" applyAlignment="1">
      <alignment horizontal="center"/>
    </xf>
    <xf numFmtId="0" fontId="12" fillId="0" borderId="23" xfId="3" applyBorder="1" applyAlignment="1">
      <alignment horizontal="center" vertical="center"/>
    </xf>
    <xf numFmtId="0" fontId="26" fillId="0" borderId="23" xfId="0" applyFont="1" applyBorder="1" applyAlignment="1">
      <alignment vertical="center" wrapText="1"/>
    </xf>
    <xf numFmtId="171" fontId="12" fillId="0" borderId="23" xfId="3" applyNumberFormat="1" applyBorder="1" applyAlignment="1">
      <alignment horizontal="justify" vertical="center"/>
    </xf>
    <xf numFmtId="3" fontId="22" fillId="6" borderId="16" xfId="6" applyNumberFormat="1" applyAlignment="1">
      <alignment horizontal="center"/>
    </xf>
    <xf numFmtId="0" fontId="22" fillId="6" borderId="16" xfId="6" applyAlignment="1">
      <alignment horizontal="center" vertical="center"/>
    </xf>
    <xf numFmtId="169" fontId="22" fillId="6" borderId="16" xfId="6" applyNumberFormat="1" applyAlignment="1">
      <alignment horizontal="center"/>
    </xf>
    <xf numFmtId="0" fontId="12" fillId="7" borderId="2" xfId="0" applyFont="1" applyFill="1" applyBorder="1" applyAlignment="1">
      <alignment horizontal="center"/>
    </xf>
    <xf numFmtId="42" fontId="0" fillId="0" borderId="2" xfId="0" applyNumberFormat="1" applyBorder="1" applyAlignment="1">
      <alignment horizontal="center" vertical="center"/>
    </xf>
    <xf numFmtId="0" fontId="13" fillId="7" borderId="13" xfId="0" applyFont="1" applyFill="1" applyBorder="1" applyAlignment="1">
      <alignment horizontal="center" vertical="center"/>
    </xf>
    <xf numFmtId="0" fontId="13" fillId="7" borderId="13" xfId="0" applyFont="1" applyFill="1" applyBorder="1" applyAlignment="1">
      <alignment horizontal="center"/>
    </xf>
    <xf numFmtId="0" fontId="13" fillId="7" borderId="18" xfId="0" applyFont="1" applyFill="1" applyBorder="1" applyAlignment="1">
      <alignment horizontal="center"/>
    </xf>
    <xf numFmtId="42" fontId="0" fillId="0" borderId="2" xfId="0" applyNumberFormat="1" applyBorder="1" applyAlignment="1">
      <alignment horizontal="center"/>
    </xf>
    <xf numFmtId="0" fontId="12" fillId="0" borderId="9" xfId="0" applyFont="1" applyBorder="1" applyAlignment="1">
      <alignment horizontal="center"/>
    </xf>
    <xf numFmtId="42" fontId="0" fillId="0" borderId="9" xfId="0" applyNumberFormat="1" applyBorder="1" applyAlignment="1">
      <alignment horizontal="center"/>
    </xf>
    <xf numFmtId="0" fontId="12" fillId="0" borderId="17" xfId="0" applyFont="1" applyBorder="1"/>
    <xf numFmtId="0" fontId="13" fillId="0" borderId="13" xfId="0" applyFont="1" applyBorder="1" applyAlignment="1">
      <alignment horizontal="center" vertical="center"/>
    </xf>
    <xf numFmtId="0" fontId="13" fillId="0" borderId="18" xfId="0" applyFont="1" applyBorder="1" applyAlignment="1">
      <alignment horizontal="center" vertical="center"/>
    </xf>
    <xf numFmtId="0" fontId="13" fillId="0" borderId="2" xfId="0" applyFont="1" applyBorder="1" applyAlignment="1">
      <alignment horizontal="left"/>
    </xf>
    <xf numFmtId="0" fontId="13" fillId="0" borderId="9" xfId="0" applyFont="1" applyBorder="1" applyAlignment="1">
      <alignment horizontal="left"/>
    </xf>
    <xf numFmtId="0" fontId="12" fillId="0" borderId="6" xfId="0" applyFont="1" applyBorder="1"/>
    <xf numFmtId="176" fontId="26" fillId="0" borderId="23" xfId="0" applyNumberFormat="1" applyFont="1" applyBorder="1" applyAlignment="1">
      <alignment vertical="center" wrapText="1"/>
    </xf>
    <xf numFmtId="173" fontId="26" fillId="0" borderId="23" xfId="0" applyNumberFormat="1" applyFont="1" applyBorder="1" applyAlignment="1">
      <alignment vertical="center" wrapText="1"/>
    </xf>
    <xf numFmtId="0" fontId="0" fillId="2" borderId="2" xfId="0" applyFill="1" applyBorder="1"/>
    <xf numFmtId="176" fontId="0" fillId="0" borderId="9" xfId="0" applyNumberFormat="1" applyBorder="1"/>
    <xf numFmtId="9" fontId="0" fillId="0" borderId="9" xfId="0" applyNumberFormat="1" applyBorder="1"/>
    <xf numFmtId="0" fontId="0" fillId="0" borderId="9" xfId="0" applyBorder="1"/>
    <xf numFmtId="175" fontId="22" fillId="6" borderId="16" xfId="6" applyNumberFormat="1"/>
    <xf numFmtId="1" fontId="22" fillId="6" borderId="16" xfId="6" applyNumberFormat="1"/>
    <xf numFmtId="0" fontId="13" fillId="2" borderId="2" xfId="0" applyFont="1" applyFill="1" applyBorder="1" applyAlignment="1">
      <alignment horizontal="center" vertical="center"/>
    </xf>
    <xf numFmtId="10" fontId="0" fillId="0" borderId="2" xfId="0" applyNumberFormat="1" applyBorder="1"/>
    <xf numFmtId="0" fontId="13" fillId="10" borderId="2" xfId="0" applyFont="1" applyFill="1" applyBorder="1"/>
    <xf numFmtId="10" fontId="13" fillId="10" borderId="2" xfId="0" applyNumberFormat="1" applyFont="1" applyFill="1" applyBorder="1"/>
    <xf numFmtId="10" fontId="0" fillId="2" borderId="2" xfId="0" applyNumberFormat="1" applyFill="1" applyBorder="1"/>
    <xf numFmtId="0" fontId="13" fillId="0" borderId="2" xfId="0" applyFont="1" applyBorder="1" applyAlignment="1">
      <alignment horizontal="center" vertical="center"/>
    </xf>
    <xf numFmtId="0" fontId="13" fillId="0" borderId="2" xfId="0" applyFont="1" applyBorder="1" applyAlignment="1">
      <alignment vertical="center"/>
    </xf>
    <xf numFmtId="0" fontId="0" fillId="0" borderId="2" xfId="0" applyBorder="1" applyAlignment="1">
      <alignment vertical="center"/>
    </xf>
    <xf numFmtId="0" fontId="0" fillId="0" borderId="2" xfId="0" applyBorder="1" applyAlignment="1">
      <alignment horizontal="center" vertical="center"/>
    </xf>
    <xf numFmtId="0" fontId="13" fillId="7" borderId="2" xfId="0" applyFont="1" applyFill="1" applyBorder="1" applyAlignment="1">
      <alignment horizontal="center" vertical="center" wrapText="1"/>
    </xf>
    <xf numFmtId="0" fontId="13" fillId="7" borderId="2" xfId="0" applyFont="1" applyFill="1" applyBorder="1" applyAlignment="1">
      <alignment horizontal="center" vertical="center"/>
    </xf>
    <xf numFmtId="0" fontId="12" fillId="2" borderId="2" xfId="0" applyFont="1" applyFill="1" applyBorder="1" applyAlignment="1">
      <alignment horizontal="center"/>
    </xf>
    <xf numFmtId="0" fontId="12" fillId="0" borderId="20" xfId="0" applyFont="1" applyBorder="1"/>
    <xf numFmtId="0" fontId="13" fillId="7" borderId="2" xfId="0" applyFont="1" applyFill="1" applyBorder="1" applyAlignment="1">
      <alignment horizontal="center"/>
    </xf>
    <xf numFmtId="176" fontId="0" fillId="0" borderId="2" xfId="1" applyNumberFormat="1" applyFont="1" applyBorder="1" applyAlignment="1">
      <alignment horizontal="center" vertical="center"/>
    </xf>
    <xf numFmtId="176" fontId="0" fillId="0" borderId="2" xfId="0" applyNumberFormat="1" applyBorder="1" applyAlignment="1">
      <alignment horizontal="center" vertical="center"/>
    </xf>
    <xf numFmtId="3" fontId="0" fillId="0" borderId="0" xfId="0" applyNumberFormat="1"/>
    <xf numFmtId="0" fontId="22" fillId="6" borderId="2" xfId="6" applyBorder="1" applyAlignment="1">
      <alignment horizontal="center"/>
    </xf>
    <xf numFmtId="0" fontId="22" fillId="2" borderId="2" xfId="6" applyFill="1" applyBorder="1" applyAlignment="1">
      <alignment horizontal="center" vertical="center"/>
    </xf>
    <xf numFmtId="176" fontId="22" fillId="6" borderId="9" xfId="6" applyNumberFormat="1" applyBorder="1"/>
    <xf numFmtId="0" fontId="12" fillId="0" borderId="9" xfId="0" applyFont="1" applyBorder="1"/>
    <xf numFmtId="172" fontId="0" fillId="0" borderId="2" xfId="4" applyNumberFormat="1" applyFont="1" applyBorder="1"/>
    <xf numFmtId="172" fontId="0" fillId="2" borderId="2" xfId="4" applyNumberFormat="1" applyFont="1" applyFill="1" applyBorder="1"/>
    <xf numFmtId="0" fontId="13" fillId="7" borderId="17" xfId="0" applyFont="1" applyFill="1" applyBorder="1" applyAlignment="1">
      <alignment horizontal="center" vertical="center"/>
    </xf>
    <xf numFmtId="176" fontId="0" fillId="0" borderId="6" xfId="0" applyNumberFormat="1" applyBorder="1" applyAlignment="1">
      <alignment horizontal="center" vertical="center"/>
    </xf>
    <xf numFmtId="0" fontId="13" fillId="7" borderId="18" xfId="0" applyFont="1" applyFill="1" applyBorder="1" applyAlignment="1">
      <alignment horizontal="center" vertical="center"/>
    </xf>
    <xf numFmtId="0" fontId="22" fillId="6" borderId="25" xfId="6" applyBorder="1" applyAlignment="1">
      <alignment horizontal="center" vertical="center"/>
    </xf>
    <xf numFmtId="0" fontId="0" fillId="0" borderId="13" xfId="0" applyBorder="1" applyAlignment="1">
      <alignment horizontal="center" vertical="center"/>
    </xf>
    <xf numFmtId="9" fontId="22" fillId="6" borderId="25" xfId="6" applyNumberFormat="1" applyBorder="1" applyAlignment="1">
      <alignment horizontal="center" vertical="center"/>
    </xf>
    <xf numFmtId="176" fontId="0" fillId="0" borderId="13" xfId="1" applyNumberFormat="1" applyFont="1" applyBorder="1" applyAlignment="1">
      <alignment horizontal="center" vertical="center"/>
    </xf>
    <xf numFmtId="176" fontId="0" fillId="0" borderId="13" xfId="0" applyNumberFormat="1" applyBorder="1" applyAlignment="1">
      <alignment horizontal="center" vertical="center"/>
    </xf>
    <xf numFmtId="176" fontId="0" fillId="0" borderId="18" xfId="0" applyNumberFormat="1" applyBorder="1" applyAlignment="1">
      <alignment horizontal="center" vertical="center"/>
    </xf>
    <xf numFmtId="42" fontId="22" fillId="6" borderId="16" xfId="6" applyNumberFormat="1" applyAlignment="1">
      <alignment vertical="center"/>
    </xf>
    <xf numFmtId="173" fontId="0" fillId="0" borderId="2" xfId="0" applyNumberFormat="1" applyBorder="1"/>
    <xf numFmtId="0" fontId="12" fillId="7" borderId="2" xfId="0" applyFont="1" applyFill="1" applyBorder="1" applyAlignment="1">
      <alignment horizontal="center" vertical="center"/>
    </xf>
    <xf numFmtId="0" fontId="0" fillId="7" borderId="2" xfId="0" applyFill="1" applyBorder="1" applyAlignment="1">
      <alignment horizontal="center" vertical="center"/>
    </xf>
    <xf numFmtId="173" fontId="0" fillId="0" borderId="2" xfId="0" applyNumberFormat="1" applyBorder="1" applyAlignment="1">
      <alignment vertical="center"/>
    </xf>
    <xf numFmtId="3" fontId="0" fillId="0" borderId="2" xfId="0" applyNumberFormat="1" applyBorder="1" applyAlignment="1">
      <alignment vertical="center"/>
    </xf>
    <xf numFmtId="176" fontId="0" fillId="0" borderId="9" xfId="0" applyNumberFormat="1" applyBorder="1" applyAlignment="1">
      <alignment vertical="center"/>
    </xf>
    <xf numFmtId="0" fontId="13" fillId="0" borderId="2" xfId="0" applyFont="1" applyBorder="1" applyAlignment="1">
      <alignment horizontal="center"/>
    </xf>
    <xf numFmtId="42" fontId="13" fillId="0" borderId="2" xfId="0" applyNumberFormat="1" applyFont="1" applyBorder="1"/>
    <xf numFmtId="3" fontId="12" fillId="0" borderId="2" xfId="0" applyNumberFormat="1" applyFont="1" applyBorder="1" applyAlignment="1">
      <alignment horizontal="center" vertical="center"/>
    </xf>
    <xf numFmtId="9" fontId="0" fillId="0" borderId="2" xfId="4" applyFont="1" applyFill="1" applyBorder="1"/>
    <xf numFmtId="42" fontId="13" fillId="2" borderId="13" xfId="0" applyNumberFormat="1" applyFont="1" applyFill="1" applyBorder="1" applyAlignment="1">
      <alignment vertical="center"/>
    </xf>
    <xf numFmtId="173" fontId="13" fillId="2" borderId="2" xfId="0" applyNumberFormat="1" applyFont="1" applyFill="1" applyBorder="1"/>
    <xf numFmtId="3" fontId="0" fillId="0" borderId="2" xfId="0" applyNumberFormat="1" applyBorder="1" applyAlignment="1">
      <alignment horizontal="center"/>
    </xf>
    <xf numFmtId="42" fontId="13" fillId="2" borderId="2" xfId="0" applyNumberFormat="1" applyFont="1" applyFill="1" applyBorder="1" applyAlignment="1">
      <alignment vertical="center"/>
    </xf>
    <xf numFmtId="0" fontId="30" fillId="0" borderId="2" xfId="0" applyFont="1" applyBorder="1" applyAlignment="1">
      <alignment vertical="center" wrapText="1"/>
    </xf>
    <xf numFmtId="10" fontId="0" fillId="0" borderId="2" xfId="4" applyNumberFormat="1" applyFont="1" applyFill="1" applyBorder="1" applyAlignment="1">
      <alignment horizontal="center" vertical="center"/>
    </xf>
    <xf numFmtId="0" fontId="12" fillId="0" borderId="2" xfId="0" applyFont="1" applyBorder="1" applyAlignment="1">
      <alignment horizontal="left" vertical="center" indent="1"/>
    </xf>
    <xf numFmtId="0" fontId="13" fillId="0" borderId="2" xfId="0" applyFont="1" applyBorder="1" applyAlignment="1">
      <alignment horizontal="left" vertical="center"/>
    </xf>
    <xf numFmtId="0" fontId="22" fillId="6" borderId="27" xfId="6" applyBorder="1" applyAlignment="1">
      <alignment horizontal="center" vertical="center"/>
    </xf>
    <xf numFmtId="0" fontId="26" fillId="0" borderId="26" xfId="0" applyFont="1" applyBorder="1" applyAlignment="1">
      <alignment horizontal="center" vertical="center"/>
    </xf>
    <xf numFmtId="9" fontId="22" fillId="6" borderId="27" xfId="6" applyNumberFormat="1" applyBorder="1" applyAlignment="1">
      <alignment horizontal="center" vertical="center"/>
    </xf>
    <xf numFmtId="0" fontId="29" fillId="7" borderId="2" xfId="0" applyFont="1" applyFill="1" applyBorder="1" applyAlignment="1">
      <alignment horizontal="center" vertical="center"/>
    </xf>
    <xf numFmtId="176" fontId="26" fillId="0" borderId="26" xfId="1" applyNumberFormat="1" applyFont="1" applyBorder="1" applyAlignment="1">
      <alignment horizontal="center" vertical="center"/>
    </xf>
    <xf numFmtId="176" fontId="26" fillId="0" borderId="26" xfId="0" applyNumberFormat="1" applyFont="1" applyBorder="1" applyAlignment="1">
      <alignment horizontal="center" vertical="center"/>
    </xf>
    <xf numFmtId="176" fontId="13" fillId="2" borderId="2" xfId="0" applyNumberFormat="1" applyFont="1" applyFill="1" applyBorder="1" applyAlignment="1">
      <alignment horizontal="center" vertical="center"/>
    </xf>
    <xf numFmtId="42" fontId="0" fillId="0" borderId="2" xfId="2" applyNumberFormat="1" applyFont="1" applyFill="1" applyBorder="1"/>
    <xf numFmtId="42" fontId="22" fillId="6" borderId="16" xfId="6" applyNumberFormat="1"/>
    <xf numFmtId="175" fontId="0" fillId="0" borderId="2" xfId="0" applyNumberFormat="1" applyBorder="1"/>
    <xf numFmtId="0" fontId="15" fillId="2" borderId="9" xfId="0" applyFont="1" applyFill="1" applyBorder="1" applyAlignment="1">
      <alignment horizontal="center" vertical="center" wrapText="1"/>
    </xf>
    <xf numFmtId="10" fontId="13" fillId="12" borderId="2" xfId="0" applyNumberFormat="1" applyFont="1" applyFill="1" applyBorder="1" applyAlignment="1">
      <alignment vertical="center"/>
    </xf>
    <xf numFmtId="166" fontId="12" fillId="0" borderId="35" xfId="0" applyNumberFormat="1" applyFont="1" applyBorder="1" applyAlignment="1">
      <alignment horizontal="right" vertical="center" wrapText="1"/>
    </xf>
    <xf numFmtId="166" fontId="12" fillId="0" borderId="36" xfId="0" applyNumberFormat="1" applyFont="1" applyBorder="1" applyAlignment="1">
      <alignment horizontal="right" vertical="center" wrapText="1"/>
    </xf>
    <xf numFmtId="166" fontId="12" fillId="0" borderId="38" xfId="0" applyNumberFormat="1" applyFont="1" applyBorder="1" applyAlignment="1">
      <alignment horizontal="right" vertical="center" wrapText="1"/>
    </xf>
    <xf numFmtId="166" fontId="12" fillId="0" borderId="32" xfId="0" applyNumberFormat="1" applyFont="1" applyBorder="1" applyAlignment="1">
      <alignment horizontal="right" vertical="center" wrapText="1"/>
    </xf>
    <xf numFmtId="166" fontId="12" fillId="0" borderId="33" xfId="0" applyNumberFormat="1" applyFont="1" applyBorder="1" applyAlignment="1">
      <alignment horizontal="right" vertical="center" wrapText="1"/>
    </xf>
    <xf numFmtId="166" fontId="12" fillId="0" borderId="40" xfId="0" applyNumberFormat="1" applyFont="1" applyBorder="1" applyAlignment="1">
      <alignment horizontal="right" vertical="center" wrapText="1"/>
    </xf>
    <xf numFmtId="166" fontId="12" fillId="0" borderId="41" xfId="0" applyNumberFormat="1" applyFont="1" applyBorder="1" applyAlignment="1">
      <alignment horizontal="right" vertical="center" wrapText="1"/>
    </xf>
    <xf numFmtId="166" fontId="13" fillId="11" borderId="13" xfId="0" applyNumberFormat="1" applyFont="1" applyFill="1" applyBorder="1" applyAlignment="1">
      <alignment horizontal="right" vertical="center"/>
    </xf>
    <xf numFmtId="166" fontId="12" fillId="2" borderId="43" xfId="0" applyNumberFormat="1" applyFont="1" applyFill="1" applyBorder="1" applyAlignment="1">
      <alignment horizontal="right" vertical="center" wrapText="1"/>
    </xf>
    <xf numFmtId="166" fontId="12" fillId="2" borderId="6" xfId="0" applyNumberFormat="1" applyFont="1" applyFill="1" applyBorder="1" applyAlignment="1">
      <alignment horizontal="right" vertical="center" wrapText="1"/>
    </xf>
    <xf numFmtId="166" fontId="12" fillId="2" borderId="44" xfId="0" applyNumberFormat="1" applyFont="1" applyFill="1" applyBorder="1" applyAlignment="1">
      <alignment horizontal="right" vertical="center" wrapText="1"/>
    </xf>
    <xf numFmtId="166" fontId="12" fillId="2" borderId="45" xfId="0" applyNumberFormat="1" applyFont="1" applyFill="1" applyBorder="1" applyAlignment="1">
      <alignment horizontal="right" vertical="center" wrapText="1"/>
    </xf>
    <xf numFmtId="166" fontId="12" fillId="2" borderId="31" xfId="0" applyNumberFormat="1" applyFont="1" applyFill="1" applyBorder="1" applyAlignment="1">
      <alignment horizontal="right" vertical="center" wrapText="1"/>
    </xf>
    <xf numFmtId="166" fontId="12" fillId="2" borderId="46" xfId="0" applyNumberFormat="1" applyFont="1" applyFill="1" applyBorder="1" applyAlignment="1">
      <alignment horizontal="right" vertical="center" wrapText="1"/>
    </xf>
    <xf numFmtId="166" fontId="12" fillId="2" borderId="47" xfId="0" applyNumberFormat="1" applyFont="1" applyFill="1" applyBorder="1" applyAlignment="1">
      <alignment horizontal="right" vertical="center" wrapText="1"/>
    </xf>
    <xf numFmtId="166" fontId="12" fillId="2" borderId="48" xfId="0" applyNumberFormat="1" applyFont="1" applyFill="1" applyBorder="1" applyAlignment="1">
      <alignment horizontal="right" vertical="center" wrapText="1"/>
    </xf>
    <xf numFmtId="0" fontId="12" fillId="0" borderId="35" xfId="0" applyFont="1" applyBorder="1" applyAlignment="1">
      <alignment horizontal="center" vertical="center" wrapText="1"/>
    </xf>
    <xf numFmtId="3" fontId="12" fillId="0" borderId="37" xfId="0" applyNumberFormat="1" applyFont="1" applyBorder="1" applyAlignment="1">
      <alignment horizontal="center" vertical="center" wrapText="1"/>
    </xf>
    <xf numFmtId="0" fontId="12" fillId="0" borderId="38" xfId="0" applyFont="1" applyBorder="1" applyAlignment="1">
      <alignment horizontal="center" vertical="center" wrapText="1"/>
    </xf>
    <xf numFmtId="3" fontId="12" fillId="0" borderId="39" xfId="0" applyNumberFormat="1" applyFont="1" applyBorder="1" applyAlignment="1">
      <alignment horizontal="center" vertical="center" wrapText="1"/>
    </xf>
    <xf numFmtId="0" fontId="12" fillId="0" borderId="32" xfId="0" applyFont="1" applyBorder="1" applyAlignment="1">
      <alignment horizontal="center" vertical="center" wrapText="1"/>
    </xf>
    <xf numFmtId="3" fontId="12" fillId="0" borderId="34" xfId="0" applyNumberFormat="1" applyFont="1" applyBorder="1" applyAlignment="1">
      <alignment horizontal="center" vertical="center" wrapText="1"/>
    </xf>
    <xf numFmtId="0" fontId="12" fillId="0" borderId="40" xfId="0" applyFont="1" applyBorder="1" applyAlignment="1">
      <alignment horizontal="center" vertical="center" wrapText="1"/>
    </xf>
    <xf numFmtId="3" fontId="12" fillId="0" borderId="42" xfId="0" applyNumberFormat="1" applyFont="1" applyBorder="1" applyAlignment="1">
      <alignment horizontal="center" vertical="center" wrapText="1"/>
    </xf>
    <xf numFmtId="0" fontId="12" fillId="0" borderId="49" xfId="0" applyFont="1" applyBorder="1" applyAlignment="1">
      <alignment horizontal="justify" vertical="center" wrapText="1"/>
    </xf>
    <xf numFmtId="0" fontId="12" fillId="0" borderId="50" xfId="0" applyFont="1" applyBorder="1" applyAlignment="1">
      <alignment horizontal="justify" vertical="center" wrapText="1"/>
    </xf>
    <xf numFmtId="0" fontId="12" fillId="0" borderId="28" xfId="0" applyFont="1" applyBorder="1" applyAlignment="1">
      <alignment horizontal="justify" vertical="center" wrapText="1"/>
    </xf>
    <xf numFmtId="0" fontId="12" fillId="0" borderId="28"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50" xfId="0" applyFont="1" applyBorder="1" applyAlignment="1">
      <alignment horizontal="center" vertical="center" wrapText="1"/>
    </xf>
    <xf numFmtId="0" fontId="12" fillId="0" borderId="51" xfId="0" applyFont="1" applyBorder="1" applyAlignment="1">
      <alignment horizontal="center" vertical="center" wrapText="1"/>
    </xf>
    <xf numFmtId="0" fontId="15" fillId="2" borderId="52" xfId="0" applyFont="1" applyFill="1" applyBorder="1" applyAlignment="1">
      <alignment horizontal="center" vertical="center" wrapText="1"/>
    </xf>
    <xf numFmtId="0" fontId="15" fillId="2" borderId="53" xfId="0" applyFont="1" applyFill="1" applyBorder="1" applyAlignment="1">
      <alignment horizontal="center" vertical="center" wrapText="1"/>
    </xf>
    <xf numFmtId="0" fontId="15" fillId="12" borderId="52" xfId="0" applyFont="1" applyFill="1" applyBorder="1" applyAlignment="1">
      <alignment horizontal="center" vertical="center" wrapText="1"/>
    </xf>
    <xf numFmtId="0" fontId="15" fillId="12" borderId="9" xfId="0" applyFont="1" applyFill="1" applyBorder="1" applyAlignment="1">
      <alignment horizontal="center" vertical="center" wrapText="1"/>
    </xf>
    <xf numFmtId="0" fontId="15" fillId="12" borderId="53" xfId="0" applyFont="1" applyFill="1" applyBorder="1" applyAlignment="1">
      <alignment horizontal="center" vertical="center" wrapText="1"/>
    </xf>
    <xf numFmtId="0" fontId="13" fillId="0" borderId="40" xfId="0" applyFont="1" applyBorder="1" applyAlignment="1">
      <alignment horizontal="center" vertical="center" wrapText="1"/>
    </xf>
    <xf numFmtId="10" fontId="13" fillId="13" borderId="2" xfId="0" applyNumberFormat="1" applyFont="1" applyFill="1" applyBorder="1" applyAlignment="1">
      <alignment horizontal="center" vertical="center"/>
    </xf>
    <xf numFmtId="10" fontId="12" fillId="13" borderId="2" xfId="0" applyNumberFormat="1" applyFont="1" applyFill="1" applyBorder="1" applyAlignment="1">
      <alignment horizontal="center" vertical="center"/>
    </xf>
    <xf numFmtId="0" fontId="13" fillId="2" borderId="2" xfId="0" applyFont="1" applyFill="1" applyBorder="1" applyAlignment="1">
      <alignment horizontal="center"/>
    </xf>
    <xf numFmtId="176" fontId="13" fillId="2" borderId="2" xfId="0" applyNumberFormat="1" applyFont="1" applyFill="1" applyBorder="1"/>
    <xf numFmtId="0" fontId="13" fillId="0" borderId="22" xfId="0" applyFont="1" applyBorder="1"/>
    <xf numFmtId="0" fontId="12" fillId="0" borderId="0" xfId="0" applyFont="1" applyAlignment="1">
      <alignment horizontal="right"/>
    </xf>
    <xf numFmtId="10" fontId="0" fillId="14" borderId="2" xfId="0" applyNumberFormat="1" applyFill="1" applyBorder="1" applyAlignment="1">
      <alignment horizontal="center"/>
    </xf>
    <xf numFmtId="10" fontId="0" fillId="2" borderId="0" xfId="0" applyNumberFormat="1" applyFill="1"/>
    <xf numFmtId="177" fontId="0" fillId="0" borderId="2" xfId="4" applyNumberFormat="1" applyFont="1" applyBorder="1"/>
    <xf numFmtId="0" fontId="26" fillId="0" borderId="20" xfId="0" applyFont="1" applyBorder="1" applyAlignment="1">
      <alignment vertical="center"/>
    </xf>
    <xf numFmtId="10" fontId="26" fillId="0" borderId="20" xfId="0" applyNumberFormat="1" applyFont="1" applyBorder="1"/>
    <xf numFmtId="9" fontId="26" fillId="0" borderId="20" xfId="0" applyNumberFormat="1" applyFont="1" applyBorder="1"/>
    <xf numFmtId="177" fontId="26" fillId="0" borderId="9" xfId="0" applyNumberFormat="1" applyFont="1" applyBorder="1"/>
    <xf numFmtId="0" fontId="26" fillId="0" borderId="20" xfId="0" applyFont="1" applyBorder="1" applyAlignment="1">
      <alignment horizontal="justify" vertical="center" wrapText="1"/>
    </xf>
    <xf numFmtId="0" fontId="26" fillId="0" borderId="6" xfId="0" applyFont="1" applyBorder="1" applyAlignment="1">
      <alignment vertical="center"/>
    </xf>
    <xf numFmtId="9" fontId="26" fillId="0" borderId="6" xfId="0" applyNumberFormat="1" applyFont="1" applyBorder="1"/>
    <xf numFmtId="177" fontId="26" fillId="0" borderId="2" xfId="0" applyNumberFormat="1" applyFont="1" applyBorder="1"/>
    <xf numFmtId="10" fontId="22" fillId="6" borderId="16" xfId="6" applyNumberFormat="1"/>
    <xf numFmtId="0" fontId="29" fillId="15" borderId="20" xfId="0" applyFont="1" applyFill="1" applyBorder="1" applyAlignment="1">
      <alignment horizontal="center"/>
    </xf>
    <xf numFmtId="0" fontId="26" fillId="0" borderId="2" xfId="0" applyFont="1" applyBorder="1"/>
    <xf numFmtId="2" fontId="0" fillId="0" borderId="0" xfId="0" applyNumberFormat="1"/>
    <xf numFmtId="2" fontId="31" fillId="0" borderId="0" xfId="0" applyNumberFormat="1" applyFont="1"/>
    <xf numFmtId="0" fontId="29" fillId="15" borderId="2" xfId="0" applyFont="1" applyFill="1" applyBorder="1" applyAlignment="1">
      <alignment horizontal="center"/>
    </xf>
    <xf numFmtId="0" fontId="26" fillId="0" borderId="2" xfId="0" applyFont="1" applyBorder="1" applyAlignment="1">
      <alignment vertical="center"/>
    </xf>
    <xf numFmtId="10" fontId="22" fillId="6" borderId="2" xfId="6" applyNumberFormat="1" applyBorder="1"/>
    <xf numFmtId="9" fontId="26" fillId="0" borderId="2" xfId="0" applyNumberFormat="1" applyFont="1" applyBorder="1"/>
    <xf numFmtId="0" fontId="26" fillId="0" borderId="2" xfId="0" applyFont="1" applyBorder="1" applyAlignment="1">
      <alignment horizontal="justify" vertical="center" wrapText="1"/>
    </xf>
    <xf numFmtId="10" fontId="26" fillId="0" borderId="2" xfId="0" applyNumberFormat="1" applyFont="1" applyBorder="1"/>
    <xf numFmtId="177" fontId="0" fillId="0" borderId="2" xfId="0" applyNumberFormat="1" applyBorder="1"/>
    <xf numFmtId="0" fontId="29" fillId="15" borderId="9" xfId="0" applyFont="1" applyFill="1" applyBorder="1" applyAlignment="1">
      <alignment horizontal="center"/>
    </xf>
    <xf numFmtId="0" fontId="29" fillId="7" borderId="2" xfId="0" applyFont="1" applyFill="1" applyBorder="1"/>
    <xf numFmtId="0" fontId="0" fillId="0" borderId="15" xfId="0" applyBorder="1"/>
    <xf numFmtId="170" fontId="0" fillId="0" borderId="2" xfId="1" applyNumberFormat="1" applyFont="1" applyBorder="1"/>
    <xf numFmtId="170" fontId="0" fillId="0" borderId="2" xfId="0" applyNumberFormat="1" applyBorder="1"/>
    <xf numFmtId="0" fontId="12" fillId="0" borderId="21" xfId="0" applyFont="1" applyBorder="1"/>
    <xf numFmtId="3" fontId="22" fillId="6" borderId="2" xfId="6" applyNumberFormat="1" applyBorder="1" applyAlignment="1">
      <alignment vertical="center"/>
    </xf>
    <xf numFmtId="0" fontId="17" fillId="0" borderId="2" xfId="10" applyFont="1" applyBorder="1"/>
    <xf numFmtId="0" fontId="17" fillId="0" borderId="9" xfId="10" applyFont="1" applyBorder="1"/>
    <xf numFmtId="0" fontId="0" fillId="0" borderId="20" xfId="0" applyBorder="1"/>
    <xf numFmtId="0" fontId="13" fillId="0" borderId="49" xfId="0" applyFont="1" applyBorder="1" applyAlignment="1">
      <alignment horizontal="center" vertical="center" wrapText="1"/>
    </xf>
    <xf numFmtId="0" fontId="13" fillId="0" borderId="58"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9" xfId="0" applyFont="1" applyBorder="1" applyAlignment="1">
      <alignment horizontal="center" vertical="center" wrapText="1"/>
    </xf>
    <xf numFmtId="0" fontId="13" fillId="0" borderId="28" xfId="0" applyFont="1" applyBorder="1" applyAlignment="1">
      <alignment horizontal="center" vertical="center" wrapText="1"/>
    </xf>
    <xf numFmtId="0" fontId="11" fillId="0" borderId="0" xfId="9"/>
    <xf numFmtId="0" fontId="12" fillId="0" borderId="0" xfId="9" applyFont="1"/>
    <xf numFmtId="0" fontId="33" fillId="0" borderId="0" xfId="9" applyFont="1"/>
    <xf numFmtId="0" fontId="11" fillId="0" borderId="0" xfId="9" applyAlignment="1">
      <alignment horizontal="center"/>
    </xf>
    <xf numFmtId="0" fontId="11" fillId="0" borderId="40" xfId="9" applyBorder="1"/>
    <xf numFmtId="0" fontId="11" fillId="0" borderId="42" xfId="9" applyBorder="1" applyAlignment="1">
      <alignment horizontal="center"/>
    </xf>
    <xf numFmtId="0" fontId="32" fillId="0" borderId="2" xfId="9" applyFont="1" applyBorder="1" applyAlignment="1">
      <alignment horizontal="center"/>
    </xf>
    <xf numFmtId="0" fontId="11" fillId="0" borderId="2" xfId="9" applyBorder="1" applyAlignment="1">
      <alignment horizontal="center"/>
    </xf>
    <xf numFmtId="0" fontId="11" fillId="0" borderId="2" xfId="9" applyBorder="1"/>
    <xf numFmtId="170" fontId="12" fillId="0" borderId="2" xfId="0" applyNumberFormat="1" applyFont="1" applyBorder="1" applyAlignment="1">
      <alignment horizontal="center" vertical="center"/>
    </xf>
    <xf numFmtId="170" fontId="13" fillId="0" borderId="2" xfId="0" applyNumberFormat="1" applyFont="1" applyBorder="1" applyAlignment="1">
      <alignment horizontal="center" vertical="center"/>
    </xf>
    <xf numFmtId="170" fontId="13" fillId="0" borderId="2" xfId="5" applyNumberFormat="1" applyFont="1" applyFill="1" applyBorder="1" applyAlignment="1">
      <alignment horizontal="center" vertical="center"/>
    </xf>
    <xf numFmtId="170" fontId="13" fillId="0" borderId="2" xfId="4" applyNumberFormat="1" applyFont="1" applyFill="1" applyBorder="1" applyAlignment="1">
      <alignment horizontal="center" vertical="center"/>
    </xf>
    <xf numFmtId="170" fontId="13" fillId="12" borderId="2" xfId="0" applyNumberFormat="1" applyFont="1" applyFill="1" applyBorder="1" applyAlignment="1">
      <alignment horizontal="center" vertical="center"/>
    </xf>
    <xf numFmtId="178" fontId="12" fillId="0" borderId="49" xfId="0" applyNumberFormat="1" applyFont="1" applyBorder="1" applyAlignment="1">
      <alignment horizontal="left" vertical="center" wrapText="1"/>
    </xf>
    <xf numFmtId="178" fontId="12" fillId="0" borderId="50" xfId="0" applyNumberFormat="1" applyFont="1" applyBorder="1" applyAlignment="1">
      <alignment horizontal="left" vertical="center" wrapText="1"/>
    </xf>
    <xf numFmtId="178" fontId="12" fillId="0" borderId="55" xfId="0" applyNumberFormat="1" applyFont="1" applyBorder="1" applyAlignment="1">
      <alignment horizontal="left" vertical="center" wrapText="1"/>
    </xf>
    <xf numFmtId="178" fontId="12" fillId="0" borderId="51" xfId="0" applyNumberFormat="1" applyFont="1" applyBorder="1" applyAlignment="1">
      <alignment horizontal="left" vertical="center" wrapText="1"/>
    </xf>
    <xf numFmtId="178" fontId="13" fillId="0" borderId="49" xfId="0" applyNumberFormat="1" applyFont="1" applyBorder="1" applyAlignment="1">
      <alignment horizontal="left" vertical="center" wrapText="1"/>
    </xf>
    <xf numFmtId="42" fontId="0" fillId="0" borderId="0" xfId="0" applyNumberFormat="1" applyAlignment="1">
      <alignment horizontal="center"/>
    </xf>
    <xf numFmtId="0" fontId="0" fillId="0" borderId="0" xfId="0" applyAlignment="1">
      <alignment horizontal="center"/>
    </xf>
    <xf numFmtId="0" fontId="34" fillId="0" borderId="13" xfId="9" applyFont="1" applyBorder="1" applyAlignment="1">
      <alignment horizontal="center" vertical="center"/>
    </xf>
    <xf numFmtId="0" fontId="34" fillId="0" borderId="2" xfId="9" applyFont="1" applyBorder="1" applyAlignment="1">
      <alignment horizontal="center" vertical="center"/>
    </xf>
    <xf numFmtId="0" fontId="11" fillId="0" borderId="59" xfId="9" applyBorder="1" applyAlignment="1">
      <alignment horizontal="center"/>
    </xf>
    <xf numFmtId="0" fontId="11" fillId="0" borderId="33" xfId="9" applyBorder="1" applyAlignment="1">
      <alignment horizontal="center"/>
    </xf>
    <xf numFmtId="0" fontId="11" fillId="0" borderId="34" xfId="9" applyBorder="1" applyAlignment="1">
      <alignment horizontal="center"/>
    </xf>
    <xf numFmtId="0" fontId="34" fillId="0" borderId="56" xfId="9" applyFont="1" applyBorder="1" applyAlignment="1">
      <alignment horizontal="left" vertical="center" wrapText="1"/>
    </xf>
    <xf numFmtId="0" fontId="11" fillId="0" borderId="13" xfId="9" applyBorder="1" applyAlignment="1">
      <alignment horizontal="center"/>
    </xf>
    <xf numFmtId="0" fontId="11" fillId="4" borderId="13" xfId="9" applyFill="1" applyBorder="1" applyAlignment="1">
      <alignment horizontal="center"/>
    </xf>
    <xf numFmtId="0" fontId="34" fillId="0" borderId="38" xfId="9" applyFont="1" applyBorder="1" applyAlignment="1">
      <alignment horizontal="left" vertical="center" wrapText="1"/>
    </xf>
    <xf numFmtId="0" fontId="11" fillId="0" borderId="2" xfId="9" applyBorder="1" applyAlignment="1">
      <alignment horizontal="center" vertical="center"/>
    </xf>
    <xf numFmtId="0" fontId="11" fillId="4" borderId="2" xfId="9" applyFill="1" applyBorder="1" applyAlignment="1">
      <alignment horizontal="center" vertical="center"/>
    </xf>
    <xf numFmtId="0" fontId="11" fillId="4" borderId="2" xfId="9" applyFill="1" applyBorder="1" applyAlignment="1">
      <alignment horizontal="center"/>
    </xf>
    <xf numFmtId="0" fontId="34" fillId="0" borderId="32" xfId="9" applyFont="1" applyBorder="1" applyAlignment="1">
      <alignment horizontal="left" vertical="center" wrapText="1"/>
    </xf>
    <xf numFmtId="0" fontId="11" fillId="4" borderId="33" xfId="9" applyFill="1" applyBorder="1" applyAlignment="1">
      <alignment horizontal="center"/>
    </xf>
    <xf numFmtId="0" fontId="13" fillId="0" borderId="0" xfId="3" quotePrefix="1" applyFont="1" applyAlignment="1">
      <alignment horizontal="justify" vertical="center" wrapText="1"/>
    </xf>
    <xf numFmtId="0" fontId="26" fillId="0" borderId="23" xfId="0" applyFont="1" applyBorder="1" applyAlignment="1">
      <alignment horizontal="center" vertical="center" wrapText="1"/>
    </xf>
    <xf numFmtId="0" fontId="12" fillId="0" borderId="9" xfId="0" applyFont="1" applyBorder="1" applyAlignment="1">
      <alignment vertical="center"/>
    </xf>
    <xf numFmtId="4" fontId="22" fillId="6" borderId="16" xfId="6" applyNumberFormat="1" applyAlignment="1">
      <alignment horizontal="center"/>
    </xf>
    <xf numFmtId="169" fontId="22" fillId="6" borderId="16" xfId="6" applyNumberFormat="1" applyAlignment="1">
      <alignment horizontal="center" vertical="center"/>
    </xf>
    <xf numFmtId="4" fontId="22" fillId="6" borderId="16" xfId="6" applyNumberFormat="1" applyAlignment="1">
      <alignment horizontal="center" vertical="center"/>
    </xf>
    <xf numFmtId="170" fontId="0" fillId="0" borderId="0" xfId="1" applyNumberFormat="1" applyFont="1"/>
    <xf numFmtId="2" fontId="26" fillId="0" borderId="23" xfId="0" applyNumberFormat="1" applyFont="1" applyBorder="1" applyAlignment="1">
      <alignment horizontal="center" vertical="center" wrapText="1"/>
    </xf>
    <xf numFmtId="0" fontId="12" fillId="0" borderId="19" xfId="0" applyFont="1" applyBorder="1" applyAlignment="1">
      <alignment vertical="center"/>
    </xf>
    <xf numFmtId="0" fontId="34" fillId="0" borderId="35" xfId="0" applyFont="1" applyBorder="1" applyAlignment="1">
      <alignment horizontal="center" vertical="center"/>
    </xf>
    <xf numFmtId="0" fontId="34" fillId="0" borderId="38" xfId="0" applyFont="1" applyBorder="1" applyAlignment="1">
      <alignment horizontal="center" vertical="center"/>
    </xf>
    <xf numFmtId="2" fontId="12" fillId="0" borderId="49" xfId="0" applyNumberFormat="1" applyFont="1" applyBorder="1" applyAlignment="1">
      <alignment horizontal="center" vertical="center" wrapText="1"/>
    </xf>
    <xf numFmtId="0" fontId="12" fillId="0" borderId="20" xfId="0" applyFont="1" applyBorder="1" applyAlignment="1">
      <alignment vertical="center"/>
    </xf>
    <xf numFmtId="0" fontId="0" fillId="0" borderId="9" xfId="0" applyBorder="1" applyAlignment="1">
      <alignment horizontal="center"/>
    </xf>
    <xf numFmtId="0" fontId="13" fillId="17" borderId="62" xfId="0" applyFont="1" applyFill="1" applyBorder="1" applyAlignment="1">
      <alignment horizontal="center" vertical="center"/>
    </xf>
    <xf numFmtId="0" fontId="13" fillId="17" borderId="62" xfId="0" applyFont="1" applyFill="1" applyBorder="1" applyAlignment="1">
      <alignment horizontal="center" vertical="center" wrapText="1"/>
    </xf>
    <xf numFmtId="0" fontId="13" fillId="18" borderId="63" xfId="0" applyFont="1" applyFill="1" applyBorder="1" applyAlignment="1">
      <alignment horizontal="center" vertical="center" wrapText="1"/>
    </xf>
    <xf numFmtId="0" fontId="13" fillId="18" borderId="64" xfId="0" applyFont="1" applyFill="1" applyBorder="1" applyAlignment="1">
      <alignment horizontal="center" vertical="center"/>
    </xf>
    <xf numFmtId="0" fontId="13" fillId="19" borderId="61" xfId="0" applyFont="1" applyFill="1" applyBorder="1" applyAlignment="1">
      <alignment horizontal="center" vertical="center"/>
    </xf>
    <xf numFmtId="6" fontId="12" fillId="0" borderId="61" xfId="0" applyNumberFormat="1" applyFont="1" applyBorder="1" applyAlignment="1">
      <alignment horizontal="center" vertical="center"/>
    </xf>
    <xf numFmtId="0" fontId="35" fillId="0" borderId="61" xfId="10" applyFill="1" applyBorder="1" applyAlignment="1">
      <alignment horizontal="center" vertical="center" wrapText="1"/>
    </xf>
    <xf numFmtId="17" fontId="12" fillId="0" borderId="61" xfId="0" applyNumberFormat="1" applyFont="1" applyBorder="1" applyAlignment="1">
      <alignment horizontal="center"/>
    </xf>
    <xf numFmtId="0" fontId="0" fillId="0" borderId="61" xfId="0" applyBorder="1" applyAlignment="1">
      <alignment horizontal="center" vertical="center" wrapText="1"/>
    </xf>
    <xf numFmtId="0" fontId="35" fillId="0" borderId="61" xfId="10" applyBorder="1" applyAlignment="1">
      <alignment horizontal="center" vertical="center" wrapText="1"/>
    </xf>
    <xf numFmtId="6" fontId="12" fillId="0" borderId="64" xfId="0" applyNumberFormat="1" applyFont="1" applyBorder="1" applyAlignment="1">
      <alignment horizontal="center" vertical="center"/>
    </xf>
    <xf numFmtId="0" fontId="0" fillId="0" borderId="64" xfId="0" applyBorder="1" applyAlignment="1">
      <alignment horizontal="center" vertical="center" wrapText="1"/>
    </xf>
    <xf numFmtId="0" fontId="35" fillId="0" borderId="64" xfId="10" applyBorder="1" applyAlignment="1">
      <alignment horizontal="center" vertical="center" wrapText="1"/>
    </xf>
    <xf numFmtId="0" fontId="32" fillId="0" borderId="65" xfId="0" applyFont="1" applyBorder="1" applyAlignment="1">
      <alignment horizontal="center"/>
    </xf>
    <xf numFmtId="17" fontId="0" fillId="0" borderId="2" xfId="0" applyNumberFormat="1" applyBorder="1"/>
    <xf numFmtId="6" fontId="12" fillId="0" borderId="20" xfId="0" applyNumberFormat="1" applyFont="1" applyBorder="1" applyAlignment="1">
      <alignment vertical="center"/>
    </xf>
    <xf numFmtId="6" fontId="12" fillId="0" borderId="66" xfId="0" applyNumberFormat="1" applyFont="1" applyBorder="1" applyAlignment="1">
      <alignment horizontal="center" vertical="center"/>
    </xf>
    <xf numFmtId="0" fontId="0" fillId="0" borderId="67" xfId="0" applyBorder="1" applyAlignment="1">
      <alignment horizontal="center" vertical="center" wrapText="1"/>
    </xf>
    <xf numFmtId="0" fontId="35" fillId="0" borderId="0" xfId="10" applyAlignment="1">
      <alignment horizontal="center" vertical="center" wrapText="1"/>
    </xf>
    <xf numFmtId="6" fontId="12" fillId="0" borderId="68" xfId="0" applyNumberFormat="1" applyFont="1" applyBorder="1" applyAlignment="1">
      <alignment horizontal="center" vertical="center"/>
    </xf>
    <xf numFmtId="6" fontId="12" fillId="0" borderId="67" xfId="0" applyNumberFormat="1" applyFont="1" applyBorder="1" applyAlignment="1">
      <alignment horizontal="center" vertical="center"/>
    </xf>
    <xf numFmtId="6" fontId="12" fillId="0" borderId="65" xfId="0" applyNumberFormat="1" applyFont="1" applyBorder="1" applyAlignment="1">
      <alignment horizontal="center" vertical="center"/>
    </xf>
    <xf numFmtId="0" fontId="35" fillId="0" borderId="19" xfId="10" applyBorder="1" applyAlignment="1" applyProtection="1">
      <alignment horizontal="center" vertical="center" wrapText="1"/>
      <protection locked="0"/>
    </xf>
    <xf numFmtId="0" fontId="35" fillId="0" borderId="64" xfId="10" applyBorder="1" applyAlignment="1" applyProtection="1">
      <alignment horizontal="center" vertical="center" wrapText="1"/>
      <protection locked="0"/>
    </xf>
    <xf numFmtId="179" fontId="22" fillId="6" borderId="16" xfId="6" applyNumberFormat="1" applyAlignment="1">
      <alignment horizontal="center" vertical="center"/>
    </xf>
    <xf numFmtId="17" fontId="12" fillId="0" borderId="2" xfId="0" applyNumberFormat="1" applyFont="1" applyBorder="1" applyAlignment="1">
      <alignment horizontal="center"/>
    </xf>
    <xf numFmtId="42" fontId="0" fillId="0" borderId="19" xfId="0" applyNumberFormat="1" applyBorder="1" applyAlignment="1">
      <alignment vertical="center"/>
    </xf>
    <xf numFmtId="170" fontId="12" fillId="0" borderId="2" xfId="1" applyNumberFormat="1" applyFont="1" applyBorder="1" applyAlignment="1">
      <alignment vertical="center"/>
    </xf>
    <xf numFmtId="9" fontId="12" fillId="0" borderId="2" xfId="4" applyFont="1" applyBorder="1" applyAlignment="1">
      <alignment vertical="center"/>
    </xf>
    <xf numFmtId="44" fontId="12" fillId="0" borderId="2" xfId="0" applyNumberFormat="1" applyFont="1" applyBorder="1" applyAlignment="1">
      <alignment vertical="center"/>
    </xf>
    <xf numFmtId="0" fontId="12" fillId="2" borderId="2" xfId="0" applyFont="1" applyFill="1" applyBorder="1" applyAlignment="1">
      <alignment vertical="center"/>
    </xf>
    <xf numFmtId="170" fontId="12" fillId="0" borderId="32" xfId="1" applyNumberFormat="1" applyFont="1" applyBorder="1" applyAlignment="1">
      <alignment horizontal="center" vertical="center"/>
    </xf>
    <xf numFmtId="170" fontId="12" fillId="0" borderId="33" xfId="0" applyNumberFormat="1" applyFont="1" applyBorder="1" applyAlignment="1">
      <alignment horizontal="center" vertical="center"/>
    </xf>
    <xf numFmtId="170" fontId="12" fillId="0" borderId="33" xfId="1" applyNumberFormat="1" applyFont="1" applyBorder="1" applyAlignment="1">
      <alignment horizontal="center" vertical="center"/>
    </xf>
    <xf numFmtId="9" fontId="12" fillId="0" borderId="34" xfId="4" applyFont="1" applyBorder="1" applyAlignment="1">
      <alignment horizontal="center" vertical="center"/>
    </xf>
    <xf numFmtId="0" fontId="13" fillId="14" borderId="56" xfId="0" applyFont="1" applyFill="1" applyBorder="1" applyAlignment="1">
      <alignment horizontal="center" vertical="center"/>
    </xf>
    <xf numFmtId="0" fontId="13" fillId="14" borderId="13" xfId="0" applyFont="1" applyFill="1" applyBorder="1" applyAlignment="1">
      <alignment horizontal="center" vertical="center"/>
    </xf>
    <xf numFmtId="0" fontId="13" fillId="14" borderId="13" xfId="0" applyFont="1" applyFill="1" applyBorder="1" applyAlignment="1">
      <alignment vertical="center"/>
    </xf>
    <xf numFmtId="0" fontId="13" fillId="14" borderId="57" xfId="0" applyFont="1" applyFill="1" applyBorder="1" applyAlignment="1">
      <alignment vertical="center"/>
    </xf>
    <xf numFmtId="1" fontId="22" fillId="6" borderId="2" xfId="6" applyNumberFormat="1" applyBorder="1" applyAlignment="1">
      <alignment horizontal="center"/>
    </xf>
    <xf numFmtId="3" fontId="12" fillId="0" borderId="2" xfId="3" applyNumberFormat="1" applyBorder="1" applyAlignment="1">
      <alignment horizontal="left"/>
    </xf>
    <xf numFmtId="0" fontId="12" fillId="7" borderId="0" xfId="0" applyFont="1" applyFill="1" applyAlignment="1">
      <alignment horizontal="center"/>
    </xf>
    <xf numFmtId="0" fontId="12" fillId="12" borderId="13" xfId="0" applyFont="1" applyFill="1" applyBorder="1" applyAlignment="1">
      <alignment horizontal="center"/>
    </xf>
    <xf numFmtId="0" fontId="12" fillId="12" borderId="13" xfId="0" applyFont="1" applyFill="1" applyBorder="1"/>
    <xf numFmtId="9" fontId="12" fillId="0" borderId="0" xfId="4" applyFont="1" applyBorder="1" applyAlignment="1">
      <alignment vertical="center"/>
    </xf>
    <xf numFmtId="0" fontId="36" fillId="0" borderId="2" xfId="0" applyFont="1" applyBorder="1" applyAlignment="1">
      <alignment horizontal="center" vertical="center" wrapText="1"/>
    </xf>
    <xf numFmtId="1" fontId="26" fillId="0" borderId="2" xfId="0" applyNumberFormat="1" applyFont="1" applyBorder="1" applyAlignment="1">
      <alignment horizontal="center" vertical="center"/>
    </xf>
    <xf numFmtId="17" fontId="12" fillId="0" borderId="64" xfId="0" applyNumberFormat="1" applyFont="1" applyBorder="1" applyAlignment="1">
      <alignment horizontal="center"/>
    </xf>
    <xf numFmtId="0" fontId="37" fillId="0" borderId="2" xfId="10" applyFont="1" applyBorder="1" applyAlignment="1">
      <alignment horizontal="center" vertical="center" wrapText="1"/>
    </xf>
    <xf numFmtId="1" fontId="26" fillId="0" borderId="67" xfId="0" applyNumberFormat="1" applyFont="1" applyBorder="1" applyAlignment="1">
      <alignment horizontal="center" vertical="center"/>
    </xf>
    <xf numFmtId="6" fontId="12" fillId="0" borderId="9" xfId="0" applyNumberFormat="1" applyFont="1" applyBorder="1" applyAlignment="1">
      <alignment horizontal="center" vertical="center"/>
    </xf>
    <xf numFmtId="0" fontId="36" fillId="0" borderId="9" xfId="0" applyFont="1" applyBorder="1" applyAlignment="1">
      <alignment horizontal="center" vertical="center" wrapText="1"/>
    </xf>
    <xf numFmtId="1" fontId="26" fillId="0" borderId="65" xfId="0" applyNumberFormat="1" applyFont="1" applyBorder="1" applyAlignment="1">
      <alignment horizontal="center" vertical="center"/>
    </xf>
    <xf numFmtId="1" fontId="26" fillId="0" borderId="23" xfId="0" applyNumberFormat="1" applyFont="1" applyBorder="1" applyAlignment="1">
      <alignment horizontal="center" vertical="center" wrapText="1"/>
    </xf>
    <xf numFmtId="176" fontId="22" fillId="6" borderId="9" xfId="6" applyNumberFormat="1" applyBorder="1" applyAlignment="1">
      <alignment vertical="center"/>
    </xf>
    <xf numFmtId="176" fontId="0" fillId="0" borderId="9" xfId="0" applyNumberFormat="1" applyBorder="1" applyAlignment="1">
      <alignment horizontal="right" vertical="center"/>
    </xf>
    <xf numFmtId="0" fontId="12" fillId="0" borderId="72" xfId="0" applyFont="1" applyBorder="1" applyAlignment="1">
      <alignment horizontal="center" vertical="center" wrapText="1"/>
    </xf>
    <xf numFmtId="0" fontId="12" fillId="0" borderId="84" xfId="0" applyFont="1" applyBorder="1" applyAlignment="1">
      <alignment horizontal="center" vertical="center" wrapText="1"/>
    </xf>
    <xf numFmtId="0" fontId="12" fillId="0" borderId="85" xfId="0" applyFont="1" applyBorder="1" applyAlignment="1">
      <alignment horizontal="center" vertical="center" wrapText="1"/>
    </xf>
    <xf numFmtId="0" fontId="13" fillId="20" borderId="2" xfId="0" applyFont="1" applyFill="1" applyBorder="1" applyAlignment="1">
      <alignment horizontal="center" vertical="center" wrapText="1"/>
    </xf>
    <xf numFmtId="0" fontId="33" fillId="0" borderId="0" xfId="9" applyFont="1" applyAlignment="1">
      <alignment wrapText="1"/>
    </xf>
    <xf numFmtId="0" fontId="11" fillId="5" borderId="13" xfId="9" applyFill="1" applyBorder="1" applyAlignment="1">
      <alignment horizontal="center"/>
    </xf>
    <xf numFmtId="0" fontId="11" fillId="5" borderId="2" xfId="9" applyFill="1" applyBorder="1" applyAlignment="1">
      <alignment horizontal="center" vertical="center"/>
    </xf>
    <xf numFmtId="0" fontId="11" fillId="5" borderId="2" xfId="9" applyFill="1" applyBorder="1" applyAlignment="1">
      <alignment horizontal="center"/>
    </xf>
    <xf numFmtId="0" fontId="11" fillId="5" borderId="33" xfId="9" applyFill="1" applyBorder="1" applyAlignment="1">
      <alignment horizontal="center"/>
    </xf>
    <xf numFmtId="0" fontId="11" fillId="5" borderId="57" xfId="9" applyFill="1" applyBorder="1" applyAlignment="1">
      <alignment horizontal="center"/>
    </xf>
    <xf numFmtId="0" fontId="11" fillId="5" borderId="39" xfId="9" applyFill="1" applyBorder="1" applyAlignment="1">
      <alignment horizontal="center" vertical="center"/>
    </xf>
    <xf numFmtId="0" fontId="11" fillId="5" borderId="39" xfId="9" applyFill="1" applyBorder="1" applyAlignment="1">
      <alignment horizontal="center"/>
    </xf>
    <xf numFmtId="0" fontId="11" fillId="5" borderId="34" xfId="9" applyFill="1" applyBorder="1" applyAlignment="1">
      <alignment horizontal="center"/>
    </xf>
    <xf numFmtId="10" fontId="12" fillId="0" borderId="0" xfId="11" applyNumberFormat="1" applyFont="1"/>
    <xf numFmtId="0" fontId="17" fillId="0" borderId="2" xfId="10" applyFont="1" applyBorder="1" applyAlignment="1">
      <alignment horizontal="center" vertical="center" wrapText="1"/>
    </xf>
    <xf numFmtId="6" fontId="0" fillId="0" borderId="2" xfId="0" applyNumberFormat="1" applyBorder="1" applyAlignment="1">
      <alignment horizontal="center" vertical="center"/>
    </xf>
    <xf numFmtId="175" fontId="26" fillId="0" borderId="23" xfId="0" applyNumberFormat="1" applyFont="1" applyBorder="1" applyAlignment="1">
      <alignment horizontal="center" vertical="center" wrapText="1"/>
    </xf>
    <xf numFmtId="169" fontId="26" fillId="0" borderId="23" xfId="0" applyNumberFormat="1" applyFont="1" applyBorder="1" applyAlignment="1">
      <alignment horizontal="center" vertical="center" wrapText="1"/>
    </xf>
    <xf numFmtId="6" fontId="12" fillId="8" borderId="61" xfId="0" applyNumberFormat="1" applyFont="1" applyFill="1" applyBorder="1" applyAlignment="1">
      <alignment horizontal="center" vertical="center"/>
    </xf>
    <xf numFmtId="0" fontId="35" fillId="8" borderId="61" xfId="10" applyFill="1" applyBorder="1" applyAlignment="1">
      <alignment horizontal="center" vertical="center" wrapText="1"/>
    </xf>
    <xf numFmtId="17" fontId="12" fillId="8" borderId="61" xfId="0" applyNumberFormat="1" applyFont="1" applyFill="1" applyBorder="1" applyAlignment="1">
      <alignment horizontal="center"/>
    </xf>
    <xf numFmtId="6" fontId="12" fillId="8" borderId="64" xfId="0" applyNumberFormat="1" applyFont="1" applyFill="1" applyBorder="1" applyAlignment="1">
      <alignment horizontal="center" vertical="center"/>
    </xf>
    <xf numFmtId="0" fontId="0" fillId="8" borderId="64" xfId="0" applyFill="1" applyBorder="1" applyAlignment="1">
      <alignment horizontal="center" vertical="center" wrapText="1"/>
    </xf>
    <xf numFmtId="0" fontId="12" fillId="24" borderId="0" xfId="0" applyFont="1" applyFill="1"/>
    <xf numFmtId="0" fontId="12" fillId="24" borderId="0" xfId="0" applyFont="1" applyFill="1" applyAlignment="1">
      <alignment vertical="center"/>
    </xf>
    <xf numFmtId="0" fontId="13" fillId="24" borderId="0" xfId="0" applyFont="1" applyFill="1"/>
    <xf numFmtId="0" fontId="13" fillId="24" borderId="0" xfId="0" applyFont="1" applyFill="1" applyAlignment="1">
      <alignment vertical="center"/>
    </xf>
    <xf numFmtId="0" fontId="12" fillId="24" borderId="50" xfId="0" applyFont="1" applyFill="1" applyBorder="1" applyAlignment="1">
      <alignment horizontal="center" vertical="center" wrapText="1"/>
    </xf>
    <xf numFmtId="0" fontId="12" fillId="24" borderId="38" xfId="0" applyFont="1" applyFill="1" applyBorder="1" applyAlignment="1">
      <alignment horizontal="center" vertical="center" wrapText="1"/>
    </xf>
    <xf numFmtId="3" fontId="12" fillId="24" borderId="39" xfId="0" applyNumberFormat="1" applyFont="1" applyFill="1" applyBorder="1" applyAlignment="1">
      <alignment horizontal="center" vertical="center" wrapText="1"/>
    </xf>
    <xf numFmtId="166" fontId="12" fillId="24" borderId="38" xfId="0" applyNumberFormat="1" applyFont="1" applyFill="1" applyBorder="1" applyAlignment="1">
      <alignment horizontal="right" vertical="center" wrapText="1"/>
    </xf>
    <xf numFmtId="166" fontId="12" fillId="24" borderId="2" xfId="0" applyNumberFormat="1" applyFont="1" applyFill="1" applyBorder="1" applyAlignment="1">
      <alignment horizontal="right" vertical="center" wrapText="1"/>
    </xf>
    <xf numFmtId="176" fontId="12" fillId="24" borderId="0" xfId="0" applyNumberFormat="1" applyFont="1" applyFill="1" applyAlignment="1">
      <alignment horizontal="center" vertical="center"/>
    </xf>
    <xf numFmtId="6" fontId="12" fillId="0" borderId="13" xfId="0" applyNumberFormat="1" applyFont="1" applyBorder="1" applyAlignment="1">
      <alignment horizontal="center" vertical="center"/>
    </xf>
    <xf numFmtId="0" fontId="37" fillId="0" borderId="13" xfId="10" applyFont="1" applyBorder="1" applyAlignment="1">
      <alignment horizontal="center" vertical="center" wrapText="1"/>
    </xf>
    <xf numFmtId="1" fontId="26" fillId="0" borderId="87" xfId="0" applyNumberFormat="1" applyFont="1" applyBorder="1" applyAlignment="1">
      <alignment horizontal="center" vertical="center"/>
    </xf>
    <xf numFmtId="0" fontId="12" fillId="0" borderId="0" xfId="3" applyAlignment="1">
      <alignment horizontal="center"/>
    </xf>
    <xf numFmtId="2" fontId="12" fillId="0" borderId="0" xfId="3" applyNumberFormat="1"/>
    <xf numFmtId="175" fontId="12" fillId="0" borderId="0" xfId="3" applyNumberFormat="1"/>
    <xf numFmtId="2" fontId="12" fillId="0" borderId="0" xfId="3" applyNumberFormat="1" applyAlignment="1">
      <alignment horizontal="center"/>
    </xf>
    <xf numFmtId="0" fontId="32" fillId="0" borderId="0" xfId="9" applyFont="1" applyAlignment="1">
      <alignment horizontal="center"/>
    </xf>
    <xf numFmtId="0" fontId="22" fillId="0" borderId="16" xfId="6" applyFill="1" applyAlignment="1">
      <alignment horizontal="center" vertical="center"/>
    </xf>
    <xf numFmtId="3" fontId="22" fillId="0" borderId="16" xfId="6" applyNumberFormat="1" applyFill="1" applyAlignment="1">
      <alignment horizontal="center" vertical="center"/>
    </xf>
    <xf numFmtId="0" fontId="16" fillId="0" borderId="0" xfId="0" applyFont="1" applyAlignment="1">
      <alignment horizontal="left" vertical="center"/>
    </xf>
    <xf numFmtId="0" fontId="13" fillId="0" borderId="0" xfId="0" applyFont="1" applyAlignment="1">
      <alignment horizontal="left" vertical="center"/>
    </xf>
    <xf numFmtId="166" fontId="12" fillId="0" borderId="8" xfId="0" applyNumberFormat="1" applyFont="1" applyBorder="1" applyAlignment="1">
      <alignment horizontal="right" vertical="center" wrapText="1"/>
    </xf>
    <xf numFmtId="178" fontId="12" fillId="0" borderId="35" xfId="0" applyNumberFormat="1" applyFont="1" applyBorder="1" applyAlignment="1">
      <alignment horizontal="right" vertical="center" wrapText="1"/>
    </xf>
    <xf numFmtId="178" fontId="12" fillId="0" borderId="36" xfId="0" applyNumberFormat="1" applyFont="1" applyBorder="1" applyAlignment="1">
      <alignment horizontal="right" vertical="center" wrapText="1"/>
    </xf>
    <xf numFmtId="178" fontId="12" fillId="2" borderId="43" xfId="0" applyNumberFormat="1" applyFont="1" applyFill="1" applyBorder="1" applyAlignment="1">
      <alignment horizontal="right" vertical="center" wrapText="1"/>
    </xf>
    <xf numFmtId="178" fontId="13" fillId="2" borderId="31" xfId="0" applyNumberFormat="1" applyFont="1" applyFill="1" applyBorder="1" applyAlignment="1">
      <alignment horizontal="right" vertical="center" wrapText="1"/>
    </xf>
    <xf numFmtId="178" fontId="12" fillId="0" borderId="38" xfId="0" applyNumberFormat="1" applyFont="1" applyBorder="1" applyAlignment="1">
      <alignment horizontal="right" vertical="center" wrapText="1"/>
    </xf>
    <xf numFmtId="178" fontId="12" fillId="0" borderId="2" xfId="0" applyNumberFormat="1" applyFont="1" applyBorder="1" applyAlignment="1">
      <alignment horizontal="right" vertical="center" wrapText="1"/>
    </xf>
    <xf numFmtId="178" fontId="12" fillId="2" borderId="6" xfId="0" applyNumberFormat="1" applyFont="1" applyFill="1" applyBorder="1" applyAlignment="1">
      <alignment horizontal="right" vertical="center" wrapText="1"/>
    </xf>
    <xf numFmtId="178" fontId="13" fillId="0" borderId="48" xfId="0" applyNumberFormat="1" applyFont="1" applyBorder="1" applyAlignment="1">
      <alignment horizontal="right" vertical="center" wrapText="1"/>
    </xf>
    <xf numFmtId="178" fontId="12" fillId="0" borderId="77" xfId="0" applyNumberFormat="1" applyFont="1" applyBorder="1" applyAlignment="1">
      <alignment horizontal="right" vertical="center" wrapText="1"/>
    </xf>
    <xf numFmtId="0" fontId="12" fillId="0" borderId="52" xfId="0" applyFont="1" applyBorder="1" applyAlignment="1">
      <alignment horizontal="center" vertical="center" wrapText="1"/>
    </xf>
    <xf numFmtId="178" fontId="12" fillId="0" borderId="86" xfId="0" applyNumberFormat="1" applyFont="1" applyBorder="1" applyAlignment="1">
      <alignment horizontal="right" vertical="center" wrapText="1"/>
    </xf>
    <xf numFmtId="178" fontId="12" fillId="0" borderId="73" xfId="0" applyNumberFormat="1" applyFont="1" applyBorder="1" applyAlignment="1">
      <alignment horizontal="right" vertical="center" wrapText="1"/>
    </xf>
    <xf numFmtId="178" fontId="12" fillId="2" borderId="74" xfId="0" applyNumberFormat="1" applyFont="1" applyFill="1" applyBorder="1" applyAlignment="1">
      <alignment horizontal="right" vertical="center" wrapText="1"/>
    </xf>
    <xf numFmtId="178" fontId="12" fillId="0" borderId="52" xfId="0" applyNumberFormat="1" applyFont="1" applyBorder="1" applyAlignment="1">
      <alignment horizontal="right" vertical="center" wrapText="1"/>
    </xf>
    <xf numFmtId="178" fontId="12" fillId="0" borderId="9" xfId="0" applyNumberFormat="1" applyFont="1" applyBorder="1" applyAlignment="1">
      <alignment horizontal="right" vertical="center" wrapText="1"/>
    </xf>
    <xf numFmtId="170" fontId="13" fillId="11" borderId="57" xfId="0" applyNumberFormat="1" applyFont="1" applyFill="1" applyBorder="1" applyAlignment="1">
      <alignment horizontal="right" vertical="center"/>
    </xf>
    <xf numFmtId="170" fontId="13" fillId="0" borderId="39" xfId="0" applyNumberFormat="1" applyFont="1" applyBorder="1" applyAlignment="1">
      <alignment horizontal="right" vertical="center"/>
    </xf>
    <xf numFmtId="170" fontId="13" fillId="10" borderId="39" xfId="0" applyNumberFormat="1" applyFont="1" applyFill="1" applyBorder="1" applyAlignment="1">
      <alignment horizontal="right" vertical="center"/>
    </xf>
    <xf numFmtId="170" fontId="13" fillId="12" borderId="39" xfId="0" applyNumberFormat="1" applyFont="1" applyFill="1" applyBorder="1" applyAlignment="1">
      <alignment horizontal="right" vertical="center"/>
    </xf>
    <xf numFmtId="0" fontId="13" fillId="2" borderId="46" xfId="0" applyFont="1" applyFill="1" applyBorder="1" applyAlignment="1">
      <alignment horizontal="right" vertical="center"/>
    </xf>
    <xf numFmtId="170" fontId="13" fillId="11" borderId="13" xfId="0" applyNumberFormat="1" applyFont="1" applyFill="1" applyBorder="1" applyAlignment="1">
      <alignment horizontal="right" vertical="center"/>
    </xf>
    <xf numFmtId="170" fontId="13" fillId="10" borderId="2" xfId="0" applyNumberFormat="1" applyFont="1" applyFill="1" applyBorder="1" applyAlignment="1">
      <alignment horizontal="right" vertical="center"/>
    </xf>
    <xf numFmtId="0" fontId="12" fillId="0" borderId="0" xfId="8" applyAlignment="1">
      <alignment vertical="center"/>
    </xf>
    <xf numFmtId="0" fontId="44" fillId="0" borderId="38" xfId="8" applyFont="1" applyBorder="1" applyAlignment="1">
      <alignment horizontal="center" vertical="center"/>
    </xf>
    <xf numFmtId="0" fontId="44" fillId="11" borderId="38" xfId="8" applyFont="1" applyFill="1" applyBorder="1" applyAlignment="1">
      <alignment horizontal="center" vertical="center"/>
    </xf>
    <xf numFmtId="0" fontId="44" fillId="11" borderId="2" xfId="8" applyFont="1" applyFill="1" applyBorder="1" applyAlignment="1">
      <alignment horizontal="center" vertical="center"/>
    </xf>
    <xf numFmtId="0" fontId="44" fillId="11" borderId="2" xfId="8" applyFont="1" applyFill="1" applyBorder="1" applyAlignment="1">
      <alignment horizontal="right" vertical="center"/>
    </xf>
    <xf numFmtId="0" fontId="45" fillId="11" borderId="2" xfId="8" applyFont="1" applyFill="1" applyBorder="1" applyAlignment="1">
      <alignment horizontal="right" vertical="center" wrapText="1"/>
    </xf>
    <xf numFmtId="0" fontId="45" fillId="11" borderId="39" xfId="8" applyFont="1" applyFill="1" applyBorder="1" applyAlignment="1">
      <alignment horizontal="center" vertical="center" wrapText="1"/>
    </xf>
    <xf numFmtId="0" fontId="12" fillId="0" borderId="2" xfId="8" applyBorder="1" applyAlignment="1">
      <alignment horizontal="left" vertical="center"/>
    </xf>
    <xf numFmtId="0" fontId="30" fillId="0" borderId="2" xfId="8" applyFont="1" applyBorder="1" applyAlignment="1">
      <alignment horizontal="center" vertical="center"/>
    </xf>
    <xf numFmtId="0" fontId="44" fillId="0" borderId="2" xfId="8" applyFont="1" applyBorder="1" applyAlignment="1">
      <alignment horizontal="right" vertical="center"/>
    </xf>
    <xf numFmtId="0" fontId="30" fillId="11" borderId="2" xfId="8" applyFont="1" applyFill="1" applyBorder="1" applyAlignment="1">
      <alignment horizontal="center" vertical="center"/>
    </xf>
    <xf numFmtId="0" fontId="12" fillId="0" borderId="38" xfId="8" applyBorder="1" applyAlignment="1">
      <alignment horizontal="center" vertical="center"/>
    </xf>
    <xf numFmtId="0" fontId="12" fillId="0" borderId="2" xfId="8" applyBorder="1" applyAlignment="1">
      <alignment horizontal="center" vertical="center"/>
    </xf>
    <xf numFmtId="3" fontId="12" fillId="0" borderId="2" xfId="17" applyNumberFormat="1" applyFont="1" applyFill="1" applyBorder="1" applyAlignment="1">
      <alignment horizontal="right" vertical="center"/>
    </xf>
    <xf numFmtId="181" fontId="12" fillId="0" borderId="2" xfId="17" applyNumberFormat="1" applyFont="1" applyFill="1" applyBorder="1" applyAlignment="1">
      <alignment horizontal="right" vertical="center"/>
    </xf>
    <xf numFmtId="181" fontId="12" fillId="25" borderId="2" xfId="17" applyNumberFormat="1" applyFont="1" applyFill="1" applyBorder="1" applyAlignment="1">
      <alignment horizontal="right" vertical="center"/>
    </xf>
    <xf numFmtId="181" fontId="12" fillId="0" borderId="39" xfId="17" applyNumberFormat="1" applyFont="1" applyFill="1" applyBorder="1" applyAlignment="1">
      <alignment vertical="center"/>
    </xf>
    <xf numFmtId="0" fontId="13" fillId="0" borderId="0" xfId="8" applyFont="1" applyAlignment="1">
      <alignment vertical="center"/>
    </xf>
    <xf numFmtId="181" fontId="12" fillId="24" borderId="0" xfId="8" applyNumberFormat="1" applyFill="1" applyAlignment="1">
      <alignment vertical="center"/>
    </xf>
    <xf numFmtId="3" fontId="12" fillId="0" borderId="2" xfId="8" applyNumberFormat="1" applyBorder="1" applyAlignment="1">
      <alignment horizontal="center" vertical="center"/>
    </xf>
    <xf numFmtId="3" fontId="13" fillId="26" borderId="2" xfId="8" applyNumberFormat="1" applyFont="1" applyFill="1" applyBorder="1" applyAlignment="1">
      <alignment vertical="center" wrapText="1"/>
    </xf>
    <xf numFmtId="0" fontId="13" fillId="26" borderId="2" xfId="8" applyFont="1" applyFill="1" applyBorder="1" applyAlignment="1">
      <alignment vertical="center" wrapText="1"/>
    </xf>
    <xf numFmtId="164" fontId="13" fillId="26" borderId="39" xfId="18" applyFont="1" applyFill="1" applyBorder="1" applyAlignment="1">
      <alignment vertical="center"/>
    </xf>
    <xf numFmtId="183" fontId="13" fillId="0" borderId="2" xfId="19" applyNumberFormat="1" applyFont="1" applyFill="1" applyBorder="1" applyAlignment="1">
      <alignment vertical="center" wrapText="1"/>
    </xf>
    <xf numFmtId="0" fontId="13" fillId="0" borderId="2" xfId="8" applyFont="1" applyBorder="1" applyAlignment="1">
      <alignment vertical="center" wrapText="1"/>
    </xf>
    <xf numFmtId="183" fontId="13" fillId="11" borderId="2" xfId="19" applyNumberFormat="1" applyFont="1" applyFill="1" applyBorder="1" applyAlignment="1">
      <alignment vertical="center" wrapText="1"/>
    </xf>
    <xf numFmtId="0" fontId="13" fillId="11" borderId="2" xfId="8" applyFont="1" applyFill="1" applyBorder="1" applyAlignment="1">
      <alignment vertical="center" wrapText="1"/>
    </xf>
    <xf numFmtId="181" fontId="12" fillId="11" borderId="39" xfId="17" applyNumberFormat="1" applyFont="1" applyFill="1" applyBorder="1" applyAlignment="1">
      <alignment vertical="center"/>
    </xf>
    <xf numFmtId="0" fontId="13" fillId="0" borderId="0" xfId="8" applyFont="1" applyAlignment="1">
      <alignment horizontal="left" vertical="center"/>
    </xf>
    <xf numFmtId="0" fontId="16" fillId="0" borderId="0" xfId="8" applyFont="1" applyAlignment="1">
      <alignment horizontal="left" vertical="center"/>
    </xf>
    <xf numFmtId="0" fontId="13" fillId="0" borderId="0" xfId="8" applyFont="1" applyAlignment="1">
      <alignment vertical="center" wrapText="1"/>
    </xf>
    <xf numFmtId="176" fontId="12" fillId="0" borderId="0" xfId="8" applyNumberFormat="1" applyAlignment="1">
      <alignment vertical="center"/>
    </xf>
    <xf numFmtId="0" fontId="47" fillId="0" borderId="0" xfId="24" applyFont="1" applyAlignment="1">
      <alignment horizontal="center" vertical="center" wrapText="1"/>
    </xf>
    <xf numFmtId="0" fontId="48" fillId="0" borderId="0" xfId="24" applyFont="1" applyAlignment="1">
      <alignment vertical="center" wrapText="1"/>
    </xf>
    <xf numFmtId="0" fontId="49" fillId="0" borderId="0" xfId="24" applyFont="1" applyAlignment="1">
      <alignment horizontal="center" vertical="center" wrapText="1"/>
    </xf>
    <xf numFmtId="0" fontId="50" fillId="0" borderId="0" xfId="24" applyFont="1" applyAlignment="1">
      <alignment horizontal="center" vertical="center" wrapText="1"/>
    </xf>
    <xf numFmtId="0" fontId="13" fillId="0" borderId="0" xfId="25" applyFont="1" applyAlignment="1">
      <alignment horizontal="centerContinuous" vertical="center" wrapText="1"/>
    </xf>
    <xf numFmtId="0" fontId="12" fillId="0" borderId="0" xfId="25" applyAlignment="1">
      <alignment horizontal="centerContinuous" vertical="center" wrapText="1"/>
    </xf>
    <xf numFmtId="0" fontId="12" fillId="0" borderId="0" xfId="25" applyAlignment="1">
      <alignment horizontal="center" vertical="center" wrapText="1"/>
    </xf>
    <xf numFmtId="0" fontId="12" fillId="0" borderId="0" xfId="25" quotePrefix="1" applyAlignment="1">
      <alignment horizontal="centerContinuous" vertical="center" wrapText="1"/>
    </xf>
    <xf numFmtId="0" fontId="9" fillId="0" borderId="0" xfId="24" applyAlignment="1">
      <alignment vertical="center" wrapText="1"/>
    </xf>
    <xf numFmtId="0" fontId="16" fillId="0" borderId="0" xfId="25" applyFont="1" applyAlignment="1">
      <alignment vertical="center" wrapText="1"/>
    </xf>
    <xf numFmtId="0" fontId="12" fillId="0" borderId="0" xfId="25" applyAlignment="1">
      <alignment vertical="center" wrapText="1"/>
    </xf>
    <xf numFmtId="0" fontId="13" fillId="13" borderId="100" xfId="25" applyFont="1" applyFill="1" applyBorder="1" applyAlignment="1">
      <alignment horizontal="center" vertical="center" wrapText="1"/>
    </xf>
    <xf numFmtId="0" fontId="13" fillId="13" borderId="101" xfId="25" applyFont="1" applyFill="1" applyBorder="1" applyAlignment="1">
      <alignment horizontal="center" vertical="center" wrapText="1"/>
    </xf>
    <xf numFmtId="0" fontId="13" fillId="13" borderId="102" xfId="25" applyFont="1" applyFill="1" applyBorder="1" applyAlignment="1">
      <alignment horizontal="center" vertical="center" wrapText="1"/>
    </xf>
    <xf numFmtId="0" fontId="43" fillId="0" borderId="0" xfId="24" applyFont="1" applyAlignment="1">
      <alignment vertical="center" wrapText="1"/>
    </xf>
    <xf numFmtId="0" fontId="12" fillId="0" borderId="58" xfId="25" applyBorder="1" applyAlignment="1">
      <alignment vertical="center" wrapText="1"/>
    </xf>
    <xf numFmtId="0" fontId="13" fillId="0" borderId="41" xfId="25" applyFont="1" applyBorder="1" applyAlignment="1">
      <alignment vertical="center" wrapText="1"/>
    </xf>
    <xf numFmtId="185" fontId="12" fillId="0" borderId="54" xfId="26" applyNumberFormat="1" applyFont="1" applyFill="1" applyBorder="1" applyAlignment="1">
      <alignment vertical="center" wrapText="1"/>
    </xf>
    <xf numFmtId="180" fontId="12" fillId="0" borderId="54" xfId="26" applyFont="1" applyFill="1" applyBorder="1" applyAlignment="1">
      <alignment horizontal="center" vertical="center" wrapText="1"/>
    </xf>
    <xf numFmtId="184" fontId="13" fillId="0" borderId="48" xfId="26" applyNumberFormat="1" applyFont="1" applyFill="1" applyBorder="1" applyAlignment="1">
      <alignment vertical="center" wrapText="1"/>
    </xf>
    <xf numFmtId="0" fontId="26" fillId="0" borderId="103" xfId="25" applyFont="1" applyBorder="1" applyAlignment="1">
      <alignment horizontal="center" vertical="center" wrapText="1"/>
    </xf>
    <xf numFmtId="0" fontId="12" fillId="0" borderId="104" xfId="25" applyBorder="1" applyAlignment="1">
      <alignment vertical="center" wrapText="1"/>
    </xf>
    <xf numFmtId="186" fontId="12" fillId="0" borderId="104" xfId="25" applyNumberFormat="1" applyBorder="1" applyAlignment="1">
      <alignment vertical="center" wrapText="1"/>
    </xf>
    <xf numFmtId="9" fontId="26" fillId="0" borderId="104" xfId="27" applyFont="1" applyFill="1" applyBorder="1" applyAlignment="1">
      <alignment horizontal="center" vertical="center" wrapText="1"/>
    </xf>
    <xf numFmtId="187" fontId="12" fillId="0" borderId="104" xfId="25" applyNumberFormat="1" applyBorder="1" applyAlignment="1">
      <alignment horizontal="center" vertical="center" wrapText="1"/>
    </xf>
    <xf numFmtId="186" fontId="12" fillId="0" borderId="105" xfId="25" applyNumberFormat="1" applyBorder="1" applyAlignment="1">
      <alignment vertical="center" wrapText="1"/>
    </xf>
    <xf numFmtId="0" fontId="32" fillId="0" borderId="0" xfId="24" applyFont="1" applyAlignment="1">
      <alignment vertical="center" wrapText="1"/>
    </xf>
    <xf numFmtId="175" fontId="32" fillId="0" borderId="0" xfId="24" applyNumberFormat="1" applyFont="1" applyAlignment="1">
      <alignment vertical="center" wrapText="1"/>
    </xf>
    <xf numFmtId="0" fontId="26" fillId="0" borderId="106" xfId="25" applyFont="1" applyBorder="1" applyAlignment="1">
      <alignment horizontal="center" vertical="center" wrapText="1"/>
    </xf>
    <xf numFmtId="180" fontId="43" fillId="0" borderId="0" xfId="28" applyFont="1" applyAlignment="1">
      <alignment vertical="center" wrapText="1"/>
    </xf>
    <xf numFmtId="186" fontId="12" fillId="0" borderId="107" xfId="25" applyNumberFormat="1" applyBorder="1" applyAlignment="1">
      <alignment vertical="center" wrapText="1"/>
    </xf>
    <xf numFmtId="9" fontId="43" fillId="0" borderId="0" xfId="11" applyFont="1" applyAlignment="1">
      <alignment vertical="center" wrapText="1"/>
    </xf>
    <xf numFmtId="0" fontId="0" fillId="0" borderId="104" xfId="25" applyFont="1" applyBorder="1" applyAlignment="1">
      <alignment vertical="center" wrapText="1"/>
    </xf>
    <xf numFmtId="0" fontId="12" fillId="0" borderId="58" xfId="25" applyBorder="1" applyAlignment="1">
      <alignment horizontal="center" vertical="center" wrapText="1"/>
    </xf>
    <xf numFmtId="185" fontId="12" fillId="0" borderId="41" xfId="26" applyNumberFormat="1" applyFont="1" applyFill="1" applyBorder="1" applyAlignment="1">
      <alignment vertical="center" wrapText="1"/>
    </xf>
    <xf numFmtId="2" fontId="12" fillId="0" borderId="54" xfId="26" applyNumberFormat="1" applyFont="1" applyFill="1" applyBorder="1" applyAlignment="1">
      <alignment horizontal="center" vertical="center" wrapText="1"/>
    </xf>
    <xf numFmtId="0" fontId="12" fillId="0" borderId="108" xfId="25" applyBorder="1" applyAlignment="1">
      <alignment horizontal="center" vertical="center" wrapText="1"/>
    </xf>
    <xf numFmtId="0" fontId="12" fillId="0" borderId="109" xfId="25" applyBorder="1" applyAlignment="1">
      <alignment vertical="center" wrapText="1"/>
    </xf>
    <xf numFmtId="186" fontId="12" fillId="0" borderId="109" xfId="25" applyNumberFormat="1" applyBorder="1" applyAlignment="1">
      <alignment vertical="center" wrapText="1"/>
    </xf>
    <xf numFmtId="9" fontId="12" fillId="0" borderId="109" xfId="27" applyFont="1" applyFill="1" applyBorder="1" applyAlignment="1">
      <alignment horizontal="center" vertical="center" wrapText="1"/>
    </xf>
    <xf numFmtId="187" fontId="12" fillId="0" borderId="109" xfId="25" applyNumberFormat="1" applyBorder="1" applyAlignment="1">
      <alignment horizontal="center" vertical="center" wrapText="1"/>
    </xf>
    <xf numFmtId="0" fontId="13" fillId="0" borderId="58" xfId="25" applyFont="1" applyBorder="1" applyAlignment="1">
      <alignment vertical="center" wrapText="1"/>
    </xf>
    <xf numFmtId="0" fontId="13" fillId="0" borderId="45" xfId="25" applyFont="1" applyBorder="1" applyAlignment="1">
      <alignment vertical="center" wrapText="1"/>
    </xf>
    <xf numFmtId="185" fontId="13" fillId="0" borderId="54" xfId="26" applyNumberFormat="1" applyFont="1" applyFill="1" applyBorder="1" applyAlignment="1">
      <alignment vertical="center" wrapText="1"/>
    </xf>
    <xf numFmtId="180" fontId="13" fillId="0" borderId="54" xfId="26" applyFont="1" applyFill="1" applyBorder="1" applyAlignment="1">
      <alignment horizontal="center" vertical="center" wrapText="1"/>
    </xf>
    <xf numFmtId="176" fontId="13" fillId="0" borderId="48" xfId="29" applyNumberFormat="1" applyFont="1" applyFill="1" applyBorder="1" applyAlignment="1">
      <alignment vertical="center" wrapText="1"/>
    </xf>
    <xf numFmtId="180" fontId="13" fillId="0" borderId="48" xfId="26" applyFont="1" applyFill="1" applyBorder="1" applyAlignment="1">
      <alignment vertical="center" wrapText="1"/>
    </xf>
    <xf numFmtId="0" fontId="12" fillId="0" borderId="54" xfId="25" applyBorder="1" applyAlignment="1">
      <alignment vertical="center" wrapText="1"/>
    </xf>
    <xf numFmtId="0" fontId="12" fillId="0" borderId="54" xfId="25" applyBorder="1" applyAlignment="1">
      <alignment horizontal="center" vertical="center" wrapText="1"/>
    </xf>
    <xf numFmtId="176" fontId="13" fillId="0" borderId="42" xfId="29" applyNumberFormat="1" applyFont="1" applyFill="1" applyBorder="1" applyAlignment="1">
      <alignment vertical="center" wrapText="1"/>
    </xf>
    <xf numFmtId="0" fontId="12" fillId="0" borderId="70" xfId="25" applyBorder="1" applyAlignment="1">
      <alignment vertical="center" wrapText="1"/>
    </xf>
    <xf numFmtId="0" fontId="13" fillId="0" borderId="0" xfId="25" applyFont="1" applyAlignment="1">
      <alignment vertical="center" wrapText="1"/>
    </xf>
    <xf numFmtId="0" fontId="12" fillId="0" borderId="71" xfId="25" applyBorder="1" applyAlignment="1">
      <alignment vertical="center" wrapText="1"/>
    </xf>
    <xf numFmtId="0" fontId="12" fillId="13" borderId="101" xfId="25" applyFill="1" applyBorder="1" applyAlignment="1">
      <alignment horizontal="center" vertical="center" wrapText="1"/>
    </xf>
    <xf numFmtId="180" fontId="13" fillId="13" borderId="101" xfId="25" applyNumberFormat="1" applyFont="1" applyFill="1" applyBorder="1" applyAlignment="1">
      <alignment horizontal="center" vertical="center" wrapText="1"/>
    </xf>
    <xf numFmtId="176" fontId="13" fillId="0" borderId="48" xfId="26" applyNumberFormat="1" applyFont="1" applyFill="1" applyBorder="1" applyAlignment="1">
      <alignment vertical="center" wrapText="1"/>
    </xf>
    <xf numFmtId="2" fontId="12" fillId="0" borderId="110" xfId="25" applyNumberFormat="1" applyBorder="1" applyAlignment="1">
      <alignment horizontal="center" vertical="center" wrapText="1"/>
    </xf>
    <xf numFmtId="0" fontId="12" fillId="0" borderId="111" xfId="25" applyBorder="1" applyAlignment="1">
      <alignment vertical="center" wrapText="1"/>
    </xf>
    <xf numFmtId="0" fontId="12" fillId="0" borderId="111" xfId="25" applyBorder="1" applyAlignment="1">
      <alignment horizontal="center" vertical="center" wrapText="1"/>
    </xf>
    <xf numFmtId="176" fontId="12" fillId="0" borderId="111" xfId="30" applyNumberFormat="1" applyFont="1" applyFill="1" applyBorder="1" applyAlignment="1">
      <alignment vertical="center" wrapText="1"/>
    </xf>
    <xf numFmtId="185" fontId="12" fillId="0" borderId="111" xfId="30" applyNumberFormat="1" applyFont="1" applyFill="1" applyBorder="1" applyAlignment="1">
      <alignment vertical="center" wrapText="1"/>
    </xf>
    <xf numFmtId="169" fontId="12" fillId="0" borderId="111" xfId="25" applyNumberFormat="1" applyBorder="1" applyAlignment="1">
      <alignment horizontal="center" vertical="center" wrapText="1"/>
    </xf>
    <xf numFmtId="176" fontId="12" fillId="0" borderId="105" xfId="26" applyNumberFormat="1" applyFont="1" applyFill="1" applyBorder="1" applyAlignment="1">
      <alignment vertical="center" wrapText="1"/>
    </xf>
    <xf numFmtId="2" fontId="12" fillId="0" borderId="112" xfId="25" applyNumberFormat="1" applyBorder="1" applyAlignment="1">
      <alignment horizontal="center" vertical="center" wrapText="1"/>
    </xf>
    <xf numFmtId="0" fontId="12" fillId="0" borderId="104" xfId="25" applyBorder="1" applyAlignment="1">
      <alignment horizontal="center" vertical="center" wrapText="1"/>
    </xf>
    <xf numFmtId="176" fontId="12" fillId="0" borderId="104" xfId="25" applyNumberFormat="1" applyBorder="1" applyAlignment="1">
      <alignment vertical="center" wrapText="1"/>
    </xf>
    <xf numFmtId="185" fontId="12" fillId="0" borderId="104" xfId="25" applyNumberFormat="1" applyBorder="1" applyAlignment="1">
      <alignment vertical="center" wrapText="1"/>
    </xf>
    <xf numFmtId="169" fontId="12" fillId="0" borderId="104" xfId="25" applyNumberFormat="1" applyBorder="1" applyAlignment="1">
      <alignment horizontal="center" vertical="center" wrapText="1"/>
    </xf>
    <xf numFmtId="2" fontId="12" fillId="0" borderId="58" xfId="25" applyNumberFormat="1" applyBorder="1" applyAlignment="1">
      <alignment horizontal="center" vertical="center" wrapText="1"/>
    </xf>
    <xf numFmtId="176" fontId="12" fillId="0" borderId="104" xfId="30" applyNumberFormat="1" applyFont="1" applyFill="1" applyBorder="1" applyAlignment="1">
      <alignment vertical="center" wrapText="1"/>
    </xf>
    <xf numFmtId="185" fontId="12" fillId="0" borderId="104" xfId="26" applyNumberFormat="1" applyFont="1" applyFill="1" applyBorder="1" applyAlignment="1">
      <alignment vertical="center" wrapText="1"/>
    </xf>
    <xf numFmtId="178" fontId="43" fillId="0" borderId="0" xfId="24" applyNumberFormat="1" applyFont="1" applyAlignment="1">
      <alignment vertical="center" wrapText="1"/>
    </xf>
    <xf numFmtId="189" fontId="43" fillId="0" borderId="0" xfId="31" applyFont="1" applyAlignment="1">
      <alignment vertical="center" wrapText="1"/>
    </xf>
    <xf numFmtId="178" fontId="43" fillId="0" borderId="0" xfId="24" applyNumberFormat="1" applyFont="1" applyAlignment="1">
      <alignment horizontal="left" vertical="center" wrapText="1"/>
    </xf>
    <xf numFmtId="2" fontId="12" fillId="0" borderId="113" xfId="25" applyNumberFormat="1" applyBorder="1" applyAlignment="1">
      <alignment horizontal="center" vertical="center" wrapText="1"/>
    </xf>
    <xf numFmtId="0" fontId="12" fillId="0" borderId="114" xfId="25" applyBorder="1" applyAlignment="1">
      <alignment vertical="center" wrapText="1"/>
    </xf>
    <xf numFmtId="176" fontId="12" fillId="0" borderId="114" xfId="30" applyNumberFormat="1" applyFont="1" applyFill="1" applyBorder="1" applyAlignment="1">
      <alignment vertical="center" wrapText="1"/>
    </xf>
    <xf numFmtId="185" fontId="12" fillId="0" borderId="114" xfId="26" applyNumberFormat="1" applyFont="1" applyFill="1" applyBorder="1" applyAlignment="1">
      <alignment vertical="center" wrapText="1"/>
    </xf>
    <xf numFmtId="169" fontId="12" fillId="0" borderId="114" xfId="25" applyNumberFormat="1" applyBorder="1" applyAlignment="1">
      <alignment horizontal="center" vertical="center" wrapText="1"/>
    </xf>
    <xf numFmtId="176" fontId="12" fillId="0" borderId="115" xfId="26" applyNumberFormat="1" applyFont="1" applyFill="1" applyBorder="1" applyAlignment="1">
      <alignment vertical="center" wrapText="1"/>
    </xf>
    <xf numFmtId="0" fontId="51" fillId="0" borderId="58" xfId="25" applyFont="1" applyBorder="1" applyAlignment="1">
      <alignment vertical="center" wrapText="1"/>
    </xf>
    <xf numFmtId="0" fontId="9" fillId="0" borderId="0" xfId="24" applyAlignment="1">
      <alignment horizontal="center" vertical="center" wrapText="1"/>
    </xf>
    <xf numFmtId="0" fontId="51" fillId="0" borderId="90" xfId="25" applyFont="1" applyBorder="1" applyAlignment="1">
      <alignment vertical="center" wrapText="1"/>
    </xf>
    <xf numFmtId="190" fontId="19" fillId="0" borderId="28" xfId="29" applyNumberFormat="1" applyFont="1" applyFill="1" applyBorder="1" applyAlignment="1">
      <alignment vertical="center" wrapText="1"/>
    </xf>
    <xf numFmtId="190" fontId="9" fillId="0" borderId="0" xfId="24" applyNumberFormat="1" applyAlignment="1">
      <alignment vertical="center" wrapText="1"/>
    </xf>
    <xf numFmtId="0" fontId="51" fillId="0" borderId="116" xfId="25" applyFont="1" applyBorder="1" applyAlignment="1">
      <alignment vertical="center" wrapText="1"/>
    </xf>
    <xf numFmtId="10" fontId="19" fillId="0" borderId="31" xfId="25" applyNumberFormat="1" applyFont="1" applyBorder="1" applyAlignment="1">
      <alignment horizontal="center" vertical="center" wrapText="1"/>
    </xf>
    <xf numFmtId="190" fontId="19" fillId="0" borderId="31" xfId="29" applyNumberFormat="1" applyFont="1" applyFill="1" applyBorder="1" applyAlignment="1">
      <alignment vertical="center" wrapText="1"/>
    </xf>
    <xf numFmtId="191" fontId="9" fillId="0" borderId="0" xfId="24" applyNumberFormat="1" applyAlignment="1">
      <alignment vertical="center" wrapText="1"/>
    </xf>
    <xf numFmtId="10" fontId="19" fillId="0" borderId="46" xfId="25" applyNumberFormat="1" applyFont="1" applyBorder="1" applyAlignment="1">
      <alignment horizontal="center" vertical="center" wrapText="1"/>
    </xf>
    <xf numFmtId="190" fontId="19" fillId="0" borderId="46" xfId="29" applyNumberFormat="1" applyFont="1" applyFill="1" applyBorder="1" applyAlignment="1">
      <alignment vertical="center" wrapText="1"/>
    </xf>
    <xf numFmtId="0" fontId="51" fillId="0" borderId="85" xfId="25" applyFont="1" applyBorder="1" applyAlignment="1">
      <alignment vertical="center" wrapText="1"/>
    </xf>
    <xf numFmtId="10" fontId="19" fillId="0" borderId="47" xfId="25" applyNumberFormat="1" applyFont="1" applyBorder="1" applyAlignment="1">
      <alignment horizontal="center" vertical="center" wrapText="1"/>
    </xf>
    <xf numFmtId="190" fontId="19" fillId="0" borderId="75" xfId="29" applyNumberFormat="1" applyFont="1" applyFill="1" applyBorder="1" applyAlignment="1">
      <alignment vertical="center" wrapText="1"/>
    </xf>
    <xf numFmtId="192" fontId="12" fillId="0" borderId="0" xfId="25" applyNumberFormat="1" applyAlignment="1">
      <alignment vertical="center" wrapText="1"/>
    </xf>
    <xf numFmtId="176" fontId="9" fillId="0" borderId="0" xfId="24" applyNumberFormat="1" applyAlignment="1">
      <alignment vertical="center" wrapText="1"/>
    </xf>
    <xf numFmtId="193" fontId="13" fillId="0" borderId="0" xfId="25" applyNumberFormat="1" applyFont="1" applyAlignment="1">
      <alignment vertical="center" wrapText="1"/>
    </xf>
    <xf numFmtId="0" fontId="12" fillId="0" borderId="0" xfId="25" applyAlignment="1">
      <alignment horizontal="left" vertical="center" wrapText="1"/>
    </xf>
    <xf numFmtId="192" fontId="12" fillId="0" borderId="0" xfId="25" applyNumberFormat="1" applyAlignment="1">
      <alignment horizontal="center" vertical="center" wrapText="1"/>
    </xf>
    <xf numFmtId="0" fontId="16" fillId="0" borderId="0" xfId="25" applyFont="1" applyAlignment="1">
      <alignment horizontal="left" vertical="center" wrapText="1"/>
    </xf>
    <xf numFmtId="190" fontId="13" fillId="0" borderId="0" xfId="25" applyNumberFormat="1" applyFont="1" applyAlignment="1">
      <alignment vertical="center" wrapText="1"/>
    </xf>
    <xf numFmtId="180" fontId="12" fillId="0" borderId="0" xfId="26" applyFont="1" applyFill="1" applyAlignment="1">
      <alignment vertical="center" wrapText="1"/>
    </xf>
    <xf numFmtId="0" fontId="32" fillId="0" borderId="2" xfId="24" applyFont="1" applyBorder="1" applyAlignment="1">
      <alignment vertical="center" wrapText="1"/>
    </xf>
    <xf numFmtId="178" fontId="43" fillId="0" borderId="2" xfId="24" applyNumberFormat="1" applyFont="1" applyBorder="1" applyAlignment="1">
      <alignment vertical="center" wrapText="1"/>
    </xf>
    <xf numFmtId="172" fontId="43" fillId="0" borderId="2" xfId="11" applyNumberFormat="1" applyFont="1" applyBorder="1" applyAlignment="1">
      <alignment vertical="center" wrapText="1"/>
    </xf>
    <xf numFmtId="191" fontId="43" fillId="0" borderId="2" xfId="24" applyNumberFormat="1" applyFont="1" applyBorder="1" applyAlignment="1">
      <alignment vertical="center" wrapText="1"/>
    </xf>
    <xf numFmtId="44" fontId="43" fillId="0" borderId="2" xfId="24" applyNumberFormat="1" applyFont="1" applyBorder="1" applyAlignment="1">
      <alignment vertical="center" wrapText="1"/>
    </xf>
    <xf numFmtId="0" fontId="43" fillId="0" borderId="2" xfId="24" applyFont="1" applyBorder="1" applyAlignment="1">
      <alignment vertical="center" wrapText="1"/>
    </xf>
    <xf numFmtId="172" fontId="43" fillId="0" borderId="0" xfId="11" applyNumberFormat="1" applyFont="1" applyAlignment="1">
      <alignment vertical="center" wrapText="1"/>
    </xf>
    <xf numFmtId="0" fontId="44" fillId="0" borderId="96" xfId="8" applyFont="1" applyBorder="1" applyAlignment="1">
      <alignment horizontal="center" vertical="center"/>
    </xf>
    <xf numFmtId="0" fontId="19" fillId="0" borderId="117" xfId="25" applyFont="1" applyBorder="1" applyAlignment="1">
      <alignment horizontal="left" vertical="center" wrapText="1"/>
    </xf>
    <xf numFmtId="0" fontId="19" fillId="0" borderId="21" xfId="25" applyFont="1" applyBorder="1" applyAlignment="1">
      <alignment horizontal="left" vertical="center" wrapText="1"/>
    </xf>
    <xf numFmtId="10" fontId="19" fillId="0" borderId="91" xfId="25" applyNumberFormat="1" applyFont="1" applyBorder="1" applyAlignment="1">
      <alignment horizontal="center" vertical="center" wrapText="1"/>
    </xf>
    <xf numFmtId="190" fontId="19" fillId="0" borderId="71" xfId="29" applyNumberFormat="1" applyFont="1" applyFill="1" applyBorder="1" applyAlignment="1">
      <alignment vertical="center" wrapText="1"/>
    </xf>
    <xf numFmtId="0" fontId="32" fillId="0" borderId="0" xfId="9" applyFont="1"/>
    <xf numFmtId="0" fontId="53" fillId="0" borderId="0" xfId="35"/>
    <xf numFmtId="0" fontId="54" fillId="0" borderId="0" xfId="35" applyFont="1"/>
    <xf numFmtId="0" fontId="55" fillId="0" borderId="61" xfId="35" applyFont="1" applyBorder="1" applyAlignment="1">
      <alignment vertical="center"/>
    </xf>
    <xf numFmtId="0" fontId="55" fillId="0" borderId="64" xfId="35" applyFont="1" applyBorder="1" applyAlignment="1">
      <alignment horizontal="center" vertical="center"/>
    </xf>
    <xf numFmtId="0" fontId="55" fillId="0" borderId="66" xfId="35" applyFont="1" applyBorder="1" applyAlignment="1">
      <alignment vertical="center"/>
    </xf>
    <xf numFmtId="194" fontId="55" fillId="0" borderId="61" xfId="35" applyNumberFormat="1" applyFont="1" applyBorder="1" applyAlignment="1">
      <alignment vertical="center"/>
    </xf>
    <xf numFmtId="0" fontId="56" fillId="0" borderId="61" xfId="35" applyFont="1" applyBorder="1" applyAlignment="1">
      <alignment horizontal="center" vertical="center"/>
    </xf>
    <xf numFmtId="194" fontId="56" fillId="0" borderId="61" xfId="35" applyNumberFormat="1" applyFont="1" applyBorder="1" applyAlignment="1">
      <alignment horizontal="center" vertical="center"/>
    </xf>
    <xf numFmtId="0" fontId="57" fillId="0" borderId="0" xfId="35" applyFont="1"/>
    <xf numFmtId="0" fontId="58" fillId="0" borderId="0" xfId="35" applyFont="1"/>
    <xf numFmtId="0" fontId="54" fillId="0" borderId="61" xfId="35" applyFont="1" applyBorder="1"/>
    <xf numFmtId="0" fontId="55" fillId="0" borderId="61" xfId="35" applyFont="1" applyBorder="1"/>
    <xf numFmtId="194" fontId="54" fillId="0" borderId="61" xfId="35" applyNumberFormat="1" applyFont="1" applyBorder="1"/>
    <xf numFmtId="0" fontId="54" fillId="0" borderId="61" xfId="35" applyFont="1" applyBorder="1" applyAlignment="1">
      <alignment horizontal="center" vertical="center"/>
    </xf>
    <xf numFmtId="194" fontId="57" fillId="0" borderId="0" xfId="35" applyNumberFormat="1" applyFont="1"/>
    <xf numFmtId="0" fontId="54" fillId="28" borderId="61" xfId="35" applyFont="1" applyFill="1" applyBorder="1"/>
    <xf numFmtId="194" fontId="54" fillId="28" borderId="61" xfId="35" applyNumberFormat="1" applyFont="1" applyFill="1" applyBorder="1"/>
    <xf numFmtId="0" fontId="54" fillId="0" borderId="61" xfId="35" applyFont="1" applyBorder="1" applyAlignment="1">
      <alignment horizontal="center"/>
    </xf>
    <xf numFmtId="194" fontId="54" fillId="0" borderId="61" xfId="35" applyNumberFormat="1" applyFont="1" applyBorder="1" applyAlignment="1">
      <alignment horizontal="center"/>
    </xf>
    <xf numFmtId="0" fontId="59" fillId="0" borderId="0" xfId="35" applyFont="1"/>
    <xf numFmtId="194" fontId="54" fillId="0" borderId="61" xfId="35" applyNumberFormat="1" applyFont="1" applyBorder="1" applyAlignment="1">
      <alignment horizontal="center" vertical="center"/>
    </xf>
    <xf numFmtId="9" fontId="54" fillId="0" borderId="61" xfId="35" applyNumberFormat="1" applyFont="1" applyBorder="1" applyAlignment="1">
      <alignment horizontal="center"/>
    </xf>
    <xf numFmtId="0" fontId="54" fillId="0" borderId="2" xfId="35" applyFont="1" applyBorder="1" applyAlignment="1">
      <alignment horizontal="center"/>
    </xf>
    <xf numFmtId="0" fontId="54" fillId="0" borderId="65" xfId="35" applyFont="1" applyBorder="1" applyAlignment="1">
      <alignment horizontal="center" vertical="center"/>
    </xf>
    <xf numFmtId="194" fontId="54" fillId="0" borderId="64" xfId="35" applyNumberFormat="1" applyFont="1" applyBorder="1" applyAlignment="1">
      <alignment horizontal="center"/>
    </xf>
    <xf numFmtId="0" fontId="54" fillId="0" borderId="67" xfId="35" applyFont="1" applyBorder="1" applyAlignment="1">
      <alignment horizontal="center" vertical="center"/>
    </xf>
    <xf numFmtId="0" fontId="53" fillId="0" borderId="2" xfId="35" applyBorder="1"/>
    <xf numFmtId="0" fontId="54" fillId="28" borderId="69" xfId="35" applyFont="1" applyFill="1" applyBorder="1"/>
    <xf numFmtId="194" fontId="59" fillId="0" borderId="0" xfId="35" applyNumberFormat="1" applyFont="1"/>
    <xf numFmtId="0" fontId="61" fillId="0" borderId="0" xfId="35" applyFont="1"/>
    <xf numFmtId="0" fontId="31" fillId="0" borderId="0" xfId="38" applyFont="1"/>
    <xf numFmtId="0" fontId="12" fillId="0" borderId="0" xfId="38"/>
    <xf numFmtId="0" fontId="12" fillId="0" borderId="121" xfId="38" applyBorder="1"/>
    <xf numFmtId="0" fontId="12" fillId="0" borderId="120" xfId="38" applyBorder="1"/>
    <xf numFmtId="0" fontId="12" fillId="0" borderId="119" xfId="38" applyBorder="1"/>
    <xf numFmtId="0" fontId="62" fillId="11" borderId="119" xfId="38" applyFont="1" applyFill="1" applyBorder="1"/>
    <xf numFmtId="0" fontId="19" fillId="11" borderId="0" xfId="38" applyFont="1" applyFill="1"/>
    <xf numFmtId="0" fontId="19" fillId="11" borderId="121" xfId="38" applyFont="1" applyFill="1" applyBorder="1"/>
    <xf numFmtId="9" fontId="19" fillId="11" borderId="120" xfId="39" applyFont="1" applyFill="1" applyBorder="1"/>
    <xf numFmtId="0" fontId="63" fillId="0" borderId="0" xfId="38" applyFont="1"/>
    <xf numFmtId="0" fontId="19" fillId="0" borderId="0" xfId="38" applyFont="1"/>
    <xf numFmtId="0" fontId="21" fillId="0" borderId="119" xfId="38" applyFont="1" applyBorder="1"/>
    <xf numFmtId="4" fontId="12" fillId="0" borderId="120" xfId="38" applyNumberFormat="1" applyBorder="1"/>
    <xf numFmtId="0" fontId="12" fillId="11" borderId="0" xfId="38" applyFill="1"/>
    <xf numFmtId="0" fontId="12" fillId="11" borderId="121" xfId="38" applyFill="1" applyBorder="1"/>
    <xf numFmtId="9" fontId="12" fillId="11" borderId="120" xfId="39" applyFont="1" applyFill="1" applyBorder="1"/>
    <xf numFmtId="0" fontId="12" fillId="0" borderId="0" xfId="38" applyAlignment="1">
      <alignment horizontal="right" vertical="center" wrapText="1"/>
    </xf>
    <xf numFmtId="10" fontId="12" fillId="0" borderId="120" xfId="39" applyNumberFormat="1" applyFont="1" applyBorder="1"/>
    <xf numFmtId="0" fontId="12" fillId="0" borderId="0" xfId="40" applyAlignment="1">
      <alignment vertical="center" wrapText="1"/>
    </xf>
    <xf numFmtId="10" fontId="31" fillId="0" borderId="0" xfId="41" applyNumberFormat="1" applyFont="1"/>
    <xf numFmtId="0" fontId="12" fillId="0" borderId="122" xfId="38" applyBorder="1"/>
    <xf numFmtId="10" fontId="12" fillId="0" borderId="120" xfId="38" applyNumberFormat="1" applyBorder="1"/>
    <xf numFmtId="172" fontId="12" fillId="0" borderId="0" xfId="41" applyNumberFormat="1" applyFont="1"/>
    <xf numFmtId="0" fontId="62" fillId="0" borderId="0" xfId="38" applyFont="1"/>
    <xf numFmtId="4" fontId="62" fillId="0" borderId="120" xfId="38" applyNumberFormat="1" applyFont="1" applyBorder="1"/>
    <xf numFmtId="0" fontId="12" fillId="11" borderId="122" xfId="38" applyFill="1" applyBorder="1"/>
    <xf numFmtId="172" fontId="12" fillId="11" borderId="120" xfId="41" applyNumberFormat="1" applyFont="1" applyFill="1" applyBorder="1"/>
    <xf numFmtId="0" fontId="62" fillId="0" borderId="119" xfId="38" applyFont="1" applyBorder="1"/>
    <xf numFmtId="9" fontId="12" fillId="0" borderId="120" xfId="41" applyFont="1" applyBorder="1"/>
    <xf numFmtId="172" fontId="12" fillId="0" borderId="120" xfId="41" applyNumberFormat="1" applyFont="1" applyBorder="1"/>
    <xf numFmtId="10" fontId="12" fillId="11" borderId="0" xfId="38" applyNumberFormat="1" applyFill="1"/>
    <xf numFmtId="9" fontId="62" fillId="11" borderId="120" xfId="39" applyFont="1" applyFill="1" applyBorder="1"/>
    <xf numFmtId="10" fontId="12" fillId="0" borderId="0" xfId="38" applyNumberFormat="1"/>
    <xf numFmtId="9" fontId="12" fillId="0" borderId="0" xfId="41" applyFont="1"/>
    <xf numFmtId="0" fontId="13" fillId="0" borderId="119" xfId="38" applyFont="1" applyBorder="1"/>
    <xf numFmtId="9" fontId="19" fillId="0" borderId="120" xfId="39" applyFont="1" applyBorder="1"/>
    <xf numFmtId="0" fontId="21" fillId="0" borderId="0" xfId="38" applyFont="1"/>
    <xf numFmtId="10" fontId="62" fillId="0" borderId="28" xfId="39" applyNumberFormat="1" applyFont="1" applyBorder="1" applyAlignment="1">
      <alignment horizontal="center"/>
    </xf>
    <xf numFmtId="0" fontId="64" fillId="0" borderId="0" xfId="42" applyFont="1"/>
    <xf numFmtId="0" fontId="65" fillId="0" borderId="0" xfId="42" applyFont="1" applyAlignment="1">
      <alignment horizontal="left"/>
    </xf>
    <xf numFmtId="0" fontId="12" fillId="0" borderId="0" xfId="43"/>
    <xf numFmtId="0" fontId="16" fillId="0" borderId="2" xfId="8" applyFont="1" applyBorder="1" applyAlignment="1">
      <alignment horizontal="left" vertical="center"/>
    </xf>
    <xf numFmtId="0" fontId="16" fillId="0" borderId="2" xfId="8" applyFont="1" applyBorder="1" applyAlignment="1">
      <alignment vertical="center" wrapText="1"/>
    </xf>
    <xf numFmtId="43" fontId="0" fillId="0" borderId="0" xfId="44" applyFont="1" applyAlignment="1">
      <alignment vertical="center"/>
    </xf>
    <xf numFmtId="43" fontId="12" fillId="0" borderId="0" xfId="44" applyFont="1" applyAlignment="1">
      <alignment vertical="center" wrapText="1"/>
    </xf>
    <xf numFmtId="43" fontId="12" fillId="0" borderId="58" xfId="44" applyFont="1" applyBorder="1" applyAlignment="1">
      <alignment horizontal="center" vertical="center" wrapText="1"/>
    </xf>
    <xf numFmtId="43" fontId="12" fillId="0" borderId="48" xfId="44" applyFont="1" applyBorder="1" applyAlignment="1">
      <alignment horizontal="center" vertical="center" wrapText="1"/>
    </xf>
    <xf numFmtId="43" fontId="12" fillId="0" borderId="0" xfId="44" applyFont="1" applyAlignment="1">
      <alignment vertical="center"/>
    </xf>
    <xf numFmtId="43" fontId="13" fillId="0" borderId="56" xfId="44" applyFont="1" applyBorder="1" applyAlignment="1">
      <alignment horizontal="center" vertical="center" wrapText="1"/>
    </xf>
    <xf numFmtId="43" fontId="13" fillId="2" borderId="80" xfId="44" applyFont="1" applyFill="1" applyBorder="1" applyAlignment="1">
      <alignment horizontal="center" vertical="center" wrapText="1"/>
    </xf>
    <xf numFmtId="43" fontId="13" fillId="0" borderId="38" xfId="44" applyFont="1" applyBorder="1" applyAlignment="1">
      <alignment horizontal="center" vertical="center" wrapText="1"/>
    </xf>
    <xf numFmtId="43" fontId="12" fillId="0" borderId="38" xfId="44" applyFont="1" applyBorder="1" applyAlignment="1">
      <alignment horizontal="center" vertical="center" wrapText="1"/>
    </xf>
    <xf numFmtId="43" fontId="12" fillId="0" borderId="38" xfId="44" applyFont="1" applyFill="1" applyBorder="1" applyAlignment="1">
      <alignment vertical="center"/>
    </xf>
    <xf numFmtId="43" fontId="12" fillId="0" borderId="35" xfId="44" applyFont="1" applyBorder="1" applyAlignment="1">
      <alignment horizontal="center" vertical="center"/>
    </xf>
    <xf numFmtId="43" fontId="12" fillId="0" borderId="37" xfId="44" applyFont="1" applyBorder="1" applyAlignment="1">
      <alignment horizontal="center" vertical="center"/>
    </xf>
    <xf numFmtId="43" fontId="12" fillId="0" borderId="32" xfId="44" applyFont="1" applyBorder="1" applyAlignment="1">
      <alignment horizontal="center" vertical="center"/>
    </xf>
    <xf numFmtId="43" fontId="12" fillId="0" borderId="34" xfId="44" applyFont="1" applyBorder="1" applyAlignment="1">
      <alignment horizontal="center" vertical="center"/>
    </xf>
    <xf numFmtId="43" fontId="12" fillId="0" borderId="0" xfId="44" applyFont="1"/>
    <xf numFmtId="43" fontId="0" fillId="0" borderId="0" xfId="44" applyFont="1"/>
    <xf numFmtId="10" fontId="12" fillId="0" borderId="2" xfId="0" applyNumberFormat="1" applyFont="1" applyBorder="1" applyAlignment="1">
      <alignment horizontal="center" vertical="center"/>
    </xf>
    <xf numFmtId="10" fontId="13" fillId="0" borderId="2" xfId="0" applyNumberFormat="1" applyFont="1" applyBorder="1" applyAlignment="1">
      <alignment horizontal="center" vertical="center"/>
    </xf>
    <xf numFmtId="169" fontId="12" fillId="0" borderId="39" xfId="0" applyNumberFormat="1" applyFont="1" applyBorder="1" applyAlignment="1">
      <alignment horizontal="center" vertical="center" wrapText="1"/>
    </xf>
    <xf numFmtId="197" fontId="12" fillId="0" borderId="23" xfId="3" applyNumberFormat="1" applyBorder="1" applyAlignment="1">
      <alignment horizontal="justify" vertical="center"/>
    </xf>
    <xf numFmtId="197" fontId="13" fillId="0" borderId="5" xfId="3" applyNumberFormat="1" applyFont="1" applyBorder="1" applyAlignment="1">
      <alignment horizontal="right"/>
    </xf>
    <xf numFmtId="197" fontId="12" fillId="0" borderId="0" xfId="3" applyNumberFormat="1"/>
    <xf numFmtId="197" fontId="13" fillId="0" borderId="1" xfId="3" applyNumberFormat="1" applyFont="1" applyBorder="1" applyAlignment="1">
      <alignment horizontal="center"/>
    </xf>
    <xf numFmtId="197" fontId="12" fillId="0" borderId="1" xfId="3" applyNumberFormat="1" applyBorder="1" applyAlignment="1">
      <alignment horizontal="right"/>
    </xf>
    <xf numFmtId="197" fontId="13" fillId="0" borderId="1" xfId="3" applyNumberFormat="1" applyFont="1" applyBorder="1" applyAlignment="1">
      <alignment horizontal="right"/>
    </xf>
    <xf numFmtId="197" fontId="12" fillId="0" borderId="0" xfId="3" applyNumberFormat="1" applyAlignment="1">
      <alignment horizontal="right"/>
    </xf>
    <xf numFmtId="197" fontId="12" fillId="0" borderId="1" xfId="1" applyNumberFormat="1" applyBorder="1" applyAlignment="1">
      <alignment horizontal="center" vertical="center"/>
    </xf>
    <xf numFmtId="197" fontId="13" fillId="0" borderId="1" xfId="3" applyNumberFormat="1" applyFont="1" applyBorder="1" applyAlignment="1">
      <alignment horizontal="right" vertical="center"/>
    </xf>
    <xf numFmtId="198" fontId="12" fillId="0" borderId="1" xfId="3" applyNumberFormat="1" applyBorder="1" applyAlignment="1">
      <alignment horizontal="center"/>
    </xf>
    <xf numFmtId="172" fontId="0" fillId="0" borderId="0" xfId="0" applyNumberFormat="1"/>
    <xf numFmtId="172" fontId="13" fillId="0" borderId="18" xfId="0" applyNumberFormat="1" applyFont="1" applyBorder="1" applyAlignment="1">
      <alignment horizontal="center"/>
    </xf>
    <xf numFmtId="172" fontId="38" fillId="24" borderId="0" xfId="4" applyNumberFormat="1" applyFont="1" applyFill="1" applyBorder="1" applyAlignment="1">
      <alignment vertical="center"/>
    </xf>
    <xf numFmtId="0" fontId="13" fillId="0" borderId="45" xfId="0" applyFont="1" applyBorder="1" applyAlignment="1">
      <alignment vertical="center" wrapText="1"/>
    </xf>
    <xf numFmtId="0" fontId="13" fillId="0" borderId="54" xfId="0" applyFont="1" applyBorder="1" applyAlignment="1">
      <alignment vertical="center" wrapText="1"/>
    </xf>
    <xf numFmtId="0" fontId="13" fillId="0" borderId="48" xfId="0" applyFont="1" applyBorder="1" applyAlignment="1">
      <alignment vertical="center" wrapText="1"/>
    </xf>
    <xf numFmtId="178" fontId="12" fillId="0" borderId="19" xfId="0" applyNumberFormat="1" applyFont="1" applyBorder="1" applyAlignment="1">
      <alignment horizontal="right" vertical="center" wrapText="1"/>
    </xf>
    <xf numFmtId="2" fontId="12" fillId="0" borderId="39" xfId="0" applyNumberFormat="1" applyFont="1" applyBorder="1" applyAlignment="1">
      <alignment horizontal="center" vertical="center" wrapText="1"/>
    </xf>
    <xf numFmtId="0" fontId="52" fillId="0" borderId="2" xfId="0" applyFont="1" applyBorder="1" applyAlignment="1">
      <alignment horizontal="left"/>
    </xf>
    <xf numFmtId="0" fontId="12" fillId="0" borderId="2" xfId="9" applyFont="1" applyBorder="1" applyAlignment="1">
      <alignment horizontal="center"/>
    </xf>
    <xf numFmtId="0" fontId="12" fillId="0" borderId="2" xfId="9" applyFont="1" applyBorder="1"/>
    <xf numFmtId="0" fontId="54" fillId="0" borderId="66" xfId="35" applyFont="1" applyBorder="1" applyAlignment="1">
      <alignment horizontal="center"/>
    </xf>
    <xf numFmtId="0" fontId="54" fillId="0" borderId="68" xfId="35" applyFont="1" applyBorder="1" applyAlignment="1">
      <alignment horizontal="center"/>
    </xf>
    <xf numFmtId="199" fontId="13" fillId="0" borderId="5" xfId="3" applyNumberFormat="1" applyFont="1" applyBorder="1" applyAlignment="1">
      <alignment horizontal="right"/>
    </xf>
    <xf numFmtId="0" fontId="54" fillId="0" borderId="67" xfId="35" applyFont="1" applyBorder="1" applyAlignment="1">
      <alignment horizontal="center"/>
    </xf>
    <xf numFmtId="0" fontId="54" fillId="0" borderId="67" xfId="35" applyFont="1" applyBorder="1"/>
    <xf numFmtId="194" fontId="54" fillId="0" borderId="66" xfId="35" applyNumberFormat="1" applyFont="1" applyBorder="1" applyAlignment="1">
      <alignment horizontal="center"/>
    </xf>
    <xf numFmtId="0" fontId="54" fillId="0" borderId="65" xfId="35" applyFont="1" applyBorder="1" applyAlignment="1">
      <alignment horizontal="center"/>
    </xf>
    <xf numFmtId="194" fontId="54" fillId="28" borderId="87" xfId="35" applyNumberFormat="1" applyFont="1" applyFill="1" applyBorder="1" applyAlignment="1">
      <alignment horizontal="center" vertical="center"/>
    </xf>
    <xf numFmtId="0" fontId="53" fillId="11" borderId="0" xfId="35" applyFill="1"/>
    <xf numFmtId="0" fontId="53" fillId="11" borderId="2" xfId="35" applyFill="1" applyBorder="1"/>
    <xf numFmtId="9" fontId="0" fillId="0" borderId="9" xfId="0" applyNumberFormat="1" applyBorder="1" applyAlignment="1">
      <alignment horizontal="right"/>
    </xf>
    <xf numFmtId="0" fontId="39" fillId="0" borderId="0" xfId="10" applyFont="1" applyFill="1" applyBorder="1"/>
    <xf numFmtId="0" fontId="52" fillId="0" borderId="0" xfId="48"/>
    <xf numFmtId="0" fontId="55" fillId="0" borderId="64" xfId="35" applyFont="1" applyBorder="1"/>
    <xf numFmtId="0" fontId="44" fillId="0" borderId="30" xfId="8" applyFont="1" applyBorder="1" applyAlignment="1">
      <alignment horizontal="center" vertical="center"/>
    </xf>
    <xf numFmtId="0" fontId="45" fillId="0" borderId="43" xfId="8" applyFont="1" applyBorder="1" applyAlignment="1">
      <alignment vertical="center" wrapText="1"/>
    </xf>
    <xf numFmtId="0" fontId="45" fillId="0" borderId="30" xfId="8" applyFont="1" applyBorder="1" applyAlignment="1">
      <alignment vertical="center" wrapText="1"/>
    </xf>
    <xf numFmtId="0" fontId="45" fillId="0" borderId="96" xfId="8" applyFont="1" applyBorder="1" applyAlignment="1">
      <alignment vertical="center" wrapText="1"/>
    </xf>
    <xf numFmtId="0" fontId="45" fillId="0" borderId="39" xfId="8" applyFont="1" applyBorder="1" applyAlignment="1">
      <alignment vertical="center" wrapText="1"/>
    </xf>
    <xf numFmtId="0" fontId="73" fillId="29" borderId="28" xfId="8" applyFont="1" applyFill="1" applyBorder="1" applyAlignment="1">
      <alignment horizontal="center" vertical="center" wrapText="1"/>
    </xf>
    <xf numFmtId="0" fontId="73" fillId="29" borderId="58" xfId="8" applyFont="1" applyFill="1" applyBorder="1" applyAlignment="1">
      <alignment horizontal="center" vertical="center" wrapText="1"/>
    </xf>
    <xf numFmtId="0" fontId="73" fillId="30" borderId="71" xfId="8" applyFont="1" applyFill="1" applyBorder="1" applyAlignment="1">
      <alignment horizontal="center" vertical="center"/>
    </xf>
    <xf numFmtId="0" fontId="73" fillId="30" borderId="90" xfId="8" applyFont="1" applyFill="1" applyBorder="1" applyAlignment="1">
      <alignment horizontal="center" vertical="center"/>
    </xf>
    <xf numFmtId="167" fontId="60" fillId="31" borderId="124" xfId="2" applyFont="1" applyFill="1" applyBorder="1" applyAlignment="1">
      <alignment horizontal="center" vertical="center"/>
    </xf>
    <xf numFmtId="167" fontId="60" fillId="0" borderId="125" xfId="2" applyFont="1" applyBorder="1" applyAlignment="1">
      <alignment horizontal="center" vertical="center"/>
    </xf>
    <xf numFmtId="167" fontId="60" fillId="0" borderId="125" xfId="2" applyFont="1" applyFill="1" applyBorder="1" applyAlignment="1">
      <alignment horizontal="center" vertical="center"/>
    </xf>
    <xf numFmtId="167" fontId="60" fillId="0" borderId="124" xfId="2" applyFont="1" applyBorder="1" applyAlignment="1">
      <alignment horizontal="center" vertical="center"/>
    </xf>
    <xf numFmtId="167" fontId="60" fillId="31" borderId="125" xfId="2" applyFont="1" applyFill="1" applyBorder="1" applyAlignment="1">
      <alignment horizontal="center" vertical="center"/>
    </xf>
    <xf numFmtId="167" fontId="60" fillId="0" borderId="126" xfId="2" applyFont="1" applyBorder="1" applyAlignment="1">
      <alignment horizontal="center" vertical="center"/>
    </xf>
    <xf numFmtId="167" fontId="60" fillId="0" borderId="127" xfId="2" applyFont="1" applyBorder="1" applyAlignment="1">
      <alignment horizontal="center" vertical="center"/>
    </xf>
    <xf numFmtId="167" fontId="60" fillId="31" borderId="127" xfId="2" applyFont="1" applyFill="1" applyBorder="1" applyAlignment="1">
      <alignment horizontal="center" vertical="center"/>
    </xf>
    <xf numFmtId="196" fontId="12" fillId="0" borderId="0" xfId="50" applyNumberFormat="1" applyFont="1" applyAlignment="1">
      <alignment vertical="center"/>
    </xf>
    <xf numFmtId="183" fontId="12" fillId="11" borderId="2" xfId="19" applyNumberFormat="1" applyFont="1" applyFill="1" applyBorder="1" applyAlignment="1">
      <alignment vertical="center" wrapText="1"/>
    </xf>
    <xf numFmtId="183" fontId="12" fillId="0" borderId="2" xfId="19" applyNumberFormat="1" applyFont="1" applyFill="1" applyBorder="1" applyAlignment="1">
      <alignment vertical="center" wrapText="1"/>
    </xf>
    <xf numFmtId="0" fontId="13" fillId="0" borderId="2" xfId="8" applyFont="1" applyBorder="1" applyAlignment="1">
      <alignment vertical="center"/>
    </xf>
    <xf numFmtId="10" fontId="12" fillId="0" borderId="2" xfId="11" applyNumberFormat="1" applyFont="1" applyBorder="1" applyAlignment="1">
      <alignment vertical="center"/>
    </xf>
    <xf numFmtId="3" fontId="13" fillId="0" borderId="2" xfId="8" applyNumberFormat="1" applyFont="1" applyBorder="1" applyAlignment="1">
      <alignment vertical="center"/>
    </xf>
    <xf numFmtId="10" fontId="12" fillId="0" borderId="2" xfId="8" applyNumberFormat="1" applyBorder="1" applyAlignment="1">
      <alignment vertical="center"/>
    </xf>
    <xf numFmtId="178" fontId="13" fillId="0" borderId="58" xfId="0" applyNumberFormat="1" applyFont="1" applyBorder="1" applyAlignment="1">
      <alignment vertical="center" wrapText="1"/>
    </xf>
    <xf numFmtId="178" fontId="13" fillId="0" borderId="54" xfId="0" applyNumberFormat="1" applyFont="1" applyBorder="1" applyAlignment="1">
      <alignment vertical="center" wrapText="1"/>
    </xf>
    <xf numFmtId="0" fontId="12" fillId="0" borderId="0" xfId="8"/>
    <xf numFmtId="196" fontId="0" fillId="0" borderId="0" xfId="50" applyNumberFormat="1" applyFont="1"/>
    <xf numFmtId="196" fontId="12" fillId="0" borderId="0" xfId="8" applyNumberFormat="1"/>
    <xf numFmtId="196" fontId="12" fillId="0" borderId="2" xfId="44" applyNumberFormat="1" applyFont="1" applyBorder="1"/>
    <xf numFmtId="176" fontId="0" fillId="0" borderId="2" xfId="0" applyNumberFormat="1" applyBorder="1" applyAlignment="1">
      <alignment vertical="center"/>
    </xf>
    <xf numFmtId="176" fontId="0" fillId="0" borderId="0" xfId="0" applyNumberFormat="1"/>
    <xf numFmtId="4" fontId="22" fillId="0" borderId="16" xfId="6" applyNumberFormat="1" applyFill="1" applyAlignment="1">
      <alignment horizontal="center"/>
    </xf>
    <xf numFmtId="0" fontId="11" fillId="8" borderId="33" xfId="9" applyFill="1" applyBorder="1" applyAlignment="1">
      <alignment horizontal="center"/>
    </xf>
    <xf numFmtId="0" fontId="12" fillId="24" borderId="0" xfId="0" applyFont="1" applyFill="1" applyAlignment="1">
      <alignment horizontal="center" vertical="center"/>
    </xf>
    <xf numFmtId="0" fontId="12" fillId="24" borderId="0" xfId="0" applyFont="1" applyFill="1" applyAlignment="1">
      <alignment horizontal="center"/>
    </xf>
    <xf numFmtId="176" fontId="12" fillId="24" borderId="0" xfId="0" applyNumberFormat="1" applyFont="1" applyFill="1" applyAlignment="1">
      <alignment horizontal="center"/>
    </xf>
    <xf numFmtId="0" fontId="12" fillId="0" borderId="6" xfId="0" applyFont="1" applyBorder="1" applyAlignment="1">
      <alignment vertical="center"/>
    </xf>
    <xf numFmtId="0" fontId="12" fillId="0" borderId="8" xfId="0" applyFont="1" applyBorder="1" applyAlignment="1">
      <alignment vertical="center"/>
    </xf>
    <xf numFmtId="42" fontId="0" fillId="0" borderId="8" xfId="0" applyNumberFormat="1" applyBorder="1" applyAlignment="1">
      <alignment vertical="center"/>
    </xf>
    <xf numFmtId="0" fontId="32" fillId="0" borderId="2" xfId="9" applyFont="1" applyBorder="1"/>
    <xf numFmtId="0" fontId="12" fillId="0" borderId="60" xfId="0" applyFont="1" applyBorder="1" applyAlignment="1">
      <alignment wrapText="1"/>
    </xf>
    <xf numFmtId="2" fontId="12" fillId="0" borderId="37" xfId="0" applyNumberFormat="1" applyFont="1" applyBorder="1" applyAlignment="1">
      <alignment horizontal="center" vertical="center" wrapText="1"/>
    </xf>
    <xf numFmtId="0" fontId="11" fillId="0" borderId="116" xfId="9" applyBorder="1"/>
    <xf numFmtId="0" fontId="11" fillId="0" borderId="85" xfId="9" applyBorder="1"/>
    <xf numFmtId="0" fontId="11" fillId="0" borderId="0" xfId="9" applyAlignment="1">
      <alignment horizontal="left"/>
    </xf>
    <xf numFmtId="0" fontId="11" fillId="33" borderId="13" xfId="9" applyFill="1" applyBorder="1" applyAlignment="1">
      <alignment horizontal="center"/>
    </xf>
    <xf numFmtId="0" fontId="11" fillId="33" borderId="57" xfId="9" applyFill="1" applyBorder="1" applyAlignment="1">
      <alignment horizontal="center"/>
    </xf>
    <xf numFmtId="0" fontId="16" fillId="0" borderId="2" xfId="8" applyFont="1" applyBorder="1" applyAlignment="1">
      <alignment horizontal="left" vertical="center" wrapText="1"/>
    </xf>
    <xf numFmtId="181" fontId="12" fillId="31" borderId="2" xfId="17" applyNumberFormat="1" applyFont="1" applyFill="1" applyBorder="1" applyAlignment="1">
      <alignment horizontal="right" vertical="center"/>
    </xf>
    <xf numFmtId="0" fontId="12" fillId="0" borderId="0" xfId="53"/>
    <xf numFmtId="0" fontId="12" fillId="0" borderId="2" xfId="53" applyBorder="1"/>
    <xf numFmtId="0" fontId="12" fillId="0" borderId="2" xfId="53" applyBorder="1" applyAlignment="1">
      <alignment horizontal="center"/>
    </xf>
    <xf numFmtId="0" fontId="13" fillId="34" borderId="12" xfId="53" applyFont="1" applyFill="1" applyBorder="1" applyAlignment="1">
      <alignment vertical="center"/>
    </xf>
    <xf numFmtId="0" fontId="13" fillId="34" borderId="130" xfId="53" applyFont="1" applyFill="1" applyBorder="1" applyAlignment="1">
      <alignment vertical="center"/>
    </xf>
    <xf numFmtId="0" fontId="13" fillId="34" borderId="131" xfId="53" applyFont="1" applyFill="1" applyBorder="1" applyAlignment="1">
      <alignment vertical="center"/>
    </xf>
    <xf numFmtId="0" fontId="13" fillId="34" borderId="132" xfId="53" applyFont="1" applyFill="1" applyBorder="1" applyAlignment="1">
      <alignment vertical="center"/>
    </xf>
    <xf numFmtId="0" fontId="52" fillId="35" borderId="6" xfId="54" applyFont="1" applyFill="1" applyBorder="1"/>
    <xf numFmtId="42" fontId="0" fillId="0" borderId="2" xfId="55" applyFont="1" applyBorder="1"/>
    <xf numFmtId="200" fontId="12" fillId="0" borderId="2" xfId="53" applyNumberFormat="1" applyBorder="1"/>
    <xf numFmtId="10" fontId="12" fillId="0" borderId="2" xfId="53" applyNumberFormat="1" applyBorder="1"/>
    <xf numFmtId="0" fontId="13" fillId="2" borderId="12" xfId="53" applyFont="1" applyFill="1" applyBorder="1" applyAlignment="1">
      <alignment horizontal="center" vertical="center"/>
    </xf>
    <xf numFmtId="0" fontId="12" fillId="0" borderId="14" xfId="53" applyBorder="1" applyAlignment="1">
      <alignment horizontal="center" vertical="center"/>
    </xf>
    <xf numFmtId="42" fontId="0" fillId="0" borderId="0" xfId="56" applyNumberFormat="1" applyFont="1"/>
    <xf numFmtId="0" fontId="13" fillId="36" borderId="12" xfId="53" applyFont="1" applyFill="1" applyBorder="1" applyAlignment="1">
      <alignment horizontal="center" vertical="center"/>
    </xf>
    <xf numFmtId="0" fontId="44" fillId="36" borderId="12" xfId="53" applyFont="1" applyFill="1" applyBorder="1" applyAlignment="1">
      <alignment vertical="center" wrapText="1"/>
    </xf>
    <xf numFmtId="0" fontId="12" fillId="0" borderId="12" xfId="53" applyBorder="1" applyAlignment="1">
      <alignment horizontal="center" vertical="center"/>
    </xf>
    <xf numFmtId="9" fontId="12" fillId="0" borderId="12" xfId="53" applyNumberFormat="1" applyBorder="1" applyAlignment="1">
      <alignment horizontal="center" vertical="center"/>
    </xf>
    <xf numFmtId="42" fontId="12" fillId="0" borderId="12" xfId="53" applyNumberFormat="1" applyBorder="1" applyAlignment="1">
      <alignment vertical="center"/>
    </xf>
    <xf numFmtId="0" fontId="17" fillId="0" borderId="0" xfId="57"/>
    <xf numFmtId="0" fontId="17" fillId="0" borderId="12" xfId="57" applyBorder="1" applyAlignment="1">
      <alignment horizontal="left"/>
    </xf>
    <xf numFmtId="0" fontId="13" fillId="4" borderId="12" xfId="53" applyFont="1" applyFill="1" applyBorder="1" applyAlignment="1">
      <alignment horizontal="center" vertical="center"/>
    </xf>
    <xf numFmtId="42" fontId="13" fillId="4" borderId="12" xfId="56" applyNumberFormat="1" applyFont="1" applyFill="1" applyBorder="1" applyAlignment="1">
      <alignment vertical="center"/>
    </xf>
    <xf numFmtId="0" fontId="21" fillId="0" borderId="0" xfId="53" applyFont="1"/>
    <xf numFmtId="2" fontId="12" fillId="4" borderId="12" xfId="53" applyNumberFormat="1" applyFill="1" applyBorder="1"/>
    <xf numFmtId="42" fontId="13" fillId="4" borderId="12" xfId="53" applyNumberFormat="1" applyFont="1" applyFill="1" applyBorder="1"/>
    <xf numFmtId="0" fontId="13" fillId="2" borderId="2" xfId="53" applyFont="1" applyFill="1" applyBorder="1" applyAlignment="1">
      <alignment horizontal="center" vertical="center"/>
    </xf>
    <xf numFmtId="0" fontId="13" fillId="2" borderId="2" xfId="53" applyFont="1" applyFill="1" applyBorder="1" applyAlignment="1">
      <alignment horizontal="center" vertical="center" wrapText="1"/>
    </xf>
    <xf numFmtId="0" fontId="13" fillId="2" borderId="9" xfId="53" applyFont="1" applyFill="1" applyBorder="1" applyAlignment="1">
      <alignment horizontal="center" vertical="center" wrapText="1"/>
    </xf>
    <xf numFmtId="42" fontId="12" fillId="0" borderId="0" xfId="53" applyNumberFormat="1"/>
    <xf numFmtId="0" fontId="13" fillId="36" borderId="2" xfId="53" applyFont="1" applyFill="1" applyBorder="1" applyAlignment="1">
      <alignment horizontal="center" vertical="center"/>
    </xf>
    <xf numFmtId="0" fontId="44" fillId="36" borderId="2" xfId="53" applyFont="1" applyFill="1" applyBorder="1" applyAlignment="1">
      <alignment vertical="center" wrapText="1"/>
    </xf>
    <xf numFmtId="0" fontId="12" fillId="0" borderId="2" xfId="53" applyBorder="1" applyAlignment="1">
      <alignment horizontal="center" vertical="center"/>
    </xf>
    <xf numFmtId="42" fontId="12" fillId="0" borderId="2" xfId="53" applyNumberFormat="1" applyBorder="1" applyAlignment="1">
      <alignment vertical="center"/>
    </xf>
    <xf numFmtId="0" fontId="30" fillId="0" borderId="2" xfId="53" applyFont="1" applyBorder="1" applyAlignment="1">
      <alignment vertical="center" wrapText="1"/>
    </xf>
    <xf numFmtId="42" fontId="12" fillId="0" borderId="2" xfId="53" applyNumberFormat="1" applyBorder="1" applyAlignment="1">
      <alignment horizontal="center" vertical="center"/>
    </xf>
    <xf numFmtId="201" fontId="12" fillId="0" borderId="2" xfId="53" applyNumberFormat="1" applyBorder="1" applyAlignment="1">
      <alignment horizontal="center" vertical="center"/>
    </xf>
    <xf numFmtId="201" fontId="12" fillId="0" borderId="2" xfId="53" applyNumberFormat="1" applyBorder="1" applyAlignment="1">
      <alignment vertical="center"/>
    </xf>
    <xf numFmtId="0" fontId="12" fillId="0" borderId="2" xfId="40" applyBorder="1" applyAlignment="1">
      <alignment horizontal="center" vertical="center" wrapText="1"/>
    </xf>
    <xf numFmtId="42" fontId="12" fillId="0" borderId="2" xfId="40" applyNumberFormat="1" applyBorder="1" applyAlignment="1">
      <alignment vertical="center" wrapText="1"/>
    </xf>
    <xf numFmtId="176" fontId="12" fillId="0" borderId="2" xfId="40" applyNumberFormat="1" applyBorder="1" applyAlignment="1">
      <alignment vertical="center" wrapText="1"/>
    </xf>
    <xf numFmtId="0" fontId="12" fillId="0" borderId="2" xfId="40" applyBorder="1" applyAlignment="1">
      <alignment vertical="center" wrapText="1"/>
    </xf>
    <xf numFmtId="42" fontId="13" fillId="4" borderId="2" xfId="53" applyNumberFormat="1" applyFont="1" applyFill="1" applyBorder="1" applyAlignment="1">
      <alignment vertical="center"/>
    </xf>
    <xf numFmtId="0" fontId="13" fillId="36" borderId="2" xfId="53" applyFont="1" applyFill="1" applyBorder="1" applyAlignment="1">
      <alignment horizontal="center"/>
    </xf>
    <xf numFmtId="0" fontId="13" fillId="36" borderId="2" xfId="53" applyFont="1" applyFill="1" applyBorder="1"/>
    <xf numFmtId="42" fontId="12" fillId="0" borderId="2" xfId="53" applyNumberFormat="1" applyBorder="1"/>
    <xf numFmtId="0" fontId="13" fillId="5" borderId="2" xfId="53" applyFont="1" applyFill="1" applyBorder="1" applyAlignment="1">
      <alignment horizontal="center"/>
    </xf>
    <xf numFmtId="0" fontId="13" fillId="5" borderId="2" xfId="53" applyFont="1" applyFill="1" applyBorder="1"/>
    <xf numFmtId="42" fontId="13" fillId="5" borderId="2" xfId="53" applyNumberFormat="1" applyFont="1" applyFill="1" applyBorder="1"/>
    <xf numFmtId="10" fontId="12" fillId="0" borderId="0" xfId="58" applyNumberFormat="1" applyFont="1"/>
    <xf numFmtId="0" fontId="76" fillId="0" borderId="0" xfId="54" applyFont="1"/>
    <xf numFmtId="0" fontId="13" fillId="2" borderId="12" xfId="40" applyFont="1" applyFill="1" applyBorder="1" applyAlignment="1">
      <alignment horizontal="center" vertical="center" wrapText="1"/>
    </xf>
    <xf numFmtId="180" fontId="13" fillId="2" borderId="12" xfId="40" applyNumberFormat="1" applyFont="1" applyFill="1" applyBorder="1" applyAlignment="1">
      <alignment horizontal="center" vertical="center" wrapText="1"/>
    </xf>
    <xf numFmtId="0" fontId="12" fillId="0" borderId="12" xfId="40" applyBorder="1" applyAlignment="1">
      <alignment horizontal="center" vertical="center" wrapText="1"/>
    </xf>
    <xf numFmtId="0" fontId="12" fillId="0" borderId="12" xfId="40" applyBorder="1" applyAlignment="1">
      <alignment vertical="center" wrapText="1"/>
    </xf>
    <xf numFmtId="42" fontId="12" fillId="0" borderId="12" xfId="30" applyNumberFormat="1" applyFont="1" applyFill="1" applyBorder="1" applyAlignment="1">
      <alignment vertical="center" wrapText="1"/>
    </xf>
    <xf numFmtId="3" fontId="12" fillId="0" borderId="12" xfId="40" applyNumberFormat="1" applyBorder="1" applyAlignment="1">
      <alignment horizontal="center" vertical="center" wrapText="1"/>
    </xf>
    <xf numFmtId="42" fontId="12" fillId="0" borderId="12" xfId="59" applyNumberFormat="1" applyFont="1" applyFill="1" applyBorder="1" applyAlignment="1">
      <alignment vertical="center" wrapText="1"/>
    </xf>
    <xf numFmtId="190" fontId="12" fillId="0" borderId="12" xfId="29" applyNumberFormat="1" applyFont="1" applyFill="1" applyBorder="1" applyAlignment="1">
      <alignment vertical="center" wrapText="1"/>
    </xf>
    <xf numFmtId="190" fontId="13" fillId="0" borderId="12" xfId="29" applyNumberFormat="1" applyFont="1" applyFill="1" applyBorder="1" applyAlignment="1">
      <alignment vertical="center" wrapText="1"/>
    </xf>
    <xf numFmtId="177" fontId="12" fillId="0" borderId="0" xfId="58" applyNumberFormat="1" applyFont="1"/>
    <xf numFmtId="0" fontId="54" fillId="0" borderId="0" xfId="48" applyFont="1"/>
    <xf numFmtId="0" fontId="55" fillId="29" borderId="139" xfId="48" applyFont="1" applyFill="1" applyBorder="1" applyAlignment="1">
      <alignment horizontal="center" vertical="center" wrapText="1"/>
    </xf>
    <xf numFmtId="0" fontId="55" fillId="29" borderId="140" xfId="48" applyFont="1" applyFill="1" applyBorder="1" applyAlignment="1">
      <alignment horizontal="center" vertical="center" wrapText="1"/>
    </xf>
    <xf numFmtId="0" fontId="55" fillId="29" borderId="141" xfId="48" applyFont="1" applyFill="1" applyBorder="1" applyAlignment="1">
      <alignment horizontal="center" vertical="center" wrapText="1"/>
    </xf>
    <xf numFmtId="184" fontId="55" fillId="0" borderId="138" xfId="48" applyNumberFormat="1" applyFont="1" applyBorder="1" applyAlignment="1">
      <alignment vertical="center" wrapText="1"/>
    </xf>
    <xf numFmtId="0" fontId="52" fillId="0" borderId="144" xfId="48" applyBorder="1" applyAlignment="1">
      <alignment horizontal="center" vertical="center" wrapText="1"/>
    </xf>
    <xf numFmtId="0" fontId="54" fillId="0" borderId="145" xfId="48" applyFont="1" applyBorder="1" applyAlignment="1">
      <alignment vertical="center" wrapText="1"/>
    </xf>
    <xf numFmtId="186" fontId="54" fillId="0" borderId="145" xfId="48" applyNumberFormat="1" applyFont="1" applyBorder="1" applyAlignment="1">
      <alignment vertical="center" wrapText="1"/>
    </xf>
    <xf numFmtId="9" fontId="52" fillId="0" borderId="145" xfId="48" applyNumberFormat="1" applyBorder="1" applyAlignment="1">
      <alignment horizontal="center" vertical="center" wrapText="1"/>
    </xf>
    <xf numFmtId="187" fontId="54" fillId="0" borderId="145" xfId="48" applyNumberFormat="1" applyFont="1" applyBorder="1" applyAlignment="1">
      <alignment horizontal="center" vertical="center" wrapText="1"/>
    </xf>
    <xf numFmtId="184" fontId="54" fillId="0" borderId="146" xfId="49" applyNumberFormat="1" applyFont="1" applyBorder="1" applyAlignment="1">
      <alignment horizontal="right" vertical="center" wrapText="1"/>
    </xf>
    <xf numFmtId="0" fontId="52" fillId="0" borderId="147" xfId="48" applyBorder="1" applyAlignment="1">
      <alignment horizontal="center" vertical="center" wrapText="1"/>
    </xf>
    <xf numFmtId="0" fontId="54" fillId="0" borderId="148" xfId="48" applyFont="1" applyBorder="1" applyAlignment="1">
      <alignment vertical="center" wrapText="1"/>
    </xf>
    <xf numFmtId="9" fontId="52" fillId="0" borderId="148" xfId="48" applyNumberFormat="1" applyBorder="1" applyAlignment="1">
      <alignment horizontal="center" vertical="center" wrapText="1"/>
    </xf>
    <xf numFmtId="187" fontId="54" fillId="0" borderId="148" xfId="48" applyNumberFormat="1" applyFont="1" applyBorder="1" applyAlignment="1">
      <alignment horizontal="center" vertical="center" wrapText="1"/>
    </xf>
    <xf numFmtId="184" fontId="54" fillId="0" borderId="149" xfId="49" applyNumberFormat="1" applyFont="1" applyBorder="1" applyAlignment="1">
      <alignment horizontal="right" vertical="center" wrapText="1"/>
    </xf>
    <xf numFmtId="0" fontId="54" fillId="0" borderId="148" xfId="48" applyFont="1" applyBorder="1" applyAlignment="1">
      <alignment horizontal="left" vertical="center" wrapText="1"/>
    </xf>
    <xf numFmtId="0" fontId="52" fillId="0" borderId="150" xfId="48" applyBorder="1" applyAlignment="1">
      <alignment horizontal="center" vertical="center" wrapText="1"/>
    </xf>
    <xf numFmtId="0" fontId="54" fillId="0" borderId="151" xfId="48" applyFont="1" applyBorder="1" applyAlignment="1">
      <alignment vertical="center" wrapText="1"/>
    </xf>
    <xf numFmtId="9" fontId="52" fillId="0" borderId="151" xfId="48" applyNumberFormat="1" applyBorder="1" applyAlignment="1">
      <alignment horizontal="center" vertical="center" wrapText="1"/>
    </xf>
    <xf numFmtId="187" fontId="54" fillId="0" borderId="151" xfId="48" applyNumberFormat="1" applyFont="1" applyBorder="1" applyAlignment="1">
      <alignment horizontal="center" vertical="center" wrapText="1"/>
    </xf>
    <xf numFmtId="184" fontId="55" fillId="0" borderId="152" xfId="48" applyNumberFormat="1" applyFont="1" applyBorder="1" applyAlignment="1">
      <alignment vertical="center" wrapText="1"/>
    </xf>
    <xf numFmtId="0" fontId="54" fillId="0" borderId="103" xfId="48" applyFont="1" applyBorder="1" applyAlignment="1">
      <alignment horizontal="center" vertical="center" wrapText="1"/>
    </xf>
    <xf numFmtId="0" fontId="54" fillId="0" borderId="153" xfId="48" applyFont="1" applyBorder="1" applyAlignment="1">
      <alignment vertical="center" wrapText="1"/>
    </xf>
    <xf numFmtId="186" fontId="54" fillId="0" borderId="153" xfId="48" applyNumberFormat="1" applyFont="1" applyBorder="1" applyAlignment="1">
      <alignment vertical="center" wrapText="1"/>
    </xf>
    <xf numFmtId="9" fontId="54" fillId="0" borderId="153" xfId="48" applyNumberFormat="1" applyFont="1" applyBorder="1" applyAlignment="1">
      <alignment horizontal="center" vertical="center" wrapText="1"/>
    </xf>
    <xf numFmtId="187" fontId="54" fillId="0" borderId="153" xfId="48" applyNumberFormat="1" applyFont="1" applyBorder="1" applyAlignment="1">
      <alignment horizontal="center" vertical="center" wrapText="1"/>
    </xf>
    <xf numFmtId="184" fontId="54" fillId="0" borderId="154" xfId="48" applyNumberFormat="1" applyFont="1" applyBorder="1" applyAlignment="1">
      <alignment vertical="center" wrapText="1"/>
    </xf>
    <xf numFmtId="0" fontId="54" fillId="0" borderId="155" xfId="48" applyFont="1" applyBorder="1" applyAlignment="1">
      <alignment horizontal="center" vertical="center" wrapText="1"/>
    </xf>
    <xf numFmtId="0" fontId="54" fillId="0" borderId="156" xfId="48" applyFont="1" applyBorder="1" applyAlignment="1">
      <alignment vertical="center" wrapText="1"/>
    </xf>
    <xf numFmtId="186" fontId="54" fillId="0" borderId="156" xfId="48" applyNumberFormat="1" applyFont="1" applyBorder="1" applyAlignment="1">
      <alignment vertical="center" wrapText="1"/>
    </xf>
    <xf numFmtId="9" fontId="54" fillId="0" borderId="156" xfId="48" applyNumberFormat="1" applyFont="1" applyBorder="1" applyAlignment="1">
      <alignment horizontal="center" vertical="center" wrapText="1"/>
    </xf>
    <xf numFmtId="187" fontId="54" fillId="0" borderId="156" xfId="48" applyNumberFormat="1" applyFont="1" applyBorder="1" applyAlignment="1">
      <alignment horizontal="center" vertical="center" wrapText="1"/>
    </xf>
    <xf numFmtId="184" fontId="54" fillId="0" borderId="157" xfId="48" applyNumberFormat="1" applyFont="1" applyBorder="1" applyAlignment="1">
      <alignment vertical="center" wrapText="1"/>
    </xf>
    <xf numFmtId="203" fontId="52" fillId="0" borderId="0" xfId="48" applyNumberFormat="1"/>
    <xf numFmtId="4" fontId="71" fillId="0" borderId="160" xfId="48" applyNumberFormat="1" applyFont="1" applyBorder="1" applyAlignment="1">
      <alignment vertical="center"/>
    </xf>
    <xf numFmtId="10" fontId="52" fillId="0" borderId="0" xfId="48" applyNumberFormat="1"/>
    <xf numFmtId="4" fontId="71" fillId="0" borderId="161" xfId="48" applyNumberFormat="1" applyFont="1" applyBorder="1" applyAlignment="1">
      <alignment vertical="center"/>
    </xf>
    <xf numFmtId="184" fontId="55" fillId="10" borderId="161" xfId="48" applyNumberFormat="1" applyFont="1" applyFill="1" applyBorder="1" applyAlignment="1">
      <alignment vertical="center" wrapText="1"/>
    </xf>
    <xf numFmtId="9" fontId="54" fillId="0" borderId="0" xfId="39" applyFont="1"/>
    <xf numFmtId="184" fontId="55" fillId="0" borderId="135" xfId="48" applyNumberFormat="1" applyFont="1" applyBorder="1" applyAlignment="1">
      <alignment vertical="center" wrapText="1"/>
    </xf>
    <xf numFmtId="0" fontId="54" fillId="0" borderId="158" xfId="48" applyFont="1" applyBorder="1" applyAlignment="1">
      <alignment horizontal="center" vertical="center" wrapText="1"/>
    </xf>
    <xf numFmtId="0" fontId="54" fillId="0" borderId="62" xfId="48" applyFont="1" applyBorder="1" applyAlignment="1">
      <alignment vertical="center" wrapText="1"/>
    </xf>
    <xf numFmtId="186" fontId="54" fillId="0" borderId="62" xfId="48" applyNumberFormat="1" applyFont="1" applyBorder="1" applyAlignment="1">
      <alignment vertical="center" wrapText="1"/>
    </xf>
    <xf numFmtId="9" fontId="54" fillId="0" borderId="62" xfId="48" applyNumberFormat="1" applyFont="1" applyBorder="1" applyAlignment="1">
      <alignment horizontal="center" vertical="center" wrapText="1"/>
    </xf>
    <xf numFmtId="187" fontId="54" fillId="0" borderId="62" xfId="48" applyNumberFormat="1" applyFont="1" applyBorder="1" applyAlignment="1">
      <alignment horizontal="center" vertical="center" wrapText="1"/>
    </xf>
    <xf numFmtId="184" fontId="54" fillId="0" borderId="162" xfId="48" applyNumberFormat="1" applyFont="1" applyBorder="1" applyAlignment="1">
      <alignment vertical="center" wrapText="1"/>
    </xf>
    <xf numFmtId="4" fontId="71" fillId="0" borderId="8" xfId="48" applyNumberFormat="1" applyFont="1" applyBorder="1"/>
    <xf numFmtId="184" fontId="70" fillId="10" borderId="8" xfId="48" applyNumberFormat="1" applyFont="1" applyFill="1" applyBorder="1"/>
    <xf numFmtId="184" fontId="55" fillId="10" borderId="138" xfId="48" applyNumberFormat="1" applyFont="1" applyFill="1" applyBorder="1" applyAlignment="1">
      <alignment vertical="center" wrapText="1"/>
    </xf>
    <xf numFmtId="0" fontId="55" fillId="37" borderId="139" xfId="48" applyFont="1" applyFill="1" applyBorder="1" applyAlignment="1">
      <alignment horizontal="center" vertical="center" wrapText="1"/>
    </xf>
    <xf numFmtId="0" fontId="55" fillId="37" borderId="140" xfId="48" applyFont="1" applyFill="1" applyBorder="1" applyAlignment="1">
      <alignment horizontal="center" vertical="center" wrapText="1"/>
    </xf>
    <xf numFmtId="180" fontId="55" fillId="37" borderId="140" xfId="48" applyNumberFormat="1" applyFont="1" applyFill="1" applyBorder="1" applyAlignment="1">
      <alignment horizontal="center" vertical="center" wrapText="1"/>
    </xf>
    <xf numFmtId="0" fontId="55" fillId="37" borderId="141" xfId="48" applyFont="1" applyFill="1" applyBorder="1" applyAlignment="1">
      <alignment horizontal="center" vertical="center" wrapText="1"/>
    </xf>
    <xf numFmtId="0" fontId="54" fillId="0" borderId="165" xfId="48" applyFont="1" applyBorder="1" applyAlignment="1">
      <alignment horizontal="center" vertical="center" wrapText="1"/>
    </xf>
    <xf numFmtId="0" fontId="54" fillId="0" borderId="166" xfId="48" applyFont="1" applyBorder="1" applyAlignment="1">
      <alignment vertical="center" wrapText="1"/>
    </xf>
    <xf numFmtId="0" fontId="54" fillId="0" borderId="166" xfId="48" applyFont="1" applyBorder="1" applyAlignment="1">
      <alignment horizontal="center" vertical="center" wrapText="1"/>
    </xf>
    <xf numFmtId="176" fontId="54" fillId="0" borderId="166" xfId="48" applyNumberFormat="1" applyFont="1" applyBorder="1" applyAlignment="1">
      <alignment vertical="center" wrapText="1"/>
    </xf>
    <xf numFmtId="9" fontId="54" fillId="0" borderId="166" xfId="39" applyFont="1" applyBorder="1" applyAlignment="1">
      <alignment horizontal="center" vertical="center" wrapText="1"/>
    </xf>
    <xf numFmtId="169" fontId="54" fillId="0" borderId="166" xfId="48" applyNumberFormat="1" applyFont="1" applyBorder="1" applyAlignment="1">
      <alignment horizontal="center" vertical="center" wrapText="1"/>
    </xf>
    <xf numFmtId="184" fontId="54" fillId="0" borderId="149" xfId="48" applyNumberFormat="1" applyFont="1" applyBorder="1" applyAlignment="1">
      <alignment vertical="center" wrapText="1"/>
    </xf>
    <xf numFmtId="0" fontId="54" fillId="0" borderId="167" xfId="48" applyFont="1" applyBorder="1" applyAlignment="1">
      <alignment horizontal="center" vertical="center" wrapText="1"/>
    </xf>
    <xf numFmtId="0" fontId="54" fillId="0" borderId="148" xfId="48" applyFont="1" applyBorder="1" applyAlignment="1">
      <alignment horizontal="center" vertical="center" wrapText="1"/>
    </xf>
    <xf numFmtId="176" fontId="54" fillId="0" borderId="148" xfId="48" applyNumberFormat="1" applyFont="1" applyBorder="1" applyAlignment="1">
      <alignment vertical="center" wrapText="1"/>
    </xf>
    <xf numFmtId="9" fontId="54" fillId="0" borderId="148" xfId="39" applyFont="1" applyBorder="1" applyAlignment="1">
      <alignment horizontal="center" vertical="center" wrapText="1"/>
    </xf>
    <xf numFmtId="169" fontId="54" fillId="0" borderId="168" xfId="48" applyNumberFormat="1" applyFont="1" applyBorder="1" applyAlignment="1">
      <alignment horizontal="center" vertical="center" wrapText="1"/>
    </xf>
    <xf numFmtId="0" fontId="54" fillId="0" borderId="0" xfId="48" applyFont="1" applyAlignment="1">
      <alignment horizontal="left" vertical="center"/>
    </xf>
    <xf numFmtId="185" fontId="54" fillId="0" borderId="148" xfId="48" applyNumberFormat="1" applyFont="1" applyBorder="1" applyAlignment="1">
      <alignment vertical="center" wrapText="1"/>
    </xf>
    <xf numFmtId="184" fontId="54" fillId="0" borderId="146" xfId="48" applyNumberFormat="1" applyFont="1" applyBorder="1" applyAlignment="1">
      <alignment vertical="center" wrapText="1"/>
    </xf>
    <xf numFmtId="0" fontId="54" fillId="0" borderId="169" xfId="48" applyFont="1" applyBorder="1" applyAlignment="1">
      <alignment horizontal="center" vertical="center" wrapText="1"/>
    </xf>
    <xf numFmtId="0" fontId="54" fillId="0" borderId="170" xfId="48" applyFont="1" applyBorder="1" applyAlignment="1">
      <alignment vertical="center" wrapText="1"/>
    </xf>
    <xf numFmtId="0" fontId="54" fillId="0" borderId="170" xfId="48" applyFont="1" applyBorder="1" applyAlignment="1">
      <alignment horizontal="center" vertical="center" wrapText="1"/>
    </xf>
    <xf numFmtId="176" fontId="54" fillId="0" borderId="170" xfId="48" applyNumberFormat="1" applyFont="1" applyBorder="1" applyAlignment="1">
      <alignment vertical="center" wrapText="1"/>
    </xf>
    <xf numFmtId="185" fontId="54" fillId="0" borderId="170" xfId="48" applyNumberFormat="1" applyFont="1" applyBorder="1" applyAlignment="1">
      <alignment vertical="center" wrapText="1"/>
    </xf>
    <xf numFmtId="169" fontId="54" fillId="0" borderId="171" xfId="48" applyNumberFormat="1" applyFont="1" applyBorder="1" applyAlignment="1">
      <alignment horizontal="center" vertical="center" wrapText="1"/>
    </xf>
    <xf numFmtId="184" fontId="54" fillId="0" borderId="172" xfId="48" applyNumberFormat="1" applyFont="1" applyBorder="1" applyAlignment="1">
      <alignment vertical="center" wrapText="1"/>
    </xf>
    <xf numFmtId="176" fontId="52" fillId="0" borderId="0" xfId="48" applyNumberFormat="1"/>
    <xf numFmtId="0" fontId="54" fillId="0" borderId="158" xfId="48" applyFont="1" applyBorder="1" applyAlignment="1">
      <alignment vertical="center" wrapText="1"/>
    </xf>
    <xf numFmtId="172" fontId="54" fillId="0" borderId="164" xfId="39" applyNumberFormat="1" applyFont="1" applyBorder="1" applyAlignment="1">
      <alignment horizontal="center" vertical="center" wrapText="1"/>
    </xf>
    <xf numFmtId="202" fontId="55" fillId="0" borderId="164" xfId="48" applyNumberFormat="1" applyFont="1" applyBorder="1" applyAlignment="1">
      <alignment vertical="center" wrapText="1"/>
    </xf>
    <xf numFmtId="0" fontId="54" fillId="0" borderId="164" xfId="48" applyFont="1" applyBorder="1" applyAlignment="1">
      <alignment horizontal="center" vertical="center" wrapText="1"/>
    </xf>
    <xf numFmtId="0" fontId="54" fillId="0" borderId="133" xfId="48" applyFont="1" applyBorder="1" applyAlignment="1">
      <alignment vertical="center" wrapText="1"/>
    </xf>
    <xf numFmtId="177" fontId="55" fillId="10" borderId="138" xfId="39" applyNumberFormat="1" applyFont="1" applyFill="1" applyBorder="1" applyAlignment="1">
      <alignment horizontal="center" vertical="center" wrapText="1"/>
    </xf>
    <xf numFmtId="202" fontId="55" fillId="39" borderId="164" xfId="48" applyNumberFormat="1" applyFont="1" applyFill="1" applyBorder="1" applyAlignment="1">
      <alignment vertical="center" wrapText="1"/>
    </xf>
    <xf numFmtId="0" fontId="54" fillId="0" borderId="0" xfId="48" applyFont="1" applyAlignment="1">
      <alignment vertical="center" wrapText="1"/>
    </xf>
    <xf numFmtId="0" fontId="55" fillId="0" borderId="0" xfId="48" applyFont="1" applyAlignment="1">
      <alignment horizontal="left" vertical="center" wrapText="1"/>
    </xf>
    <xf numFmtId="0" fontId="54" fillId="0" borderId="0" xfId="48" applyFont="1" applyAlignment="1">
      <alignment horizontal="center" vertical="center" wrapText="1"/>
    </xf>
    <xf numFmtId="190" fontId="55" fillId="0" borderId="0" xfId="48" applyNumberFormat="1" applyFont="1" applyAlignment="1">
      <alignment vertical="center" wrapText="1"/>
    </xf>
    <xf numFmtId="0" fontId="55" fillId="0" borderId="0" xfId="48" applyFont="1" applyAlignment="1">
      <alignment vertical="center" wrapText="1"/>
    </xf>
    <xf numFmtId="192" fontId="54" fillId="0" borderId="0" xfId="48" applyNumberFormat="1" applyFont="1" applyAlignment="1">
      <alignment vertical="center" wrapText="1"/>
    </xf>
    <xf numFmtId="0" fontId="71" fillId="0" borderId="0" xfId="48" applyFont="1"/>
    <xf numFmtId="0" fontId="32" fillId="40" borderId="2" xfId="9" applyFont="1" applyFill="1" applyBorder="1"/>
    <xf numFmtId="0" fontId="54" fillId="0" borderId="61" xfId="35" applyFont="1" applyBorder="1" applyAlignment="1">
      <alignment vertical="center"/>
    </xf>
    <xf numFmtId="0" fontId="53" fillId="0" borderId="2" xfId="35" applyBorder="1" applyAlignment="1">
      <alignment vertical="center"/>
    </xf>
    <xf numFmtId="0" fontId="32" fillId="0" borderId="2" xfId="35" applyFont="1" applyBorder="1"/>
    <xf numFmtId="194" fontId="55" fillId="0" borderId="67" xfId="35" applyNumberFormat="1" applyFont="1" applyBorder="1" applyAlignment="1">
      <alignment horizontal="center" vertical="center"/>
    </xf>
    <xf numFmtId="0" fontId="54" fillId="0" borderId="64" xfId="35" applyFont="1" applyBorder="1"/>
    <xf numFmtId="0" fontId="13" fillId="0" borderId="173" xfId="3" applyFont="1" applyBorder="1" applyAlignment="1">
      <alignment horizontal="center"/>
    </xf>
    <xf numFmtId="194" fontId="54" fillId="28" borderId="69" xfId="35" applyNumberFormat="1" applyFont="1" applyFill="1" applyBorder="1"/>
    <xf numFmtId="0" fontId="22" fillId="6" borderId="2" xfId="6" applyBorder="1" applyAlignment="1">
      <alignment horizontal="center" vertical="center"/>
    </xf>
    <xf numFmtId="0" fontId="26" fillId="0" borderId="2" xfId="0" applyFont="1" applyBorder="1" applyAlignment="1">
      <alignment vertical="center" wrapText="1"/>
    </xf>
    <xf numFmtId="0" fontId="12" fillId="0" borderId="2" xfId="3" applyBorder="1" applyAlignment="1">
      <alignment horizontal="center" vertical="center"/>
    </xf>
    <xf numFmtId="179" fontId="22" fillId="6" borderId="2" xfId="6" applyNumberFormat="1" applyBorder="1" applyAlignment="1">
      <alignment horizontal="center" vertical="center"/>
    </xf>
    <xf numFmtId="171" fontId="12" fillId="0" borderId="2" xfId="3" applyNumberFormat="1" applyBorder="1" applyAlignment="1">
      <alignment horizontal="justify" vertical="center"/>
    </xf>
    <xf numFmtId="0" fontId="54" fillId="0" borderId="2" xfId="35" applyFont="1" applyBorder="1"/>
    <xf numFmtId="0" fontId="54" fillId="0" borderId="2" xfId="35" applyFont="1" applyBorder="1" applyAlignment="1">
      <alignment horizontal="center" vertical="center"/>
    </xf>
    <xf numFmtId="0" fontId="55" fillId="0" borderId="2" xfId="35" applyFont="1" applyBorder="1"/>
    <xf numFmtId="0" fontId="13" fillId="0" borderId="2" xfId="3" applyFont="1" applyBorder="1" applyAlignment="1">
      <alignment horizontal="center"/>
    </xf>
    <xf numFmtId="195" fontId="13" fillId="0" borderId="2" xfId="3" applyNumberFormat="1" applyFont="1" applyBorder="1" applyAlignment="1">
      <alignment horizontal="center"/>
    </xf>
    <xf numFmtId="175" fontId="26" fillId="0" borderId="2" xfId="0" applyNumberFormat="1" applyFont="1" applyBorder="1" applyAlignment="1">
      <alignment horizontal="center" vertical="center" wrapText="1"/>
    </xf>
    <xf numFmtId="0" fontId="79" fillId="0" borderId="0" xfId="35" applyFont="1"/>
    <xf numFmtId="168" fontId="52" fillId="0" borderId="0" xfId="1" applyFont="1"/>
    <xf numFmtId="196" fontId="12" fillId="0" borderId="0" xfId="8" applyNumberFormat="1" applyAlignment="1">
      <alignment vertical="center"/>
    </xf>
    <xf numFmtId="183" fontId="12" fillId="0" borderId="0" xfId="8" applyNumberFormat="1" applyAlignment="1">
      <alignment vertical="center"/>
    </xf>
    <xf numFmtId="165" fontId="0" fillId="0" borderId="0" xfId="0" applyNumberFormat="1"/>
    <xf numFmtId="0" fontId="12" fillId="0" borderId="2" xfId="0" applyFont="1" applyBorder="1" applyAlignment="1">
      <alignment horizontal="left" vertical="center" wrapText="1"/>
    </xf>
    <xf numFmtId="0" fontId="12" fillId="0" borderId="53" xfId="0" applyFont="1" applyBorder="1" applyAlignment="1">
      <alignment horizontal="center" vertical="center" wrapText="1"/>
    </xf>
    <xf numFmtId="0" fontId="12" fillId="0" borderId="42" xfId="0" applyFont="1" applyBorder="1" applyAlignment="1">
      <alignment horizontal="center" vertical="center" wrapText="1"/>
    </xf>
    <xf numFmtId="178" fontId="12" fillId="0" borderId="41" xfId="0" applyNumberFormat="1" applyFont="1" applyBorder="1" applyAlignment="1">
      <alignment horizontal="right" vertical="center" wrapText="1"/>
    </xf>
    <xf numFmtId="178" fontId="12" fillId="2" borderId="45" xfId="0" applyNumberFormat="1" applyFont="1" applyFill="1" applyBorder="1" applyAlignment="1">
      <alignment horizontal="right" vertical="center" wrapText="1"/>
    </xf>
    <xf numFmtId="178" fontId="12" fillId="0" borderId="40" xfId="0" applyNumberFormat="1" applyFont="1" applyBorder="1" applyAlignment="1">
      <alignment horizontal="right" vertical="center" wrapText="1"/>
    </xf>
    <xf numFmtId="178" fontId="12" fillId="0" borderId="28" xfId="0" applyNumberFormat="1" applyFont="1" applyBorder="1" applyAlignment="1">
      <alignment horizontal="left" vertical="center" wrapText="1"/>
    </xf>
    <xf numFmtId="0" fontId="15" fillId="2" borderId="32" xfId="0" applyFont="1" applyFill="1" applyBorder="1" applyAlignment="1">
      <alignment horizontal="center" vertical="center" wrapText="1"/>
    </xf>
    <xf numFmtId="0" fontId="15" fillId="2" borderId="33" xfId="0" applyFont="1" applyFill="1" applyBorder="1" applyAlignment="1">
      <alignment horizontal="center" vertical="center" wrapText="1"/>
    </xf>
    <xf numFmtId="0" fontId="15" fillId="2" borderId="34" xfId="0" applyFont="1" applyFill="1" applyBorder="1" applyAlignment="1">
      <alignment horizontal="center" vertical="center" wrapText="1"/>
    </xf>
    <xf numFmtId="0" fontId="15" fillId="12" borderId="32" xfId="0" applyFont="1" applyFill="1" applyBorder="1" applyAlignment="1">
      <alignment horizontal="center" vertical="center" wrapText="1"/>
    </xf>
    <xf numFmtId="0" fontId="15" fillId="12" borderId="33" xfId="0" applyFont="1" applyFill="1" applyBorder="1" applyAlignment="1">
      <alignment horizontal="center" vertical="center" wrapText="1"/>
    </xf>
    <xf numFmtId="0" fontId="15" fillId="12" borderId="34" xfId="0" applyFont="1" applyFill="1" applyBorder="1" applyAlignment="1">
      <alignment horizontal="center" vertical="center" wrapText="1"/>
    </xf>
    <xf numFmtId="172" fontId="13" fillId="0" borderId="33" xfId="0" applyNumberFormat="1" applyFont="1" applyBorder="1" applyAlignment="1">
      <alignment horizontal="center" vertical="center"/>
    </xf>
    <xf numFmtId="172" fontId="13" fillId="0" borderId="33" xfId="4" applyNumberFormat="1" applyFont="1" applyFill="1" applyBorder="1" applyAlignment="1">
      <alignment horizontal="right" vertical="center"/>
    </xf>
    <xf numFmtId="170" fontId="13" fillId="12" borderId="34" xfId="0" applyNumberFormat="1" applyFont="1" applyFill="1" applyBorder="1" applyAlignment="1">
      <alignment horizontal="right" vertical="center"/>
    </xf>
    <xf numFmtId="10" fontId="0" fillId="0" borderId="0" xfId="44" applyNumberFormat="1" applyFont="1" applyAlignment="1">
      <alignment vertical="center"/>
    </xf>
    <xf numFmtId="178" fontId="12" fillId="0" borderId="0" xfId="44" applyNumberFormat="1" applyFont="1" applyAlignment="1">
      <alignment vertical="center" wrapText="1"/>
    </xf>
    <xf numFmtId="178" fontId="0" fillId="0" borderId="0" xfId="44" applyNumberFormat="1" applyFont="1" applyAlignment="1">
      <alignment vertical="center"/>
    </xf>
    <xf numFmtId="0" fontId="12" fillId="0" borderId="8" xfId="0" applyFont="1" applyBorder="1" applyAlignment="1">
      <alignment horizontal="center" vertical="center"/>
    </xf>
    <xf numFmtId="0" fontId="12" fillId="0" borderId="8" xfId="0" applyFont="1" applyBorder="1" applyAlignment="1">
      <alignment horizontal="center"/>
    </xf>
    <xf numFmtId="176" fontId="12" fillId="0" borderId="6" xfId="0" applyNumberFormat="1" applyFont="1" applyBorder="1" applyAlignment="1">
      <alignment horizontal="center"/>
    </xf>
    <xf numFmtId="2" fontId="12" fillId="0" borderId="50" xfId="0" applyNumberFormat="1" applyFont="1" applyBorder="1" applyAlignment="1">
      <alignment horizontal="center" vertical="center" wrapText="1"/>
    </xf>
    <xf numFmtId="178" fontId="12" fillId="0" borderId="0" xfId="44" applyNumberFormat="1" applyFont="1" applyAlignment="1">
      <alignment vertical="center"/>
    </xf>
    <xf numFmtId="0" fontId="0" fillId="0" borderId="0" xfId="43" applyFont="1"/>
    <xf numFmtId="2" fontId="12" fillId="0" borderId="34" xfId="0" applyNumberFormat="1" applyFont="1" applyBorder="1" applyAlignment="1">
      <alignment horizontal="center" vertical="center" wrapText="1"/>
    </xf>
    <xf numFmtId="0" fontId="12" fillId="0" borderId="51" xfId="0" applyFont="1" applyBorder="1" applyAlignment="1">
      <alignment horizontal="justify" vertical="center" wrapText="1"/>
    </xf>
    <xf numFmtId="0" fontId="12" fillId="0" borderId="6" xfId="0" applyFont="1" applyBorder="1" applyAlignment="1">
      <alignment horizontal="center" vertical="center"/>
    </xf>
    <xf numFmtId="173" fontId="0" fillId="0" borderId="2" xfId="12" applyNumberFormat="1" applyFont="1" applyFill="1" applyBorder="1"/>
    <xf numFmtId="172" fontId="38" fillId="0" borderId="0" xfId="4" applyNumberFormat="1" applyFont="1" applyFill="1" applyAlignment="1">
      <alignment vertical="center"/>
    </xf>
    <xf numFmtId="0" fontId="39" fillId="0" borderId="0" xfId="10" applyFont="1" applyFill="1"/>
    <xf numFmtId="0" fontId="12" fillId="0" borderId="19" xfId="0" applyFont="1" applyBorder="1" applyAlignment="1">
      <alignment horizontal="center" vertical="center"/>
    </xf>
    <xf numFmtId="0" fontId="12" fillId="0" borderId="19" xfId="0" applyFont="1" applyBorder="1" applyAlignment="1">
      <alignment horizontal="center"/>
    </xf>
    <xf numFmtId="0" fontId="12" fillId="0" borderId="9" xfId="0" applyFont="1" applyBorder="1" applyAlignment="1">
      <alignment horizontal="center" vertical="center"/>
    </xf>
    <xf numFmtId="0" fontId="12" fillId="0" borderId="9" xfId="0" applyFont="1" applyBorder="1" applyAlignment="1">
      <alignment vertical="center" wrapText="1"/>
    </xf>
    <xf numFmtId="172" fontId="38" fillId="0" borderId="0" xfId="4" applyNumberFormat="1" applyFont="1" applyFill="1" applyBorder="1" applyAlignment="1">
      <alignment vertical="center"/>
    </xf>
    <xf numFmtId="0" fontId="12" fillId="0" borderId="9" xfId="0" applyFont="1" applyBorder="1" applyAlignment="1">
      <alignment horizontal="left" vertical="center" wrapText="1"/>
    </xf>
    <xf numFmtId="0" fontId="12" fillId="0" borderId="9" xfId="0" applyFont="1" applyBorder="1" applyAlignment="1">
      <alignment horizontal="center" vertical="center" wrapText="1"/>
    </xf>
    <xf numFmtId="0" fontId="12" fillId="0" borderId="9" xfId="0" applyFont="1" applyBorder="1" applyAlignment="1">
      <alignment horizontal="left" vertical="center"/>
    </xf>
    <xf numFmtId="0" fontId="12" fillId="0" borderId="9" xfId="0" applyFont="1" applyBorder="1" applyAlignment="1">
      <alignment wrapText="1"/>
    </xf>
    <xf numFmtId="0" fontId="0" fillId="0" borderId="2" xfId="0" applyBorder="1" applyAlignment="1">
      <alignment horizontal="left" vertical="center" wrapText="1"/>
    </xf>
    <xf numFmtId="3" fontId="12" fillId="0" borderId="9" xfId="0" applyNumberFormat="1" applyFont="1" applyBorder="1" applyAlignment="1">
      <alignment horizontal="center" vertical="center"/>
    </xf>
    <xf numFmtId="0" fontId="12" fillId="0" borderId="19" xfId="0" applyFont="1" applyBorder="1" applyAlignment="1" applyProtection="1">
      <alignment horizontal="center" vertical="center" wrapText="1"/>
      <protection locked="0"/>
    </xf>
    <xf numFmtId="2" fontId="12" fillId="0" borderId="9" xfId="0" applyNumberFormat="1" applyFont="1" applyBorder="1" applyAlignment="1">
      <alignment horizontal="center" vertical="center"/>
    </xf>
    <xf numFmtId="0" fontId="12" fillId="0" borderId="2" xfId="0" applyFont="1" applyBorder="1" applyAlignment="1">
      <alignment vertical="center" wrapText="1"/>
    </xf>
    <xf numFmtId="172" fontId="41" fillId="0" borderId="88" xfId="4" applyNumberFormat="1" applyFont="1" applyFill="1" applyBorder="1" applyAlignment="1">
      <alignment vertical="center"/>
    </xf>
    <xf numFmtId="0" fontId="17" fillId="0" borderId="0" xfId="10" applyFont="1" applyFill="1" applyAlignment="1" applyProtection="1"/>
    <xf numFmtId="0" fontId="42" fillId="0" borderId="2" xfId="9" applyFont="1" applyBorder="1" applyAlignment="1">
      <alignment horizontal="left" vertical="center" wrapText="1"/>
    </xf>
    <xf numFmtId="0" fontId="0" fillId="0" borderId="2" xfId="0" applyBorder="1" applyAlignment="1">
      <alignment vertical="center" wrapText="1"/>
    </xf>
    <xf numFmtId="0" fontId="43" fillId="0" borderId="2" xfId="9" applyFont="1" applyBorder="1" applyAlignment="1">
      <alignment horizontal="left" vertical="center" wrapText="1"/>
    </xf>
    <xf numFmtId="0" fontId="68" fillId="0" borderId="13" xfId="0" applyFont="1" applyBorder="1" applyAlignment="1">
      <alignment horizontal="left" vertical="center"/>
    </xf>
    <xf numFmtId="172" fontId="38" fillId="0" borderId="88" xfId="4" applyNumberFormat="1" applyFont="1" applyFill="1" applyBorder="1" applyAlignment="1">
      <alignment vertical="center"/>
    </xf>
    <xf numFmtId="172" fontId="38" fillId="0" borderId="0" xfId="11" applyNumberFormat="1" applyFont="1" applyFill="1" applyAlignment="1">
      <alignment vertical="center"/>
    </xf>
    <xf numFmtId="0" fontId="54" fillId="0" borderId="61" xfId="0" applyFont="1" applyBorder="1"/>
    <xf numFmtId="0" fontId="54" fillId="0" borderId="61" xfId="0" applyFont="1" applyBorder="1" applyAlignment="1">
      <alignment horizontal="center" vertical="center"/>
    </xf>
    <xf numFmtId="0" fontId="54" fillId="0" borderId="64" xfId="0" applyFont="1" applyBorder="1" applyAlignment="1">
      <alignment horizontal="center" vertical="center"/>
    </xf>
    <xf numFmtId="195" fontId="12" fillId="0" borderId="2" xfId="0" applyNumberFormat="1" applyFont="1" applyBorder="1" applyAlignment="1">
      <alignment horizontal="center" vertical="center"/>
    </xf>
    <xf numFmtId="0" fontId="12" fillId="0" borderId="0" xfId="0" applyFont="1" applyAlignment="1">
      <alignment horizontal="center" vertical="center"/>
    </xf>
    <xf numFmtId="0" fontId="26" fillId="0" borderId="8" xfId="0" applyFont="1" applyBorder="1" applyAlignment="1">
      <alignment horizontal="center" vertical="center"/>
    </xf>
    <xf numFmtId="0" fontId="68" fillId="0" borderId="2" xfId="0" applyFont="1" applyBorder="1" applyAlignment="1">
      <alignment wrapText="1"/>
    </xf>
    <xf numFmtId="0" fontId="81" fillId="0" borderId="0" xfId="54" applyFont="1"/>
    <xf numFmtId="0" fontId="81" fillId="0" borderId="0" xfId="54" applyFont="1" applyAlignment="1">
      <alignment wrapText="1"/>
    </xf>
    <xf numFmtId="0" fontId="80" fillId="0" borderId="0" xfId="54" applyFont="1" applyAlignment="1">
      <alignment wrapText="1"/>
    </xf>
    <xf numFmtId="10" fontId="43" fillId="0" borderId="0" xfId="24" applyNumberFormat="1" applyFont="1" applyAlignment="1">
      <alignment vertical="center" wrapText="1"/>
    </xf>
    <xf numFmtId="172" fontId="52" fillId="0" borderId="0" xfId="4" applyNumberFormat="1" applyFont="1"/>
    <xf numFmtId="0" fontId="5" fillId="0" borderId="0" xfId="60"/>
    <xf numFmtId="0" fontId="83" fillId="10" borderId="61" xfId="60" applyFont="1" applyFill="1" applyBorder="1" applyAlignment="1">
      <alignment horizontal="center" vertical="center"/>
    </xf>
    <xf numFmtId="0" fontId="82" fillId="10" borderId="61" xfId="60" applyFont="1" applyFill="1" applyBorder="1" applyAlignment="1">
      <alignment horizontal="center" vertical="center"/>
    </xf>
    <xf numFmtId="0" fontId="85" fillId="0" borderId="69" xfId="60" applyFont="1" applyBorder="1" applyAlignment="1">
      <alignment horizontal="left" vertical="center" wrapText="1"/>
    </xf>
    <xf numFmtId="0" fontId="85" fillId="0" borderId="61" xfId="60" applyFont="1" applyBorder="1" applyAlignment="1">
      <alignment horizontal="center" vertical="center" wrapText="1"/>
    </xf>
    <xf numFmtId="42" fontId="85" fillId="0" borderId="61" xfId="61" applyFont="1" applyFill="1" applyBorder="1" applyAlignment="1">
      <alignment horizontal="center" vertical="center"/>
    </xf>
    <xf numFmtId="42" fontId="85" fillId="0" borderId="61" xfId="60" applyNumberFormat="1" applyFont="1" applyBorder="1" applyAlignment="1">
      <alignment horizontal="center" vertical="center" wrapText="1"/>
    </xf>
    <xf numFmtId="0" fontId="5" fillId="0" borderId="64" xfId="60" applyBorder="1" applyAlignment="1">
      <alignment horizontal="left" vertical="center" wrapText="1"/>
    </xf>
    <xf numFmtId="0" fontId="85" fillId="0" borderId="2" xfId="60" applyFont="1" applyBorder="1" applyAlignment="1">
      <alignment horizontal="center" vertical="center" wrapText="1"/>
    </xf>
    <xf numFmtId="1" fontId="85" fillId="0" borderId="2" xfId="60" applyNumberFormat="1" applyFont="1" applyBorder="1" applyAlignment="1">
      <alignment horizontal="center" vertical="center" wrapText="1"/>
    </xf>
    <xf numFmtId="42" fontId="85" fillId="0" borderId="2" xfId="61" applyFont="1" applyFill="1" applyBorder="1" applyAlignment="1">
      <alignment horizontal="center" vertical="center"/>
    </xf>
    <xf numFmtId="0" fontId="5" fillId="0" borderId="61" xfId="60" applyBorder="1" applyAlignment="1">
      <alignment horizontal="left" vertical="center" wrapText="1"/>
    </xf>
    <xf numFmtId="1" fontId="85" fillId="0" borderId="61" xfId="60" applyNumberFormat="1" applyFont="1" applyBorder="1" applyAlignment="1">
      <alignment horizontal="center" vertical="center" wrapText="1"/>
    </xf>
    <xf numFmtId="42" fontId="85" fillId="0" borderId="61" xfId="61" applyFont="1" applyBorder="1" applyAlignment="1">
      <alignment horizontal="center" vertical="center"/>
    </xf>
    <xf numFmtId="0" fontId="85" fillId="0" borderId="64" xfId="60" applyFont="1" applyBorder="1" applyAlignment="1">
      <alignment horizontal="center" vertical="center" wrapText="1"/>
    </xf>
    <xf numFmtId="1" fontId="85" fillId="0" borderId="64" xfId="60" applyNumberFormat="1" applyFont="1" applyBorder="1" applyAlignment="1">
      <alignment horizontal="center" vertical="center" wrapText="1"/>
    </xf>
    <xf numFmtId="42" fontId="85" fillId="0" borderId="64" xfId="61" applyFont="1" applyFill="1" applyBorder="1" applyAlignment="1">
      <alignment horizontal="center" vertical="center"/>
    </xf>
    <xf numFmtId="42" fontId="85" fillId="0" borderId="64" xfId="61" applyFont="1" applyBorder="1" applyAlignment="1">
      <alignment horizontal="center" vertical="center"/>
    </xf>
    <xf numFmtId="0" fontId="85" fillId="0" borderId="61" xfId="60" applyFont="1" applyBorder="1" applyAlignment="1">
      <alignment horizontal="left" vertical="center" wrapText="1"/>
    </xf>
    <xf numFmtId="0" fontId="26" fillId="0" borderId="2" xfId="60" applyFont="1" applyBorder="1" applyAlignment="1">
      <alignment horizontal="left" vertical="center" wrapText="1"/>
    </xf>
    <xf numFmtId="0" fontId="5" fillId="0" borderId="2" xfId="60" applyBorder="1" applyAlignment="1">
      <alignment horizontal="center" vertical="center" wrapText="1"/>
    </xf>
    <xf numFmtId="42" fontId="5" fillId="0" borderId="2" xfId="60" applyNumberFormat="1" applyBorder="1" applyAlignment="1">
      <alignment horizontal="center" vertical="center" wrapText="1"/>
    </xf>
    <xf numFmtId="0" fontId="5" fillId="0" borderId="69" xfId="60" applyBorder="1" applyAlignment="1">
      <alignment horizontal="left" vertical="center" wrapText="1"/>
    </xf>
    <xf numFmtId="0" fontId="85" fillId="0" borderId="69" xfId="60" applyFont="1" applyBorder="1" applyAlignment="1">
      <alignment horizontal="center" vertical="center" wrapText="1"/>
    </xf>
    <xf numFmtId="1" fontId="85" fillId="0" borderId="69" xfId="60" applyNumberFormat="1" applyFont="1" applyBorder="1" applyAlignment="1">
      <alignment horizontal="center" vertical="center" wrapText="1"/>
    </xf>
    <xf numFmtId="42" fontId="85" fillId="0" borderId="99" xfId="61" applyFont="1" applyFill="1" applyBorder="1" applyAlignment="1">
      <alignment horizontal="center" vertical="center"/>
    </xf>
    <xf numFmtId="42" fontId="68" fillId="0" borderId="61" xfId="61" applyFont="1" applyFill="1" applyBorder="1" applyAlignment="1">
      <alignment horizontal="center" vertical="center"/>
    </xf>
    <xf numFmtId="42" fontId="85" fillId="0" borderId="68" xfId="61" applyFont="1" applyFill="1" applyBorder="1" applyAlignment="1">
      <alignment horizontal="center" vertical="center"/>
    </xf>
    <xf numFmtId="0" fontId="85" fillId="0" borderId="9" xfId="60" applyFont="1" applyBorder="1" applyAlignment="1">
      <alignment horizontal="left" vertical="center" wrapText="1"/>
    </xf>
    <xf numFmtId="42" fontId="85" fillId="0" borderId="2" xfId="60" applyNumberFormat="1" applyFont="1" applyBorder="1" applyAlignment="1">
      <alignment horizontal="center" vertical="center" wrapText="1"/>
    </xf>
    <xf numFmtId="0" fontId="85" fillId="0" borderId="2" xfId="60" applyFont="1" applyBorder="1" applyAlignment="1">
      <alignment horizontal="left" vertical="center" wrapText="1"/>
    </xf>
    <xf numFmtId="0" fontId="5" fillId="0" borderId="2" xfId="60" applyBorder="1" applyAlignment="1">
      <alignment horizontal="left" vertical="top" wrapText="1"/>
    </xf>
    <xf numFmtId="42" fontId="85" fillId="0" borderId="2" xfId="61" applyFont="1" applyBorder="1" applyAlignment="1">
      <alignment horizontal="center" vertical="center"/>
    </xf>
    <xf numFmtId="0" fontId="5" fillId="0" borderId="2" xfId="60" applyBorder="1" applyAlignment="1">
      <alignment horizontal="left" vertical="center" wrapText="1"/>
    </xf>
    <xf numFmtId="42" fontId="5" fillId="0" borderId="6" xfId="60" applyNumberFormat="1" applyBorder="1" applyAlignment="1">
      <alignment horizontal="center" vertical="center" wrapText="1"/>
    </xf>
    <xf numFmtId="42" fontId="68" fillId="0" borderId="61" xfId="61" applyFont="1" applyBorder="1" applyAlignment="1">
      <alignment horizontal="center" vertical="center"/>
    </xf>
    <xf numFmtId="42" fontId="85" fillId="0" borderId="6" xfId="61" applyFont="1" applyBorder="1" applyAlignment="1">
      <alignment horizontal="center" vertical="center"/>
    </xf>
    <xf numFmtId="0" fontId="5" fillId="24" borderId="13" xfId="60" applyFill="1" applyBorder="1" applyAlignment="1">
      <alignment horizontal="center" vertical="center" wrapText="1"/>
    </xf>
    <xf numFmtId="42" fontId="5" fillId="24" borderId="13" xfId="60" applyNumberFormat="1" applyFill="1" applyBorder="1" applyAlignment="1">
      <alignment horizontal="center" vertical="center" wrapText="1"/>
    </xf>
    <xf numFmtId="42" fontId="85" fillId="0" borderId="19" xfId="61" applyFont="1" applyBorder="1" applyAlignment="1">
      <alignment horizontal="center" vertical="center"/>
    </xf>
    <xf numFmtId="0" fontId="5" fillId="0" borderId="9" xfId="60" applyBorder="1" applyAlignment="1">
      <alignment horizontal="left" vertical="center" wrapText="1"/>
    </xf>
    <xf numFmtId="42" fontId="85" fillId="0" borderId="9" xfId="61" applyFont="1" applyFill="1" applyBorder="1" applyAlignment="1">
      <alignment horizontal="center" vertical="center"/>
    </xf>
    <xf numFmtId="0" fontId="5" fillId="0" borderId="13" xfId="60" applyBorder="1" applyAlignment="1">
      <alignment horizontal="left" vertical="center" wrapText="1"/>
    </xf>
    <xf numFmtId="1" fontId="85" fillId="0" borderId="62" xfId="60" applyNumberFormat="1" applyFont="1" applyBorder="1" applyAlignment="1">
      <alignment horizontal="center" vertical="center" wrapText="1"/>
    </xf>
    <xf numFmtId="42" fontId="85" fillId="0" borderId="62" xfId="61" applyFont="1" applyBorder="1" applyAlignment="1">
      <alignment horizontal="center" vertical="center"/>
    </xf>
    <xf numFmtId="0" fontId="85" fillId="0" borderId="2" xfId="60" applyFont="1" applyBorder="1" applyAlignment="1">
      <alignment horizontal="left" vertical="center"/>
    </xf>
    <xf numFmtId="42" fontId="85" fillId="0" borderId="6" xfId="61" applyFont="1" applyFill="1" applyBorder="1" applyAlignment="1">
      <alignment horizontal="center" vertical="center"/>
    </xf>
    <xf numFmtId="0" fontId="85" fillId="0" borderId="2" xfId="60" applyFont="1" applyBorder="1" applyAlignment="1">
      <alignment horizontal="center" vertical="center"/>
    </xf>
    <xf numFmtId="0" fontId="5" fillId="0" borderId="6" xfId="60" applyBorder="1" applyAlignment="1">
      <alignment horizontal="left" vertical="center" wrapText="1"/>
    </xf>
    <xf numFmtId="42" fontId="85" fillId="0" borderId="66" xfId="61" applyFont="1" applyBorder="1" applyAlignment="1">
      <alignment horizontal="center" vertical="center"/>
    </xf>
    <xf numFmtId="42" fontId="85" fillId="0" borderId="20" xfId="61" applyFont="1" applyFill="1" applyBorder="1" applyAlignment="1">
      <alignment horizontal="center" vertical="center"/>
    </xf>
    <xf numFmtId="0" fontId="78" fillId="0" borderId="0" xfId="60" applyFont="1"/>
    <xf numFmtId="0" fontId="78" fillId="0" borderId="2" xfId="60" applyFont="1" applyBorder="1"/>
    <xf numFmtId="6" fontId="77" fillId="0" borderId="2" xfId="60" applyNumberFormat="1" applyFont="1" applyBorder="1"/>
    <xf numFmtId="6" fontId="78" fillId="0" borderId="2" xfId="60" applyNumberFormat="1" applyFont="1" applyBorder="1" applyAlignment="1">
      <alignment horizontal="center" vertical="center" wrapText="1"/>
    </xf>
    <xf numFmtId="0" fontId="78" fillId="0" borderId="2" xfId="60" applyFont="1" applyBorder="1" applyAlignment="1">
      <alignment vertical="center" wrapText="1"/>
    </xf>
    <xf numFmtId="0" fontId="78" fillId="0" borderId="2" xfId="60" applyFont="1" applyBorder="1" applyAlignment="1">
      <alignment wrapText="1"/>
    </xf>
    <xf numFmtId="8" fontId="78" fillId="0" borderId="2" xfId="60" applyNumberFormat="1" applyFont="1" applyBorder="1" applyAlignment="1">
      <alignment horizontal="center" vertical="center" wrapText="1"/>
    </xf>
    <xf numFmtId="0" fontId="78" fillId="0" borderId="2" xfId="60" applyFont="1" applyBorder="1" applyAlignment="1">
      <alignment vertical="center"/>
    </xf>
    <xf numFmtId="0" fontId="78" fillId="0" borderId="0" xfId="60" applyFont="1" applyAlignment="1">
      <alignment wrapText="1"/>
    </xf>
    <xf numFmtId="0" fontId="77" fillId="0" borderId="2" xfId="60" applyFont="1" applyBorder="1" applyAlignment="1">
      <alignment horizontal="center"/>
    </xf>
    <xf numFmtId="0" fontId="12" fillId="8" borderId="8" xfId="0" applyFont="1" applyFill="1" applyBorder="1" applyAlignment="1">
      <alignment horizontal="center" vertical="center"/>
    </xf>
    <xf numFmtId="0" fontId="12" fillId="8" borderId="19" xfId="0" applyFont="1" applyFill="1" applyBorder="1" applyAlignment="1">
      <alignment horizontal="center"/>
    </xf>
    <xf numFmtId="0" fontId="12" fillId="8" borderId="2" xfId="0" applyFont="1" applyFill="1" applyBorder="1" applyAlignment="1">
      <alignment horizontal="center" vertical="center"/>
    </xf>
    <xf numFmtId="176" fontId="12" fillId="8" borderId="6" xfId="0" applyNumberFormat="1" applyFont="1" applyFill="1" applyBorder="1" applyAlignment="1">
      <alignment horizontal="center"/>
    </xf>
    <xf numFmtId="173" fontId="0" fillId="8" borderId="2" xfId="12" applyNumberFormat="1" applyFont="1" applyFill="1" applyBorder="1"/>
    <xf numFmtId="0" fontId="12" fillId="8" borderId="0" xfId="0" applyFont="1" applyFill="1"/>
    <xf numFmtId="0" fontId="0" fillId="8" borderId="0" xfId="0" applyFill="1"/>
    <xf numFmtId="168" fontId="0" fillId="0" borderId="0" xfId="1" applyFont="1"/>
    <xf numFmtId="1" fontId="12" fillId="26" borderId="35" xfId="0" applyNumberFormat="1" applyFont="1" applyFill="1" applyBorder="1" applyAlignment="1">
      <alignment horizontal="right" vertical="center" wrapText="1"/>
    </xf>
    <xf numFmtId="1" fontId="12" fillId="26" borderId="36" xfId="0" applyNumberFormat="1" applyFont="1" applyFill="1" applyBorder="1" applyAlignment="1">
      <alignment horizontal="right" vertical="center" wrapText="1"/>
    </xf>
    <xf numFmtId="1" fontId="12" fillId="26" borderId="38" xfId="0" applyNumberFormat="1" applyFont="1" applyFill="1" applyBorder="1" applyAlignment="1">
      <alignment horizontal="right" vertical="center" wrapText="1"/>
    </xf>
    <xf numFmtId="1" fontId="12" fillId="26" borderId="2" xfId="0" applyNumberFormat="1" applyFont="1" applyFill="1" applyBorder="1" applyAlignment="1">
      <alignment horizontal="right" vertical="center" wrapText="1"/>
    </xf>
    <xf numFmtId="1" fontId="12" fillId="26" borderId="52" xfId="0" applyNumberFormat="1" applyFont="1" applyFill="1" applyBorder="1" applyAlignment="1">
      <alignment horizontal="right" vertical="center" wrapText="1"/>
    </xf>
    <xf numFmtId="1" fontId="12" fillId="26" borderId="9" xfId="0" applyNumberFormat="1" applyFont="1" applyFill="1" applyBorder="1" applyAlignment="1">
      <alignment horizontal="right" vertical="center" wrapText="1"/>
    </xf>
    <xf numFmtId="1" fontId="12" fillId="26" borderId="72" xfId="0" applyNumberFormat="1" applyFont="1" applyFill="1" applyBorder="1" applyAlignment="1">
      <alignment horizontal="right" vertical="center" wrapText="1"/>
    </xf>
    <xf numFmtId="1" fontId="12" fillId="26" borderId="73" xfId="0" applyNumberFormat="1" applyFont="1" applyFill="1" applyBorder="1" applyAlignment="1">
      <alignment horizontal="right" vertical="center" wrapText="1"/>
    </xf>
    <xf numFmtId="1" fontId="13" fillId="0" borderId="39" xfId="0" applyNumberFormat="1" applyFont="1" applyBorder="1" applyAlignment="1">
      <alignment horizontal="right" vertical="center"/>
    </xf>
    <xf numFmtId="0" fontId="83" fillId="10" borderId="181" xfId="60" applyFont="1" applyFill="1" applyBorder="1" applyAlignment="1">
      <alignment horizontal="center" vertical="center"/>
    </xf>
    <xf numFmtId="0" fontId="32" fillId="10" borderId="182" xfId="60" applyFont="1" applyFill="1" applyBorder="1" applyAlignment="1">
      <alignment horizontal="center" vertical="center" wrapText="1"/>
    </xf>
    <xf numFmtId="0" fontId="32" fillId="24" borderId="6" xfId="60" applyFont="1" applyFill="1" applyBorder="1" applyAlignment="1">
      <alignment vertical="center"/>
    </xf>
    <xf numFmtId="0" fontId="32" fillId="24" borderId="7" xfId="60" applyFont="1" applyFill="1" applyBorder="1" applyAlignment="1">
      <alignment vertical="center"/>
    </xf>
    <xf numFmtId="42" fontId="32" fillId="10" borderId="17" xfId="60" applyNumberFormat="1" applyFont="1" applyFill="1" applyBorder="1" applyAlignment="1">
      <alignment horizontal="center" vertical="center"/>
    </xf>
    <xf numFmtId="43" fontId="12" fillId="0" borderId="0" xfId="0" applyNumberFormat="1" applyFont="1" applyAlignment="1">
      <alignment vertical="center"/>
    </xf>
    <xf numFmtId="194" fontId="55" fillId="0" borderId="64" xfId="35" applyNumberFormat="1" applyFont="1" applyBorder="1" applyAlignment="1">
      <alignment horizontal="center" vertical="center"/>
    </xf>
    <xf numFmtId="194" fontId="52" fillId="0" borderId="66" xfId="35" applyNumberFormat="1" applyFont="1" applyBorder="1"/>
    <xf numFmtId="0" fontId="54" fillId="0" borderId="66" xfId="35" applyFont="1" applyBorder="1" applyAlignment="1">
      <alignment horizontal="center" vertical="center" wrapText="1"/>
    </xf>
    <xf numFmtId="195" fontId="52" fillId="0" borderId="66" xfId="35" applyNumberFormat="1" applyFont="1" applyBorder="1" applyAlignment="1">
      <alignment horizontal="center" vertical="center"/>
    </xf>
    <xf numFmtId="175" fontId="52" fillId="0" borderId="2" xfId="35" applyNumberFormat="1" applyFont="1" applyBorder="1" applyAlignment="1">
      <alignment horizontal="center" vertical="center"/>
    </xf>
    <xf numFmtId="195" fontId="52" fillId="0" borderId="2" xfId="35" applyNumberFormat="1" applyFont="1" applyBorder="1" applyAlignment="1">
      <alignment horizontal="center" vertical="center"/>
    </xf>
    <xf numFmtId="0" fontId="26" fillId="0" borderId="19" xfId="0" applyFont="1" applyBorder="1" applyAlignment="1">
      <alignment horizontal="center" vertical="center"/>
    </xf>
    <xf numFmtId="0" fontId="52" fillId="0" borderId="19" xfId="0" applyFont="1" applyBorder="1" applyAlignment="1">
      <alignment horizontal="center" vertical="center"/>
    </xf>
    <xf numFmtId="0" fontId="68" fillId="0" borderId="2" xfId="0" applyFont="1" applyBorder="1" applyAlignment="1">
      <alignment horizontal="left" vertical="center"/>
    </xf>
    <xf numFmtId="0" fontId="12" fillId="0" borderId="13" xfId="0" applyFont="1" applyBorder="1" applyAlignment="1">
      <alignment vertical="center"/>
    </xf>
    <xf numFmtId="0" fontId="54" fillId="0" borderId="2" xfId="0" applyFont="1" applyBorder="1"/>
    <xf numFmtId="0" fontId="71" fillId="0" borderId="61" xfId="0" applyFont="1" applyBorder="1" applyAlignment="1">
      <alignment horizontal="left" vertical="center"/>
    </xf>
    <xf numFmtId="0" fontId="68" fillId="0" borderId="66" xfId="0" applyFont="1" applyBorder="1" applyAlignment="1">
      <alignment horizontal="left" vertical="center"/>
    </xf>
    <xf numFmtId="0" fontId="26" fillId="0" borderId="13" xfId="0" applyFont="1" applyBorder="1" applyAlignment="1">
      <alignment vertical="center"/>
    </xf>
    <xf numFmtId="0" fontId="12" fillId="0" borderId="61" xfId="0" applyFont="1" applyBorder="1" applyAlignment="1">
      <alignment vertical="center"/>
    </xf>
    <xf numFmtId="0" fontId="68" fillId="0" borderId="9" xfId="0" applyFont="1" applyBorder="1" applyAlignment="1">
      <alignment horizontal="left" vertical="center"/>
    </xf>
    <xf numFmtId="0" fontId="54" fillId="0" borderId="13" xfId="0" applyFont="1" applyBorder="1"/>
    <xf numFmtId="0" fontId="71" fillId="0" borderId="9" xfId="0" applyFont="1" applyBorder="1" applyAlignment="1">
      <alignment horizontal="left" vertical="center"/>
    </xf>
    <xf numFmtId="0" fontId="68" fillId="0" borderId="66" xfId="0" applyFont="1" applyBorder="1" applyAlignment="1">
      <alignment wrapText="1"/>
    </xf>
    <xf numFmtId="0" fontId="68" fillId="8" borderId="2" xfId="0" applyFont="1" applyFill="1" applyBorder="1" applyAlignment="1">
      <alignment horizontal="left" vertical="center"/>
    </xf>
    <xf numFmtId="0" fontId="12" fillId="0" borderId="13" xfId="0" applyFont="1" applyBorder="1" applyAlignment="1">
      <alignment horizontal="left" vertical="center" wrapText="1"/>
    </xf>
    <xf numFmtId="0" fontId="71" fillId="0" borderId="61" xfId="0" applyFont="1" applyBorder="1" applyAlignment="1">
      <alignment wrapText="1"/>
    </xf>
    <xf numFmtId="0" fontId="52" fillId="0" borderId="9" xfId="0" applyFont="1" applyBorder="1" applyAlignment="1">
      <alignment horizontal="left" vertical="center" wrapText="1"/>
    </xf>
    <xf numFmtId="0" fontId="54" fillId="0" borderId="19" xfId="0" applyFont="1" applyBorder="1" applyAlignment="1">
      <alignment horizontal="center" vertical="center"/>
    </xf>
    <xf numFmtId="0" fontId="12" fillId="0" borderId="61" xfId="0" applyFont="1" applyBorder="1" applyAlignment="1">
      <alignment horizontal="center"/>
    </xf>
    <xf numFmtId="0" fontId="60" fillId="0" borderId="19" xfId="0" applyFont="1" applyBorder="1" applyAlignment="1">
      <alignment horizontal="center" vertical="center"/>
    </xf>
    <xf numFmtId="0" fontId="54" fillId="0" borderId="2" xfId="0" applyFont="1" applyBorder="1" applyAlignment="1">
      <alignment horizontal="center" vertical="center"/>
    </xf>
    <xf numFmtId="0" fontId="12" fillId="0" borderId="64" xfId="0" applyFont="1" applyBorder="1" applyAlignment="1">
      <alignment horizontal="center"/>
    </xf>
    <xf numFmtId="172" fontId="41" fillId="0" borderId="0" xfId="4" applyNumberFormat="1" applyFont="1" applyFill="1" applyBorder="1" applyAlignment="1">
      <alignment vertical="center"/>
    </xf>
    <xf numFmtId="172" fontId="38" fillId="0" borderId="88" xfId="11" applyNumberFormat="1" applyFont="1" applyFill="1" applyBorder="1" applyAlignment="1">
      <alignment vertical="center"/>
    </xf>
    <xf numFmtId="172" fontId="38" fillId="8" borderId="88" xfId="4" applyNumberFormat="1" applyFont="1" applyFill="1" applyBorder="1" applyAlignment="1">
      <alignment vertical="center"/>
    </xf>
    <xf numFmtId="0" fontId="12" fillId="0" borderId="0" xfId="3" applyAlignment="1">
      <alignment wrapText="1"/>
    </xf>
    <xf numFmtId="0" fontId="0" fillId="0" borderId="8" xfId="0" applyBorder="1" applyAlignment="1">
      <alignment horizontal="center" vertical="center"/>
    </xf>
    <xf numFmtId="0" fontId="89" fillId="0" borderId="2" xfId="0" applyFont="1" applyBorder="1" applyAlignment="1">
      <alignment vertical="center"/>
    </xf>
    <xf numFmtId="0" fontId="12" fillId="0" borderId="2" xfId="25" applyBorder="1" applyAlignment="1">
      <alignment vertical="center" wrapText="1"/>
    </xf>
    <xf numFmtId="9" fontId="12" fillId="0" borderId="2" xfId="40" applyNumberFormat="1" applyBorder="1" applyAlignment="1">
      <alignment vertical="center" wrapText="1"/>
    </xf>
    <xf numFmtId="10" fontId="12" fillId="0" borderId="2" xfId="40" applyNumberFormat="1" applyBorder="1" applyAlignment="1">
      <alignment horizontal="center" vertical="center" wrapText="1"/>
    </xf>
    <xf numFmtId="10" fontId="12" fillId="0" borderId="2" xfId="40" applyNumberFormat="1" applyBorder="1" applyAlignment="1">
      <alignment vertical="center" wrapText="1"/>
    </xf>
    <xf numFmtId="0" fontId="90" fillId="0" borderId="0" xfId="63" applyFont="1" applyAlignment="1">
      <alignment vertical="center" wrapText="1"/>
    </xf>
    <xf numFmtId="166" fontId="90" fillId="0" borderId="0" xfId="64" applyFont="1" applyFill="1" applyAlignment="1">
      <alignment vertical="center" wrapText="1"/>
    </xf>
    <xf numFmtId="0" fontId="90" fillId="0" borderId="0" xfId="63" applyFont="1" applyAlignment="1">
      <alignment vertical="center"/>
    </xf>
    <xf numFmtId="0" fontId="31" fillId="0" borderId="0" xfId="63" applyFont="1" applyAlignment="1">
      <alignment horizontal="center"/>
    </xf>
    <xf numFmtId="0" fontId="91" fillId="0" borderId="0" xfId="63" applyFont="1" applyAlignment="1">
      <alignment horizontal="center" vertical="center"/>
    </xf>
    <xf numFmtId="166" fontId="12" fillId="0" borderId="101" xfId="0" applyNumberFormat="1" applyFont="1" applyBorder="1" applyAlignment="1">
      <alignment horizontal="right" vertical="center" wrapText="1"/>
    </xf>
    <xf numFmtId="2" fontId="12" fillId="0" borderId="187" xfId="25" applyNumberFormat="1" applyBorder="1" applyAlignment="1">
      <alignment horizontal="center" vertical="center" wrapText="1"/>
    </xf>
    <xf numFmtId="0" fontId="12" fillId="0" borderId="109" xfId="25" applyBorder="1" applyAlignment="1">
      <alignment horizontal="center" vertical="center" wrapText="1"/>
    </xf>
    <xf numFmtId="176" fontId="12" fillId="0" borderId="109" xfId="30" applyNumberFormat="1" applyFont="1" applyFill="1" applyBorder="1" applyAlignment="1">
      <alignment vertical="center" wrapText="1"/>
    </xf>
    <xf numFmtId="185" fontId="12" fillId="0" borderId="109" xfId="30" applyNumberFormat="1" applyFont="1" applyFill="1" applyBorder="1" applyAlignment="1">
      <alignment vertical="center" wrapText="1"/>
    </xf>
    <xf numFmtId="169" fontId="12" fillId="0" borderId="109" xfId="25" applyNumberFormat="1" applyBorder="1" applyAlignment="1">
      <alignment horizontal="center" vertical="center" wrapText="1"/>
    </xf>
    <xf numFmtId="0" fontId="88" fillId="42" borderId="18" xfId="62" applyBorder="1" applyAlignment="1">
      <alignment horizontal="left"/>
    </xf>
    <xf numFmtId="182" fontId="88" fillId="42" borderId="18" xfId="62" applyNumberFormat="1" applyBorder="1" applyAlignment="1">
      <alignment horizontal="center"/>
    </xf>
    <xf numFmtId="204" fontId="88" fillId="42" borderId="0" xfId="62" applyNumberFormat="1" applyBorder="1" applyAlignment="1">
      <alignment horizontal="center"/>
    </xf>
    <xf numFmtId="0" fontId="88" fillId="42" borderId="0" xfId="62" applyBorder="1" applyAlignment="1">
      <alignment horizontal="center"/>
    </xf>
    <xf numFmtId="182" fontId="88" fillId="42" borderId="0" xfId="62" applyNumberFormat="1" applyBorder="1" applyAlignment="1">
      <alignment horizontal="center"/>
    </xf>
    <xf numFmtId="0" fontId="92" fillId="0" borderId="0" xfId="65" applyFont="1" applyAlignment="1">
      <alignment horizontal="center"/>
    </xf>
    <xf numFmtId="205" fontId="93" fillId="0" borderId="0" xfId="65" applyNumberFormat="1" applyFont="1" applyAlignment="1">
      <alignment horizontal="center"/>
    </xf>
    <xf numFmtId="0" fontId="92" fillId="0" borderId="0" xfId="65" applyFont="1" applyAlignment="1">
      <alignment horizontal="left"/>
    </xf>
    <xf numFmtId="0" fontId="92" fillId="0" borderId="21" xfId="65" applyFont="1" applyBorder="1"/>
    <xf numFmtId="182" fontId="92" fillId="43" borderId="7" xfId="66" applyFont="1" applyFill="1" applyBorder="1" applyAlignment="1">
      <alignment horizontal="right"/>
    </xf>
    <xf numFmtId="0" fontId="92" fillId="43" borderId="18" xfId="65" applyFont="1" applyFill="1" applyBorder="1" applyAlignment="1">
      <alignment horizontal="left"/>
    </xf>
    <xf numFmtId="10" fontId="92" fillId="0" borderId="22" xfId="67" applyNumberFormat="1" applyFont="1" applyBorder="1"/>
    <xf numFmtId="182" fontId="94" fillId="0" borderId="22" xfId="66" applyFont="1" applyBorder="1"/>
    <xf numFmtId="182" fontId="92" fillId="0" borderId="22" xfId="66" applyFont="1" applyBorder="1"/>
    <xf numFmtId="182" fontId="92" fillId="0" borderId="13" xfId="66" applyFont="1" applyBorder="1"/>
    <xf numFmtId="0" fontId="92" fillId="0" borderId="22" xfId="65" applyFont="1" applyBorder="1"/>
    <xf numFmtId="0" fontId="92" fillId="0" borderId="0" xfId="65" applyFont="1"/>
    <xf numFmtId="0" fontId="95" fillId="0" borderId="0" xfId="65" applyFont="1" applyAlignment="1">
      <alignment horizontal="center"/>
    </xf>
    <xf numFmtId="0" fontId="92" fillId="43" borderId="6" xfId="65" applyFont="1" applyFill="1" applyBorder="1" applyAlignment="1">
      <alignment horizontal="left"/>
    </xf>
    <xf numFmtId="10" fontId="92" fillId="0" borderId="7" xfId="67" applyNumberFormat="1" applyFont="1" applyBorder="1"/>
    <xf numFmtId="182" fontId="92" fillId="0" borderId="7" xfId="66" applyFont="1" applyBorder="1"/>
    <xf numFmtId="182" fontId="92" fillId="0" borderId="2" xfId="66" applyFont="1" applyBorder="1"/>
    <xf numFmtId="0" fontId="92" fillId="0" borderId="7" xfId="65" applyFont="1" applyBorder="1"/>
    <xf numFmtId="182" fontId="92" fillId="43" borderId="7" xfId="66" applyFont="1" applyFill="1" applyBorder="1"/>
    <xf numFmtId="182" fontId="95" fillId="0" borderId="0" xfId="65" applyNumberFormat="1" applyFont="1" applyAlignment="1">
      <alignment horizontal="center"/>
    </xf>
    <xf numFmtId="182" fontId="92" fillId="0" borderId="0" xfId="66" applyFont="1" applyBorder="1"/>
    <xf numFmtId="182" fontId="92" fillId="24" borderId="21" xfId="66" applyFont="1" applyFill="1" applyBorder="1"/>
    <xf numFmtId="0" fontId="92" fillId="24" borderId="0" xfId="65" applyFont="1" applyFill="1" applyAlignment="1">
      <alignment horizontal="left"/>
    </xf>
    <xf numFmtId="10" fontId="92" fillId="24" borderId="21" xfId="67" applyNumberFormat="1" applyFont="1" applyFill="1" applyBorder="1"/>
    <xf numFmtId="182" fontId="92" fillId="27" borderId="21" xfId="66" applyFont="1" applyFill="1" applyBorder="1" applyAlignment="1">
      <alignment horizontal="center"/>
    </xf>
    <xf numFmtId="182" fontId="96" fillId="0" borderId="21" xfId="66" applyFont="1" applyBorder="1"/>
    <xf numFmtId="182" fontId="92" fillId="0" borderId="21" xfId="66" applyFont="1" applyBorder="1"/>
    <xf numFmtId="182" fontId="97" fillId="0" borderId="21" xfId="66" applyFont="1" applyBorder="1"/>
    <xf numFmtId="10" fontId="92" fillId="0" borderId="0" xfId="67" applyNumberFormat="1" applyFont="1" applyBorder="1"/>
    <xf numFmtId="4" fontId="98" fillId="27" borderId="0" xfId="66" applyNumberFormat="1" applyFont="1" applyFill="1" applyBorder="1" applyAlignment="1">
      <alignment horizontal="right"/>
    </xf>
    <xf numFmtId="4" fontId="98" fillId="0" borderId="0" xfId="66" applyNumberFormat="1" applyFont="1" applyBorder="1" applyAlignment="1">
      <alignment horizontal="right"/>
    </xf>
    <xf numFmtId="0" fontId="99" fillId="0" borderId="0" xfId="65" applyFont="1"/>
    <xf numFmtId="0" fontId="100" fillId="0" borderId="7" xfId="65" applyFont="1" applyBorder="1"/>
    <xf numFmtId="4" fontId="101" fillId="0" borderId="7" xfId="68" applyNumberFormat="1" applyFont="1" applyFill="1" applyBorder="1" applyAlignment="1">
      <alignment horizontal="right"/>
    </xf>
    <xf numFmtId="182" fontId="102" fillId="0" borderId="0" xfId="66" applyFont="1" applyBorder="1"/>
    <xf numFmtId="182" fontId="92" fillId="0" borderId="0" xfId="66" applyFont="1" applyBorder="1" applyAlignment="1">
      <alignment horizontal="center"/>
    </xf>
    <xf numFmtId="182" fontId="103" fillId="0" borderId="0" xfId="66" applyFont="1" applyBorder="1" applyAlignment="1">
      <alignment horizontal="left"/>
    </xf>
    <xf numFmtId="182" fontId="100" fillId="0" borderId="0" xfId="66" applyFont="1" applyBorder="1" applyAlignment="1">
      <alignment horizontal="center"/>
    </xf>
    <xf numFmtId="182" fontId="104" fillId="0" borderId="0" xfId="66" applyFont="1" applyBorder="1" applyAlignment="1">
      <alignment horizontal="center"/>
    </xf>
    <xf numFmtId="0" fontId="92" fillId="27" borderId="0" xfId="65" applyFont="1" applyFill="1"/>
    <xf numFmtId="185" fontId="98" fillId="27" borderId="0" xfId="66" applyNumberFormat="1" applyFont="1" applyFill="1" applyBorder="1" applyAlignment="1"/>
    <xf numFmtId="182" fontId="99" fillId="0" borderId="0" xfId="66" applyFont="1" applyBorder="1"/>
    <xf numFmtId="182" fontId="92" fillId="0" borderId="0" xfId="66" applyFont="1" applyBorder="1" applyAlignment="1"/>
    <xf numFmtId="182" fontId="92" fillId="27" borderId="0" xfId="66" applyFont="1" applyFill="1" applyBorder="1"/>
    <xf numFmtId="10" fontId="92" fillId="0" borderId="0" xfId="65" applyNumberFormat="1" applyFont="1"/>
    <xf numFmtId="0" fontId="105" fillId="0" borderId="114" xfId="25" applyFont="1" applyBorder="1" applyAlignment="1">
      <alignment vertical="center" wrapText="1"/>
    </xf>
    <xf numFmtId="10" fontId="12" fillId="0" borderId="114" xfId="11" applyNumberFormat="1" applyFont="1" applyFill="1" applyBorder="1" applyAlignment="1">
      <alignment horizontal="center" vertical="center" wrapText="1"/>
    </xf>
    <xf numFmtId="10" fontId="54" fillId="0" borderId="168" xfId="4" applyNumberFormat="1" applyFont="1" applyBorder="1" applyAlignment="1">
      <alignment horizontal="center" vertical="center" wrapText="1"/>
    </xf>
    <xf numFmtId="178" fontId="13" fillId="12" borderId="34" xfId="0" applyNumberFormat="1" applyFont="1" applyFill="1" applyBorder="1" applyAlignment="1">
      <alignment horizontal="right" vertical="center"/>
    </xf>
    <xf numFmtId="172" fontId="3" fillId="0" borderId="0" xfId="11" applyNumberFormat="1" applyFont="1" applyAlignment="1">
      <alignment vertical="center" wrapText="1"/>
    </xf>
    <xf numFmtId="9" fontId="3" fillId="0" borderId="0" xfId="11" applyFont="1" applyAlignment="1">
      <alignment vertical="center" wrapText="1"/>
    </xf>
    <xf numFmtId="0" fontId="3" fillId="0" borderId="0" xfId="9" applyFont="1"/>
    <xf numFmtId="0" fontId="3" fillId="0" borderId="2" xfId="9" applyFont="1" applyBorder="1"/>
    <xf numFmtId="0" fontId="3" fillId="0" borderId="2" xfId="9" applyFont="1" applyBorder="1" applyAlignment="1">
      <alignment vertical="center" wrapText="1"/>
    </xf>
    <xf numFmtId="0" fontId="3" fillId="0" borderId="2" xfId="0" applyFont="1" applyBorder="1"/>
    <xf numFmtId="0" fontId="3" fillId="0" borderId="2" xfId="0" applyFont="1" applyBorder="1" applyAlignment="1">
      <alignment horizontal="center"/>
    </xf>
    <xf numFmtId="0" fontId="3" fillId="0" borderId="0" xfId="0" applyFont="1" applyAlignment="1">
      <alignment horizontal="center"/>
    </xf>
    <xf numFmtId="0" fontId="3" fillId="0" borderId="0" xfId="0" applyFont="1"/>
    <xf numFmtId="0" fontId="3" fillId="0" borderId="2" xfId="9" applyFont="1" applyBorder="1" applyAlignment="1">
      <alignment horizontal="center"/>
    </xf>
    <xf numFmtId="0" fontId="3" fillId="40" borderId="2" xfId="9" applyFont="1" applyFill="1" applyBorder="1"/>
    <xf numFmtId="170" fontId="12" fillId="0" borderId="6" xfId="0" applyNumberFormat="1" applyFont="1" applyBorder="1" applyAlignment="1">
      <alignment horizontal="center" vertical="center"/>
    </xf>
    <xf numFmtId="170" fontId="13" fillId="10" borderId="6" xfId="0" applyNumberFormat="1" applyFont="1" applyFill="1" applyBorder="1" applyAlignment="1">
      <alignment horizontal="right" vertical="center"/>
    </xf>
    <xf numFmtId="170" fontId="13" fillId="0" borderId="6" xfId="4" applyNumberFormat="1" applyFont="1" applyFill="1" applyBorder="1" applyAlignment="1">
      <alignment horizontal="center" vertical="center"/>
    </xf>
    <xf numFmtId="170" fontId="13" fillId="0" borderId="6" xfId="0" applyNumberFormat="1" applyFont="1" applyBorder="1" applyAlignment="1">
      <alignment horizontal="center" vertical="center"/>
    </xf>
    <xf numFmtId="0" fontId="13" fillId="2" borderId="80" xfId="0" applyFont="1" applyFill="1" applyBorder="1" applyAlignment="1">
      <alignment horizontal="right" vertical="center"/>
    </xf>
    <xf numFmtId="170" fontId="13" fillId="0" borderId="50" xfId="0" applyNumberFormat="1" applyFont="1" applyBorder="1" applyAlignment="1">
      <alignment horizontal="right" vertical="center"/>
    </xf>
    <xf numFmtId="170" fontId="13" fillId="10" borderId="50" xfId="0" applyNumberFormat="1" applyFont="1" applyFill="1" applyBorder="1" applyAlignment="1">
      <alignment horizontal="right" vertical="center"/>
    </xf>
    <xf numFmtId="10" fontId="13" fillId="13" borderId="9" xfId="0" applyNumberFormat="1" applyFont="1" applyFill="1" applyBorder="1" applyAlignment="1">
      <alignment horizontal="center" vertical="center"/>
    </xf>
    <xf numFmtId="170" fontId="13" fillId="0" borderId="9" xfId="0" applyNumberFormat="1" applyFont="1" applyBorder="1" applyAlignment="1">
      <alignment horizontal="center" vertical="center"/>
    </xf>
    <xf numFmtId="170" fontId="13" fillId="0" borderId="20" xfId="0" applyNumberFormat="1" applyFont="1" applyBorder="1" applyAlignment="1">
      <alignment horizontal="center" vertical="center"/>
    </xf>
    <xf numFmtId="170" fontId="13" fillId="0" borderId="55" xfId="0" applyNumberFormat="1" applyFont="1" applyBorder="1" applyAlignment="1">
      <alignment horizontal="right" vertical="center"/>
    </xf>
    <xf numFmtId="172" fontId="13" fillId="0" borderId="13" xfId="0" applyNumberFormat="1" applyFont="1" applyBorder="1" applyAlignment="1">
      <alignment horizontal="center" vertical="center"/>
    </xf>
    <xf numFmtId="172" fontId="13" fillId="0" borderId="13" xfId="4" applyNumberFormat="1" applyFont="1" applyFill="1" applyBorder="1" applyAlignment="1">
      <alignment horizontal="right" vertical="center"/>
    </xf>
    <xf numFmtId="170" fontId="13" fillId="12" borderId="41" xfId="0" applyNumberFormat="1" applyFont="1" applyFill="1" applyBorder="1" applyAlignment="1">
      <alignment horizontal="center" vertical="center"/>
    </xf>
    <xf numFmtId="170" fontId="13" fillId="12" borderId="45" xfId="0" applyNumberFormat="1" applyFont="1" applyFill="1" applyBorder="1" applyAlignment="1">
      <alignment horizontal="center" vertical="center"/>
    </xf>
    <xf numFmtId="170" fontId="13" fillId="12" borderId="28" xfId="0" applyNumberFormat="1" applyFont="1" applyFill="1" applyBorder="1" applyAlignment="1">
      <alignment horizontal="right" vertical="center"/>
    </xf>
    <xf numFmtId="10" fontId="13" fillId="12" borderId="41" xfId="0" applyNumberFormat="1" applyFont="1" applyFill="1" applyBorder="1" applyAlignment="1">
      <alignment horizontal="center" vertical="center"/>
    </xf>
    <xf numFmtId="0" fontId="13" fillId="0" borderId="90" xfId="0" applyFont="1" applyBorder="1" applyAlignment="1">
      <alignment horizontal="center" vertical="center" wrapText="1"/>
    </xf>
    <xf numFmtId="178" fontId="13" fillId="0" borderId="90" xfId="0" applyNumberFormat="1" applyFont="1" applyBorder="1" applyAlignment="1">
      <alignment horizontal="left" vertical="center" wrapText="1"/>
    </xf>
    <xf numFmtId="0" fontId="12" fillId="0" borderId="100" xfId="0" applyFont="1" applyBorder="1" applyAlignment="1">
      <alignment horizontal="center" vertical="center" wrapText="1"/>
    </xf>
    <xf numFmtId="0" fontId="12" fillId="0" borderId="102" xfId="0" applyFont="1" applyBorder="1" applyAlignment="1">
      <alignment horizontal="center" vertical="center" wrapText="1"/>
    </xf>
    <xf numFmtId="178" fontId="12" fillId="0" borderId="100" xfId="0" applyNumberFormat="1" applyFont="1" applyBorder="1" applyAlignment="1">
      <alignment horizontal="right" vertical="center" wrapText="1"/>
    </xf>
    <xf numFmtId="178" fontId="12" fillId="0" borderId="101" xfId="0" applyNumberFormat="1" applyFont="1" applyBorder="1" applyAlignment="1">
      <alignment horizontal="right" vertical="center" wrapText="1"/>
    </xf>
    <xf numFmtId="178" fontId="12" fillId="2" borderId="188" xfId="0" applyNumberFormat="1" applyFont="1" applyFill="1" applyBorder="1" applyAlignment="1">
      <alignment horizontal="right" vertical="center" wrapText="1"/>
    </xf>
    <xf numFmtId="178" fontId="13" fillId="2" borderId="94" xfId="0" applyNumberFormat="1" applyFont="1" applyFill="1" applyBorder="1" applyAlignment="1">
      <alignment horizontal="right" vertical="center" wrapText="1"/>
    </xf>
    <xf numFmtId="178" fontId="13" fillId="0" borderId="89" xfId="0" applyNumberFormat="1" applyFont="1" applyBorder="1" applyAlignment="1">
      <alignment vertical="center" wrapText="1"/>
    </xf>
    <xf numFmtId="178" fontId="13" fillId="0" borderId="95" xfId="0" applyNumberFormat="1" applyFont="1" applyBorder="1" applyAlignment="1">
      <alignment vertical="center" wrapText="1"/>
    </xf>
    <xf numFmtId="178" fontId="13" fillId="0" borderId="75" xfId="0" applyNumberFormat="1" applyFont="1" applyBorder="1" applyAlignment="1">
      <alignment vertical="center" wrapText="1"/>
    </xf>
    <xf numFmtId="178" fontId="13" fillId="0" borderId="75" xfId="0" applyNumberFormat="1" applyFont="1" applyBorder="1" applyAlignment="1">
      <alignment horizontal="right" vertical="center" wrapText="1"/>
    </xf>
    <xf numFmtId="0" fontId="12" fillId="0" borderId="2" xfId="0" applyFont="1" applyBorder="1" applyAlignment="1">
      <alignment horizontal="center" vertical="center" wrapText="1"/>
    </xf>
    <xf numFmtId="178" fontId="12" fillId="0" borderId="2" xfId="0" applyNumberFormat="1" applyFont="1" applyBorder="1" applyAlignment="1">
      <alignment horizontal="left" vertical="center" wrapText="1"/>
    </xf>
    <xf numFmtId="178" fontId="12" fillId="2" borderId="2" xfId="0" applyNumberFormat="1" applyFont="1" applyFill="1" applyBorder="1" applyAlignment="1">
      <alignment horizontal="right" vertical="center" wrapText="1"/>
    </xf>
    <xf numFmtId="0" fontId="12" fillId="0" borderId="13" xfId="0" applyFont="1" applyBorder="1" applyAlignment="1">
      <alignment horizontal="center" vertical="center" wrapText="1"/>
    </xf>
    <xf numFmtId="178" fontId="12" fillId="0" borderId="13" xfId="0" applyNumberFormat="1" applyFont="1" applyBorder="1" applyAlignment="1">
      <alignment horizontal="left" vertical="center" wrapText="1"/>
    </xf>
    <xf numFmtId="178" fontId="12" fillId="0" borderId="13" xfId="0" applyNumberFormat="1" applyFont="1" applyBorder="1" applyAlignment="1">
      <alignment horizontal="right" vertical="center" wrapText="1"/>
    </xf>
    <xf numFmtId="178" fontId="12" fillId="2" borderId="13" xfId="0" applyNumberFormat="1" applyFont="1" applyFill="1" applyBorder="1" applyAlignment="1">
      <alignment horizontal="right" vertical="center" wrapText="1"/>
    </xf>
    <xf numFmtId="178" fontId="13" fillId="0" borderId="41" xfId="0" applyNumberFormat="1" applyFont="1" applyBorder="1" applyAlignment="1">
      <alignment vertical="center" wrapText="1"/>
    </xf>
    <xf numFmtId="178" fontId="13" fillId="0" borderId="42" xfId="0" applyNumberFormat="1" applyFont="1" applyBorder="1" applyAlignment="1">
      <alignment horizontal="right" vertical="center" wrapText="1"/>
    </xf>
    <xf numFmtId="178" fontId="12" fillId="0" borderId="9" xfId="0" applyNumberFormat="1" applyFont="1" applyBorder="1" applyAlignment="1">
      <alignment horizontal="left" vertical="center" wrapText="1"/>
    </xf>
    <xf numFmtId="10" fontId="12" fillId="0" borderId="13" xfId="0" applyNumberFormat="1" applyFont="1" applyBorder="1" applyAlignment="1">
      <alignment horizontal="center" vertical="center"/>
    </xf>
    <xf numFmtId="170" fontId="12" fillId="0" borderId="13" xfId="0" applyNumberFormat="1" applyFont="1" applyBorder="1" applyAlignment="1">
      <alignment horizontal="center" vertical="center"/>
    </xf>
    <xf numFmtId="170" fontId="12" fillId="0" borderId="18" xfId="0" applyNumberFormat="1" applyFont="1" applyBorder="1" applyAlignment="1">
      <alignment horizontal="center" vertical="center"/>
    </xf>
    <xf numFmtId="170" fontId="13" fillId="0" borderId="190" xfId="0" applyNumberFormat="1" applyFont="1" applyBorder="1" applyAlignment="1">
      <alignment horizontal="right" vertical="center"/>
    </xf>
    <xf numFmtId="170" fontId="13" fillId="11" borderId="41" xfId="0" applyNumberFormat="1" applyFont="1" applyFill="1" applyBorder="1" applyAlignment="1">
      <alignment horizontal="right" vertical="center"/>
    </xf>
    <xf numFmtId="170" fontId="13" fillId="11" borderId="45" xfId="0" applyNumberFormat="1" applyFont="1" applyFill="1" applyBorder="1" applyAlignment="1">
      <alignment horizontal="right" vertical="center"/>
    </xf>
    <xf numFmtId="170" fontId="13" fillId="11" borderId="28" xfId="0" applyNumberFormat="1" applyFont="1" applyFill="1" applyBorder="1" applyAlignment="1">
      <alignment horizontal="right" vertical="center"/>
    </xf>
    <xf numFmtId="0" fontId="2" fillId="0" borderId="0" xfId="70"/>
    <xf numFmtId="0" fontId="83" fillId="10" borderId="181" xfId="70" applyFont="1" applyFill="1" applyBorder="1" applyAlignment="1">
      <alignment horizontal="center" vertical="center"/>
    </xf>
    <xf numFmtId="0" fontId="83" fillId="10" borderId="61" xfId="70" applyFont="1" applyFill="1" applyBorder="1" applyAlignment="1">
      <alignment horizontal="center" vertical="center"/>
    </xf>
    <xf numFmtId="0" fontId="82" fillId="10" borderId="61" xfId="70" applyFont="1" applyFill="1" applyBorder="1" applyAlignment="1">
      <alignment horizontal="center" vertical="center"/>
    </xf>
    <xf numFmtId="0" fontId="32" fillId="10" borderId="182" xfId="70" applyFont="1" applyFill="1" applyBorder="1" applyAlignment="1">
      <alignment horizontal="center" vertical="center" wrapText="1"/>
    </xf>
    <xf numFmtId="0" fontId="85" fillId="0" borderId="69" xfId="70" applyFont="1" applyBorder="1" applyAlignment="1">
      <alignment horizontal="left" vertical="center" wrapText="1"/>
    </xf>
    <xf numFmtId="0" fontId="85" fillId="0" borderId="61" xfId="70" applyFont="1" applyBorder="1" applyAlignment="1">
      <alignment horizontal="center" vertical="center" wrapText="1"/>
    </xf>
    <xf numFmtId="42" fontId="85" fillId="0" borderId="61" xfId="71" applyFont="1" applyFill="1" applyBorder="1" applyAlignment="1">
      <alignment horizontal="center" vertical="center"/>
    </xf>
    <xf numFmtId="42" fontId="85" fillId="0" borderId="61" xfId="70" applyNumberFormat="1" applyFont="1" applyBorder="1" applyAlignment="1">
      <alignment horizontal="center" vertical="center" wrapText="1"/>
    </xf>
    <xf numFmtId="0" fontId="2" fillId="0" borderId="64" xfId="70" applyBorder="1" applyAlignment="1">
      <alignment horizontal="left" vertical="center" wrapText="1"/>
    </xf>
    <xf numFmtId="0" fontId="85" fillId="0" borderId="2" xfId="70" applyFont="1" applyBorder="1" applyAlignment="1">
      <alignment horizontal="center" vertical="center" wrapText="1"/>
    </xf>
    <xf numFmtId="1" fontId="85" fillId="0" borderId="2" xfId="70" applyNumberFormat="1" applyFont="1" applyBorder="1" applyAlignment="1">
      <alignment horizontal="center" vertical="center" wrapText="1"/>
    </xf>
    <xf numFmtId="42" fontId="85" fillId="0" borderId="2" xfId="71" applyFont="1" applyFill="1" applyBorder="1" applyAlignment="1">
      <alignment horizontal="center" vertical="center"/>
    </xf>
    <xf numFmtId="0" fontId="2" fillId="0" borderId="61" xfId="70" applyBorder="1" applyAlignment="1">
      <alignment horizontal="left" vertical="center" wrapText="1"/>
    </xf>
    <xf numFmtId="1" fontId="85" fillId="0" borderId="61" xfId="70" applyNumberFormat="1" applyFont="1" applyBorder="1" applyAlignment="1">
      <alignment horizontal="center" vertical="center" wrapText="1"/>
    </xf>
    <xf numFmtId="42" fontId="85" fillId="0" borderId="61" xfId="71" applyFont="1" applyBorder="1" applyAlignment="1">
      <alignment horizontal="center" vertical="center"/>
    </xf>
    <xf numFmtId="0" fontId="85" fillId="0" borderId="64" xfId="70" applyFont="1" applyBorder="1" applyAlignment="1">
      <alignment horizontal="center" vertical="center" wrapText="1"/>
    </xf>
    <xf numFmtId="1" fontId="85" fillId="0" borderId="64" xfId="70" applyNumberFormat="1" applyFont="1" applyBorder="1" applyAlignment="1">
      <alignment horizontal="center" vertical="center" wrapText="1"/>
    </xf>
    <xf numFmtId="42" fontId="85" fillId="0" borderId="64" xfId="71" applyFont="1" applyFill="1" applyBorder="1" applyAlignment="1">
      <alignment horizontal="center" vertical="center"/>
    </xf>
    <xf numFmtId="42" fontId="85" fillId="0" borderId="64" xfId="71" applyFont="1" applyBorder="1" applyAlignment="1">
      <alignment horizontal="center" vertical="center"/>
    </xf>
    <xf numFmtId="0" fontId="85" fillId="0" borderId="61" xfId="70" applyFont="1" applyBorder="1" applyAlignment="1">
      <alignment horizontal="left" vertical="center" wrapText="1"/>
    </xf>
    <xf numFmtId="0" fontId="26" fillId="0" borderId="2" xfId="70" applyFont="1" applyBorder="1" applyAlignment="1">
      <alignment horizontal="left" vertical="center" wrapText="1"/>
    </xf>
    <xf numFmtId="0" fontId="2" fillId="0" borderId="2" xfId="70" applyBorder="1" applyAlignment="1">
      <alignment horizontal="center" vertical="center" wrapText="1"/>
    </xf>
    <xf numFmtId="42" fontId="2" fillId="0" borderId="2" xfId="70" applyNumberFormat="1" applyBorder="1" applyAlignment="1">
      <alignment horizontal="center" vertical="center" wrapText="1"/>
    </xf>
    <xf numFmtId="0" fontId="2" fillId="0" borderId="69" xfId="70" applyBorder="1" applyAlignment="1">
      <alignment horizontal="left" vertical="center" wrapText="1"/>
    </xf>
    <xf numFmtId="0" fontId="85" fillId="0" borderId="69" xfId="70" applyFont="1" applyBorder="1" applyAlignment="1">
      <alignment horizontal="center" vertical="center" wrapText="1"/>
    </xf>
    <xf numFmtId="1" fontId="85" fillId="0" borderId="69" xfId="70" applyNumberFormat="1" applyFont="1" applyBorder="1" applyAlignment="1">
      <alignment horizontal="center" vertical="center" wrapText="1"/>
    </xf>
    <xf numFmtId="42" fontId="85" fillId="0" borderId="99" xfId="71" applyFont="1" applyFill="1" applyBorder="1" applyAlignment="1">
      <alignment horizontal="center" vertical="center"/>
    </xf>
    <xf numFmtId="42" fontId="68" fillId="0" borderId="61" xfId="71" applyFont="1" applyFill="1" applyBorder="1" applyAlignment="1">
      <alignment horizontal="center" vertical="center"/>
    </xf>
    <xf numFmtId="42" fontId="85" fillId="0" borderId="68" xfId="71" applyFont="1" applyFill="1" applyBorder="1" applyAlignment="1">
      <alignment horizontal="center" vertical="center"/>
    </xf>
    <xf numFmtId="0" fontId="85" fillId="0" borderId="9" xfId="70" applyFont="1" applyBorder="1" applyAlignment="1">
      <alignment horizontal="left" vertical="center" wrapText="1"/>
    </xf>
    <xf numFmtId="42" fontId="85" fillId="0" borderId="2" xfId="70" applyNumberFormat="1" applyFont="1" applyBorder="1" applyAlignment="1">
      <alignment horizontal="center" vertical="center" wrapText="1"/>
    </xf>
    <xf numFmtId="0" fontId="85" fillId="0" borderId="2" xfId="70" applyFont="1" applyBorder="1" applyAlignment="1">
      <alignment horizontal="left" vertical="center" wrapText="1"/>
    </xf>
    <xf numFmtId="0" fontId="2" fillId="0" borderId="2" xfId="70" applyBorder="1" applyAlignment="1">
      <alignment horizontal="left" vertical="top" wrapText="1"/>
    </xf>
    <xf numFmtId="42" fontId="85" fillId="0" borderId="2" xfId="71" applyFont="1" applyBorder="1" applyAlignment="1">
      <alignment horizontal="center" vertical="center"/>
    </xf>
    <xf numFmtId="0" fontId="2" fillId="0" borderId="2" xfId="70" applyBorder="1" applyAlignment="1">
      <alignment horizontal="left" vertical="center" wrapText="1"/>
    </xf>
    <xf numFmtId="42" fontId="2" fillId="0" borderId="6" xfId="70" applyNumberFormat="1" applyBorder="1" applyAlignment="1">
      <alignment horizontal="center" vertical="center" wrapText="1"/>
    </xf>
    <xf numFmtId="42" fontId="68" fillId="0" borderId="61" xfId="71" applyFont="1" applyBorder="1" applyAlignment="1">
      <alignment horizontal="center" vertical="center"/>
    </xf>
    <xf numFmtId="42" fontId="85" fillId="0" borderId="6" xfId="71" applyFont="1" applyBorder="1" applyAlignment="1">
      <alignment horizontal="center" vertical="center"/>
    </xf>
    <xf numFmtId="0" fontId="2" fillId="24" borderId="13" xfId="70" applyFill="1" applyBorder="1" applyAlignment="1">
      <alignment horizontal="center" vertical="center" wrapText="1"/>
    </xf>
    <xf numFmtId="42" fontId="2" fillId="24" borderId="13" xfId="70" applyNumberFormat="1" applyFill="1" applyBorder="1" applyAlignment="1">
      <alignment horizontal="center" vertical="center" wrapText="1"/>
    </xf>
    <xf numFmtId="42" fontId="85" fillId="0" borderId="19" xfId="71" applyFont="1" applyBorder="1" applyAlignment="1">
      <alignment horizontal="center" vertical="center"/>
    </xf>
    <xf numFmtId="0" fontId="2" fillId="0" borderId="9" xfId="70" applyBorder="1" applyAlignment="1">
      <alignment horizontal="left" vertical="center" wrapText="1"/>
    </xf>
    <xf numFmtId="42" fontId="85" fillId="0" borderId="9" xfId="71" applyFont="1" applyFill="1" applyBorder="1" applyAlignment="1">
      <alignment horizontal="center" vertical="center"/>
    </xf>
    <xf numFmtId="0" fontId="2" fillId="0" borderId="13" xfId="70" applyBorder="1" applyAlignment="1">
      <alignment horizontal="left" vertical="center" wrapText="1"/>
    </xf>
    <xf numFmtId="1" fontId="85" fillId="0" borderId="62" xfId="70" applyNumberFormat="1" applyFont="1" applyBorder="1" applyAlignment="1">
      <alignment horizontal="center" vertical="center" wrapText="1"/>
    </xf>
    <xf numFmtId="42" fontId="85" fillId="0" borderId="62" xfId="71" applyFont="1" applyBorder="1" applyAlignment="1">
      <alignment horizontal="center" vertical="center"/>
    </xf>
    <xf numFmtId="0" fontId="85" fillId="0" borderId="2" xfId="70" applyFont="1" applyBorder="1" applyAlignment="1">
      <alignment horizontal="left" vertical="center"/>
    </xf>
    <xf numFmtId="42" fontId="85" fillId="0" borderId="6" xfId="71" applyFont="1" applyFill="1" applyBorder="1" applyAlignment="1">
      <alignment horizontal="center" vertical="center"/>
    </xf>
    <xf numFmtId="0" fontId="85" fillId="0" borderId="2" xfId="70" applyFont="1" applyBorder="1" applyAlignment="1">
      <alignment horizontal="center" vertical="center"/>
    </xf>
    <xf numFmtId="0" fontId="2" fillId="0" borderId="6" xfId="70" applyBorder="1" applyAlignment="1">
      <alignment horizontal="left" vertical="center" wrapText="1"/>
    </xf>
    <xf numFmtId="42" fontId="85" fillId="0" borderId="66" xfId="71" applyFont="1" applyBorder="1" applyAlignment="1">
      <alignment horizontal="center" vertical="center"/>
    </xf>
    <xf numFmtId="42" fontId="85" fillId="0" borderId="20" xfId="71" applyFont="1" applyFill="1" applyBorder="1" applyAlignment="1">
      <alignment horizontal="center" vertical="center"/>
    </xf>
    <xf numFmtId="0" fontId="32" fillId="24" borderId="6" xfId="70" applyFont="1" applyFill="1" applyBorder="1" applyAlignment="1">
      <alignment vertical="center"/>
    </xf>
    <xf numFmtId="0" fontId="32" fillId="24" borderId="7" xfId="70" applyFont="1" applyFill="1" applyBorder="1" applyAlignment="1">
      <alignment vertical="center"/>
    </xf>
    <xf numFmtId="42" fontId="32" fillId="10" borderId="17" xfId="70" applyNumberFormat="1" applyFont="1" applyFill="1" applyBorder="1" applyAlignment="1">
      <alignment horizontal="center" vertical="center"/>
    </xf>
    <xf numFmtId="0" fontId="78" fillId="0" borderId="0" xfId="70" applyFont="1"/>
    <xf numFmtId="0" fontId="77" fillId="0" borderId="2" xfId="70" applyFont="1" applyBorder="1" applyAlignment="1">
      <alignment horizontal="center"/>
    </xf>
    <xf numFmtId="0" fontId="78" fillId="0" borderId="2" xfId="70" applyFont="1" applyBorder="1" applyAlignment="1">
      <alignment vertical="center" wrapText="1"/>
    </xf>
    <xf numFmtId="0" fontId="78" fillId="0" borderId="0" xfId="70" applyFont="1" applyAlignment="1">
      <alignment wrapText="1"/>
    </xf>
    <xf numFmtId="0" fontId="78" fillId="0" borderId="2" xfId="70" applyFont="1" applyBorder="1" applyAlignment="1">
      <alignment wrapText="1"/>
    </xf>
    <xf numFmtId="0" fontId="78" fillId="0" borderId="2" xfId="70" applyFont="1" applyBorder="1" applyAlignment="1">
      <alignment vertical="center"/>
    </xf>
    <xf numFmtId="8" fontId="78" fillId="0" borderId="2" xfId="70" applyNumberFormat="1" applyFont="1" applyBorder="1" applyAlignment="1">
      <alignment horizontal="center" vertical="center" wrapText="1"/>
    </xf>
    <xf numFmtId="6" fontId="78" fillId="0" borderId="2" xfId="70" applyNumberFormat="1" applyFont="1" applyBorder="1" applyAlignment="1">
      <alignment horizontal="center" vertical="center" wrapText="1"/>
    </xf>
    <xf numFmtId="6" fontId="77" fillId="0" borderId="2" xfId="70" applyNumberFormat="1" applyFont="1" applyBorder="1"/>
    <xf numFmtId="0" fontId="78" fillId="0" borderId="2" xfId="70" applyFont="1" applyBorder="1"/>
    <xf numFmtId="0" fontId="0" fillId="0" borderId="93" xfId="0" applyBorder="1" applyAlignment="1">
      <alignment horizontal="left" vertical="center" wrapText="1"/>
    </xf>
    <xf numFmtId="0" fontId="13" fillId="12" borderId="58" xfId="0" applyFont="1" applyFill="1" applyBorder="1" applyAlignment="1">
      <alignment horizontal="right" vertical="center"/>
    </xf>
    <xf numFmtId="0" fontId="13" fillId="12" borderId="54" xfId="0" applyFont="1" applyFill="1" applyBorder="1" applyAlignment="1">
      <alignment horizontal="right" vertical="center"/>
    </xf>
    <xf numFmtId="0" fontId="13" fillId="0" borderId="56" xfId="0" applyFont="1" applyBorder="1" applyAlignment="1">
      <alignment horizontal="right" vertical="center"/>
    </xf>
    <xf numFmtId="0" fontId="13" fillId="0" borderId="13" xfId="0" applyFont="1" applyBorder="1" applyAlignment="1">
      <alignment horizontal="right" vertical="center"/>
    </xf>
    <xf numFmtId="0" fontId="13" fillId="0" borderId="38" xfId="0" applyFont="1" applyBorder="1" applyAlignment="1">
      <alignment horizontal="right" vertical="center"/>
    </xf>
    <xf numFmtId="0" fontId="13" fillId="0" borderId="2" xfId="0" applyFont="1" applyBorder="1" applyAlignment="1">
      <alignment horizontal="right" vertical="center"/>
    </xf>
    <xf numFmtId="0" fontId="13" fillId="0" borderId="32" xfId="0" applyFont="1" applyBorder="1" applyAlignment="1">
      <alignment horizontal="right" vertical="center"/>
    </xf>
    <xf numFmtId="0" fontId="13" fillId="0" borderId="33" xfId="0" applyFont="1" applyBorder="1" applyAlignment="1">
      <alignment horizontal="right" vertical="center"/>
    </xf>
    <xf numFmtId="0" fontId="13" fillId="0" borderId="52" xfId="0" applyFont="1" applyBorder="1" applyAlignment="1">
      <alignment horizontal="right" vertical="center"/>
    </xf>
    <xf numFmtId="0" fontId="13" fillId="0" borderId="9" xfId="0" applyFont="1" applyBorder="1" applyAlignment="1">
      <alignment horizontal="right" vertical="center"/>
    </xf>
    <xf numFmtId="0" fontId="13" fillId="8" borderId="40" xfId="0" applyFont="1" applyFill="1" applyBorder="1" applyAlignment="1">
      <alignment horizontal="center" vertical="center"/>
    </xf>
    <xf numFmtId="0" fontId="13" fillId="8" borderId="41" xfId="0" applyFont="1" applyFill="1" applyBorder="1" applyAlignment="1">
      <alignment horizontal="center" vertical="center"/>
    </xf>
    <xf numFmtId="0" fontId="13" fillId="8" borderId="42" xfId="0" applyFont="1" applyFill="1" applyBorder="1" applyAlignment="1">
      <alignment horizontal="center" vertical="center"/>
    </xf>
    <xf numFmtId="0" fontId="13" fillId="11" borderId="58" xfId="0" applyFont="1" applyFill="1" applyBorder="1" applyAlignment="1">
      <alignment horizontal="right" vertical="center"/>
    </xf>
    <xf numFmtId="0" fontId="13" fillId="11" borderId="54" xfId="0" applyFont="1" applyFill="1" applyBorder="1" applyAlignment="1">
      <alignment horizontal="right" vertical="center"/>
    </xf>
    <xf numFmtId="0" fontId="13" fillId="11" borderId="189" xfId="0" applyFont="1" applyFill="1" applyBorder="1" applyAlignment="1">
      <alignment horizontal="right" vertical="center"/>
    </xf>
    <xf numFmtId="0" fontId="13" fillId="0" borderId="76" xfId="0" applyFont="1" applyBorder="1" applyAlignment="1">
      <alignment horizontal="right" vertical="center"/>
    </xf>
    <xf numFmtId="0" fontId="13" fillId="0" borderId="22" xfId="0" applyFont="1" applyBorder="1" applyAlignment="1">
      <alignment horizontal="right" vertical="center"/>
    </xf>
    <xf numFmtId="0" fontId="13" fillId="0" borderId="17" xfId="0" applyFont="1" applyBorder="1" applyAlignment="1">
      <alignment horizontal="right" vertical="center"/>
    </xf>
    <xf numFmtId="0" fontId="13" fillId="0" borderId="77" xfId="0" applyFont="1" applyBorder="1" applyAlignment="1">
      <alignment horizontal="right" vertical="center"/>
    </xf>
    <xf numFmtId="0" fontId="13" fillId="0" borderId="7" xfId="0" applyFont="1" applyBorder="1" applyAlignment="1">
      <alignment horizontal="right" vertical="center"/>
    </xf>
    <xf numFmtId="0" fontId="13" fillId="0" borderId="8" xfId="0" applyFont="1" applyBorder="1" applyAlignment="1">
      <alignment horizontal="right" vertical="center"/>
    </xf>
    <xf numFmtId="0" fontId="13" fillId="0" borderId="58" xfId="0" applyFont="1" applyBorder="1" applyAlignment="1">
      <alignment horizontal="center" vertical="center" wrapText="1"/>
    </xf>
    <xf numFmtId="0" fontId="13" fillId="0" borderId="54" xfId="0" applyFont="1" applyBorder="1" applyAlignment="1">
      <alignment horizontal="center" vertical="center" wrapText="1"/>
    </xf>
    <xf numFmtId="0" fontId="13" fillId="0" borderId="48" xfId="0" applyFont="1" applyBorder="1" applyAlignment="1">
      <alignment horizontal="center" vertical="center" wrapText="1"/>
    </xf>
    <xf numFmtId="0" fontId="13" fillId="0" borderId="92" xfId="0" applyFont="1" applyBorder="1" applyAlignment="1">
      <alignment horizontal="center" vertical="center" wrapText="1"/>
    </xf>
    <xf numFmtId="0" fontId="13" fillId="0" borderId="93" xfId="0" applyFont="1" applyBorder="1" applyAlignment="1">
      <alignment horizontal="center" vertical="center" wrapText="1"/>
    </xf>
    <xf numFmtId="0" fontId="13" fillId="0" borderId="94" xfId="0" applyFont="1" applyBorder="1" applyAlignment="1">
      <alignment horizontal="center" vertical="center" wrapText="1"/>
    </xf>
    <xf numFmtId="0" fontId="15" fillId="7" borderId="49" xfId="0" applyFont="1" applyFill="1" applyBorder="1" applyAlignment="1">
      <alignment horizontal="center" vertical="center" wrapText="1"/>
    </xf>
    <xf numFmtId="0" fontId="15" fillId="7" borderId="51" xfId="0" applyFont="1" applyFill="1" applyBorder="1" applyAlignment="1">
      <alignment horizontal="center" vertical="center" wrapText="1"/>
    </xf>
    <xf numFmtId="0" fontId="15" fillId="7" borderId="35" xfId="0" applyFont="1" applyFill="1" applyBorder="1" applyAlignment="1">
      <alignment horizontal="center" vertical="center" wrapText="1"/>
    </xf>
    <xf numFmtId="0" fontId="15" fillId="7" borderId="32" xfId="0" applyFont="1" applyFill="1" applyBorder="1" applyAlignment="1">
      <alignment horizontal="center" vertical="center" wrapText="1"/>
    </xf>
    <xf numFmtId="0" fontId="15" fillId="7" borderId="36" xfId="0" applyFont="1" applyFill="1" applyBorder="1" applyAlignment="1">
      <alignment horizontal="center" vertical="center" wrapText="1"/>
    </xf>
    <xf numFmtId="0" fontId="15" fillId="7" borderId="33" xfId="0" applyFont="1" applyFill="1" applyBorder="1" applyAlignment="1">
      <alignment horizontal="center" vertical="center" wrapText="1"/>
    </xf>
    <xf numFmtId="0" fontId="15" fillId="7" borderId="43" xfId="0" applyFont="1" applyFill="1" applyBorder="1" applyAlignment="1">
      <alignment horizontal="center" vertical="center" wrapText="1"/>
    </xf>
    <xf numFmtId="0" fontId="15" fillId="7" borderId="44" xfId="0" applyFont="1" applyFill="1" applyBorder="1" applyAlignment="1">
      <alignment horizontal="center" vertical="center" wrapText="1"/>
    </xf>
    <xf numFmtId="0" fontId="15" fillId="7" borderId="29" xfId="0" applyFont="1" applyFill="1" applyBorder="1" applyAlignment="1">
      <alignment horizontal="center" vertical="center" wrapText="1"/>
    </xf>
    <xf numFmtId="0" fontId="15" fillId="7" borderId="30" xfId="0" applyFont="1" applyFill="1" applyBorder="1" applyAlignment="1">
      <alignment horizontal="center" vertical="center" wrapText="1"/>
    </xf>
    <xf numFmtId="0" fontId="15" fillId="7" borderId="31" xfId="0" applyFont="1" applyFill="1" applyBorder="1" applyAlignment="1">
      <alignment horizontal="center" vertical="center" wrapText="1"/>
    </xf>
    <xf numFmtId="0" fontId="13" fillId="10" borderId="77" xfId="0" applyFont="1" applyFill="1" applyBorder="1" applyAlignment="1">
      <alignment horizontal="right" vertical="center"/>
    </xf>
    <xf numFmtId="0" fontId="13" fillId="10" borderId="7" xfId="0" applyFont="1" applyFill="1" applyBorder="1" applyAlignment="1">
      <alignment horizontal="right" vertical="center"/>
    </xf>
    <xf numFmtId="0" fontId="13" fillId="10" borderId="8" xfId="0" applyFont="1" applyFill="1" applyBorder="1" applyAlignment="1">
      <alignment horizontal="right" vertical="center"/>
    </xf>
    <xf numFmtId="6" fontId="12" fillId="0" borderId="2" xfId="0" applyNumberFormat="1" applyFont="1" applyBorder="1" applyAlignment="1">
      <alignment horizontal="center" vertical="center"/>
    </xf>
    <xf numFmtId="0" fontId="13" fillId="21" borderId="9" xfId="0" applyFont="1" applyFill="1" applyBorder="1" applyAlignment="1">
      <alignment horizontal="center" vertical="center" wrapText="1"/>
    </xf>
    <xf numFmtId="0" fontId="13" fillId="21" borderId="13" xfId="0" applyFont="1" applyFill="1" applyBorder="1" applyAlignment="1">
      <alignment horizontal="center" vertical="center" wrapText="1"/>
    </xf>
    <xf numFmtId="0" fontId="13" fillId="20" borderId="2" xfId="0" applyFont="1" applyFill="1" applyBorder="1" applyAlignment="1">
      <alignment horizontal="center" vertical="center" wrapText="1"/>
    </xf>
    <xf numFmtId="6" fontId="26" fillId="0" borderId="2" xfId="0" applyNumberFormat="1" applyFont="1" applyBorder="1" applyAlignment="1">
      <alignment horizontal="center" vertical="center" wrapText="1"/>
    </xf>
    <xf numFmtId="0" fontId="13" fillId="22" borderId="2" xfId="0" applyFont="1" applyFill="1" applyBorder="1" applyAlignment="1">
      <alignment horizontal="center" vertical="center" wrapText="1"/>
    </xf>
    <xf numFmtId="0" fontId="13" fillId="19" borderId="66" xfId="0" applyFont="1" applyFill="1" applyBorder="1" applyAlignment="1">
      <alignment horizontal="center" vertical="center" wrapText="1"/>
    </xf>
    <xf numFmtId="0" fontId="13" fillId="19" borderId="68" xfId="0" applyFont="1" applyFill="1" applyBorder="1" applyAlignment="1">
      <alignment horizontal="center" vertical="center" wrapText="1"/>
    </xf>
    <xf numFmtId="6" fontId="26" fillId="0" borderId="9" xfId="0" applyNumberFormat="1" applyFont="1" applyBorder="1" applyAlignment="1">
      <alignment horizontal="center" vertical="center" wrapText="1"/>
    </xf>
    <xf numFmtId="0" fontId="26" fillId="0" borderId="15" xfId="0" applyFont="1" applyBorder="1" applyAlignment="1">
      <alignment horizontal="center" vertical="center" wrapText="1"/>
    </xf>
    <xf numFmtId="0" fontId="26" fillId="0" borderId="13" xfId="0" applyFont="1" applyBorder="1" applyAlignment="1">
      <alignment horizontal="center" vertical="center" wrapText="1"/>
    </xf>
    <xf numFmtId="0" fontId="13" fillId="19" borderId="81" xfId="0" applyFont="1" applyFill="1" applyBorder="1" applyAlignment="1">
      <alignment horizontal="center" vertical="center" wrapText="1"/>
    </xf>
    <xf numFmtId="0" fontId="13" fillId="19" borderId="82" xfId="0" applyFont="1" applyFill="1" applyBorder="1" applyAlignment="1">
      <alignment horizontal="center" vertical="center" wrapText="1"/>
    </xf>
    <xf numFmtId="0" fontId="13" fillId="19" borderId="83" xfId="0" applyFont="1" applyFill="1" applyBorder="1" applyAlignment="1">
      <alignment horizontal="center" vertical="center" wrapText="1"/>
    </xf>
    <xf numFmtId="0" fontId="13" fillId="21" borderId="66" xfId="0" applyFont="1" applyFill="1" applyBorder="1" applyAlignment="1">
      <alignment horizontal="center" vertical="center" wrapText="1"/>
    </xf>
    <xf numFmtId="0" fontId="0" fillId="0" borderId="9" xfId="0" applyBorder="1" applyAlignment="1">
      <alignment horizontal="center"/>
    </xf>
    <xf numFmtId="0" fontId="0" fillId="0" borderId="15" xfId="0" applyBorder="1" applyAlignment="1">
      <alignment horizontal="center"/>
    </xf>
    <xf numFmtId="0" fontId="0" fillId="0" borderId="13" xfId="0" applyBorder="1" applyAlignment="1">
      <alignment horizontal="center"/>
    </xf>
    <xf numFmtId="0" fontId="13" fillId="21" borderId="82" xfId="0" applyFont="1" applyFill="1" applyBorder="1" applyAlignment="1">
      <alignment horizontal="center" vertical="center" wrapText="1"/>
    </xf>
    <xf numFmtId="0" fontId="13" fillId="21" borderId="83" xfId="0" applyFont="1" applyFill="1" applyBorder="1" applyAlignment="1">
      <alignment horizontal="center" vertical="center" wrapText="1"/>
    </xf>
    <xf numFmtId="6" fontId="26" fillId="0" borderId="15" xfId="0" applyNumberFormat="1" applyFont="1" applyBorder="1" applyAlignment="1">
      <alignment horizontal="center" vertical="center" wrapText="1"/>
    </xf>
    <xf numFmtId="6" fontId="26" fillId="0" borderId="13" xfId="0" applyNumberFormat="1" applyFont="1" applyBorder="1" applyAlignment="1">
      <alignment horizontal="center" vertical="center" wrapText="1"/>
    </xf>
    <xf numFmtId="0" fontId="13" fillId="20" borderId="9" xfId="0" applyFont="1" applyFill="1" applyBorder="1" applyAlignment="1">
      <alignment horizontal="center" vertical="center" wrapText="1"/>
    </xf>
    <xf numFmtId="6" fontId="12" fillId="0" borderId="61" xfId="0" applyNumberFormat="1" applyFont="1" applyBorder="1" applyAlignment="1">
      <alignment horizontal="center" vertical="center"/>
    </xf>
    <xf numFmtId="6" fontId="12" fillId="0" borderId="64" xfId="0" applyNumberFormat="1" applyFont="1" applyBorder="1" applyAlignment="1">
      <alignment horizontal="center" vertical="center"/>
    </xf>
    <xf numFmtId="6" fontId="12" fillId="0" borderId="66" xfId="0" applyNumberFormat="1" applyFont="1" applyBorder="1" applyAlignment="1">
      <alignment horizontal="center" vertical="center"/>
    </xf>
    <xf numFmtId="6" fontId="12" fillId="0" borderId="68" xfId="0" applyNumberFormat="1" applyFont="1" applyBorder="1" applyAlignment="1">
      <alignment horizontal="center" vertical="center"/>
    </xf>
    <xf numFmtId="0" fontId="13" fillId="16" borderId="61" xfId="0" applyFont="1" applyFill="1" applyBorder="1" applyAlignment="1">
      <alignment horizontal="center"/>
    </xf>
    <xf numFmtId="0" fontId="13" fillId="19" borderId="61" xfId="0" applyFont="1" applyFill="1" applyBorder="1" applyAlignment="1">
      <alignment horizontal="center" vertical="center"/>
    </xf>
    <xf numFmtId="0" fontId="13" fillId="19" borderId="61" xfId="0" applyFont="1" applyFill="1" applyBorder="1" applyAlignment="1">
      <alignment horizontal="center" vertical="center" wrapText="1"/>
    </xf>
    <xf numFmtId="0" fontId="13" fillId="19" borderId="64" xfId="0" applyFont="1" applyFill="1" applyBorder="1" applyAlignment="1">
      <alignment horizontal="center" vertical="center" wrapText="1"/>
    </xf>
    <xf numFmtId="0" fontId="13" fillId="16" borderId="64" xfId="0" applyFont="1" applyFill="1" applyBorder="1" applyAlignment="1">
      <alignment horizontal="center"/>
    </xf>
    <xf numFmtId="6" fontId="12" fillId="0" borderId="62" xfId="0" applyNumberFormat="1" applyFont="1" applyBorder="1" applyAlignment="1">
      <alignment horizontal="center" vertical="center"/>
    </xf>
    <xf numFmtId="0" fontId="13" fillId="19" borderId="62" xfId="0" applyFont="1" applyFill="1" applyBorder="1" applyAlignment="1">
      <alignment horizontal="center" vertical="center" wrapText="1"/>
    </xf>
    <xf numFmtId="0" fontId="13" fillId="19" borderId="69" xfId="0" applyFont="1" applyFill="1" applyBorder="1" applyAlignment="1">
      <alignment horizontal="center" vertical="center" wrapText="1"/>
    </xf>
    <xf numFmtId="0" fontId="13" fillId="23" borderId="61" xfId="0" applyFont="1" applyFill="1" applyBorder="1" applyAlignment="1">
      <alignment horizontal="center" vertical="center" wrapText="1"/>
    </xf>
    <xf numFmtId="0" fontId="13" fillId="23" borderId="64" xfId="0" applyFont="1" applyFill="1" applyBorder="1" applyAlignment="1">
      <alignment horizontal="center" vertical="center" wrapText="1"/>
    </xf>
    <xf numFmtId="6" fontId="12" fillId="8" borderId="61" xfId="0" applyNumberFormat="1" applyFont="1" applyFill="1" applyBorder="1" applyAlignment="1">
      <alignment horizontal="center" vertical="center"/>
    </xf>
    <xf numFmtId="0" fontId="13" fillId="8" borderId="22" xfId="0" applyFont="1" applyFill="1" applyBorder="1" applyAlignment="1">
      <alignment horizontal="center"/>
    </xf>
    <xf numFmtId="0" fontId="13" fillId="8" borderId="24" xfId="0" applyFont="1" applyFill="1" applyBorder="1" applyAlignment="1">
      <alignment horizontal="center"/>
    </xf>
    <xf numFmtId="0" fontId="13" fillId="8" borderId="6" xfId="0" applyFont="1" applyFill="1" applyBorder="1" applyAlignment="1">
      <alignment horizontal="center"/>
    </xf>
    <xf numFmtId="0" fontId="13" fillId="8" borderId="7" xfId="0" applyFont="1" applyFill="1" applyBorder="1" applyAlignment="1">
      <alignment horizontal="center"/>
    </xf>
    <xf numFmtId="0" fontId="13" fillId="8" borderId="8" xfId="0" applyFont="1" applyFill="1" applyBorder="1" applyAlignment="1">
      <alignment horizontal="center"/>
    </xf>
    <xf numFmtId="0" fontId="0" fillId="0" borderId="0" xfId="0" applyAlignment="1">
      <alignment horizontal="center" vertical="center" wrapText="1"/>
    </xf>
    <xf numFmtId="0" fontId="0" fillId="0" borderId="22" xfId="0" applyBorder="1" applyAlignment="1">
      <alignment horizontal="center" vertical="center" wrapText="1"/>
    </xf>
    <xf numFmtId="0" fontId="13" fillId="0" borderId="2" xfId="0" applyFont="1" applyBorder="1" applyAlignment="1">
      <alignment horizontal="center"/>
    </xf>
    <xf numFmtId="0" fontId="0" fillId="0" borderId="2" xfId="0" applyBorder="1" applyAlignment="1">
      <alignment horizontal="center"/>
    </xf>
    <xf numFmtId="0" fontId="12" fillId="0" borderId="0" xfId="0" applyFont="1" applyAlignment="1">
      <alignment horizontal="left" vertical="center" wrapText="1"/>
    </xf>
    <xf numFmtId="0" fontId="13" fillId="7" borderId="6" xfId="0" applyFont="1" applyFill="1" applyBorder="1" applyAlignment="1">
      <alignment horizontal="left"/>
    </xf>
    <xf numFmtId="0" fontId="13" fillId="7" borderId="8" xfId="0" applyFont="1" applyFill="1" applyBorder="1" applyAlignment="1">
      <alignment horizontal="left"/>
    </xf>
    <xf numFmtId="0" fontId="13" fillId="8" borderId="2" xfId="0" applyFont="1" applyFill="1" applyBorder="1" applyAlignment="1">
      <alignment horizontal="center"/>
    </xf>
    <xf numFmtId="0" fontId="19" fillId="8" borderId="22" xfId="0" applyFont="1" applyFill="1" applyBorder="1" applyAlignment="1">
      <alignment horizontal="center"/>
    </xf>
    <xf numFmtId="0" fontId="19" fillId="8" borderId="2" xfId="0" applyFont="1" applyFill="1" applyBorder="1" applyAlignment="1">
      <alignment horizontal="center"/>
    </xf>
    <xf numFmtId="0" fontId="12" fillId="7" borderId="2" xfId="0" applyFont="1" applyFill="1" applyBorder="1" applyAlignment="1">
      <alignment horizontal="center"/>
    </xf>
    <xf numFmtId="0" fontId="12" fillId="8" borderId="70" xfId="0" applyFont="1" applyFill="1" applyBorder="1" applyAlignment="1">
      <alignment horizontal="center"/>
    </xf>
    <xf numFmtId="0" fontId="12" fillId="8" borderId="0" xfId="0" applyFont="1" applyFill="1" applyAlignment="1">
      <alignment horizontal="center"/>
    </xf>
    <xf numFmtId="0" fontId="12" fillId="2" borderId="2" xfId="0" applyFont="1" applyFill="1" applyBorder="1" applyAlignment="1">
      <alignment horizontal="center"/>
    </xf>
    <xf numFmtId="0" fontId="12" fillId="8" borderId="2" xfId="0" applyFont="1" applyFill="1" applyBorder="1" applyAlignment="1">
      <alignment horizontal="center"/>
    </xf>
    <xf numFmtId="0" fontId="12" fillId="9" borderId="2" xfId="0" applyFont="1" applyFill="1" applyBorder="1" applyAlignment="1">
      <alignment horizontal="center" wrapText="1"/>
    </xf>
    <xf numFmtId="0" fontId="13" fillId="7" borderId="2" xfId="0" applyFont="1" applyFill="1" applyBorder="1" applyAlignment="1">
      <alignment horizontal="center"/>
    </xf>
    <xf numFmtId="0" fontId="12" fillId="0" borderId="2" xfId="0" applyFont="1" applyBorder="1" applyAlignment="1">
      <alignment horizontal="left"/>
    </xf>
    <xf numFmtId="0" fontId="13" fillId="7" borderId="6" xfId="0" applyFont="1" applyFill="1" applyBorder="1" applyAlignment="1">
      <alignment horizontal="center"/>
    </xf>
    <xf numFmtId="0" fontId="13" fillId="7" borderId="7" xfId="0" applyFont="1" applyFill="1" applyBorder="1" applyAlignment="1">
      <alignment horizontal="center"/>
    </xf>
    <xf numFmtId="0" fontId="13" fillId="7" borderId="8" xfId="0" applyFont="1" applyFill="1" applyBorder="1" applyAlignment="1">
      <alignment horizontal="center"/>
    </xf>
    <xf numFmtId="0" fontId="21" fillId="0" borderId="0" xfId="0" applyFont="1" applyAlignment="1">
      <alignment horizontal="center"/>
    </xf>
    <xf numFmtId="0" fontId="32" fillId="0" borderId="6" xfId="24" applyFont="1" applyBorder="1" applyAlignment="1">
      <alignment horizontal="center" vertical="center" wrapText="1"/>
    </xf>
    <xf numFmtId="0" fontId="32" fillId="0" borderId="8" xfId="24" applyFont="1" applyBorder="1" applyAlignment="1">
      <alignment horizontal="center" vertical="center" wrapText="1"/>
    </xf>
    <xf numFmtId="0" fontId="19" fillId="0" borderId="77" xfId="25" applyFont="1" applyBorder="1" applyAlignment="1">
      <alignment horizontal="left" vertical="center" wrapText="1"/>
    </xf>
    <xf numFmtId="0" fontId="19" fillId="0" borderId="7" xfId="25" applyFont="1" applyBorder="1" applyAlignment="1">
      <alignment horizontal="left" vertical="center" wrapText="1"/>
    </xf>
    <xf numFmtId="0" fontId="19" fillId="0" borderId="78" xfId="25" applyFont="1" applyBorder="1" applyAlignment="1">
      <alignment horizontal="left" vertical="center" wrapText="1"/>
    </xf>
    <xf numFmtId="0" fontId="19" fillId="0" borderId="79" xfId="25" applyFont="1" applyBorder="1" applyAlignment="1">
      <alignment horizontal="left" vertical="center" wrapText="1"/>
    </xf>
    <xf numFmtId="0" fontId="12" fillId="0" borderId="0" xfId="25" applyAlignment="1">
      <alignment horizontal="left" vertical="center" wrapText="1"/>
    </xf>
    <xf numFmtId="0" fontId="19" fillId="0" borderId="29" xfId="25" applyFont="1" applyBorder="1" applyAlignment="1">
      <alignment horizontal="left" vertical="center" wrapText="1"/>
    </xf>
    <xf numFmtId="0" fontId="19" fillId="0" borderId="30" xfId="25" applyFont="1" applyBorder="1" applyAlignment="1">
      <alignment horizontal="left" vertical="center" wrapText="1"/>
    </xf>
    <xf numFmtId="0" fontId="46" fillId="27" borderId="0" xfId="24" applyFont="1" applyFill="1" applyAlignment="1">
      <alignment horizontal="center" vertical="center" wrapText="1"/>
    </xf>
    <xf numFmtId="0" fontId="47" fillId="27" borderId="0" xfId="24" applyFont="1" applyFill="1" applyAlignment="1">
      <alignment horizontal="center" vertical="center" wrapText="1" shrinkToFit="1"/>
    </xf>
    <xf numFmtId="0" fontId="13" fillId="0" borderId="58" xfId="25" applyFont="1" applyBorder="1" applyAlignment="1">
      <alignment horizontal="center" vertical="center" wrapText="1"/>
    </xf>
    <xf numFmtId="0" fontId="13" fillId="0" borderId="54" xfId="25" applyFont="1" applyBorder="1" applyAlignment="1">
      <alignment horizontal="center" vertical="center" wrapText="1"/>
    </xf>
    <xf numFmtId="0" fontId="13" fillId="0" borderId="48" xfId="25" applyFont="1" applyBorder="1" applyAlignment="1">
      <alignment horizontal="center" vertical="center" wrapText="1"/>
    </xf>
    <xf numFmtId="0" fontId="13" fillId="0" borderId="45" xfId="25" applyFont="1" applyBorder="1" applyAlignment="1">
      <alignment horizontal="left" vertical="center" wrapText="1"/>
    </xf>
    <xf numFmtId="0" fontId="13" fillId="0" borderId="54" xfId="25" applyFont="1" applyBorder="1" applyAlignment="1">
      <alignment horizontal="left" vertical="center" wrapText="1"/>
    </xf>
    <xf numFmtId="0" fontId="19" fillId="0" borderId="58" xfId="25" applyFont="1" applyBorder="1" applyAlignment="1">
      <alignment horizontal="left" vertical="center" wrapText="1"/>
    </xf>
    <xf numFmtId="0" fontId="19" fillId="0" borderId="54" xfId="25" applyFont="1" applyBorder="1" applyAlignment="1">
      <alignment horizontal="left" vertical="center" wrapText="1"/>
    </xf>
    <xf numFmtId="0" fontId="32" fillId="8" borderId="0" xfId="9" applyFont="1" applyFill="1" applyAlignment="1">
      <alignment horizontal="center"/>
    </xf>
    <xf numFmtId="0" fontId="11" fillId="0" borderId="35" xfId="9" applyBorder="1" applyAlignment="1">
      <alignment horizontal="center" vertical="center"/>
    </xf>
    <xf numFmtId="0" fontId="11" fillId="0" borderId="32" xfId="9" applyBorder="1" applyAlignment="1">
      <alignment horizontal="center" vertical="center"/>
    </xf>
    <xf numFmtId="0" fontId="11" fillId="0" borderId="36" xfId="9" applyBorder="1" applyAlignment="1">
      <alignment horizontal="center"/>
    </xf>
    <xf numFmtId="0" fontId="11" fillId="0" borderId="37" xfId="9" applyBorder="1" applyAlignment="1">
      <alignment horizontal="center"/>
    </xf>
    <xf numFmtId="0" fontId="32" fillId="8" borderId="2" xfId="9" applyFont="1" applyFill="1" applyBorder="1" applyAlignment="1">
      <alignment horizontal="center"/>
    </xf>
    <xf numFmtId="0" fontId="60" fillId="0" borderId="0" xfId="48" applyFont="1" applyAlignment="1">
      <alignment horizontal="left" vertical="center" wrapText="1"/>
    </xf>
    <xf numFmtId="0" fontId="55" fillId="0" borderId="136" xfId="48" applyFont="1" applyBorder="1" applyAlignment="1">
      <alignment horizontal="center" vertical="center" wrapText="1"/>
    </xf>
    <xf numFmtId="0" fontId="55" fillId="0" borderId="137" xfId="48" applyFont="1" applyBorder="1" applyAlignment="1">
      <alignment horizontal="center" vertical="center" wrapText="1"/>
    </xf>
    <xf numFmtId="0" fontId="55" fillId="0" borderId="138" xfId="48" applyFont="1" applyBorder="1" applyAlignment="1">
      <alignment horizontal="center" vertical="center" wrapText="1"/>
    </xf>
    <xf numFmtId="0" fontId="55" fillId="24" borderId="142" xfId="48" applyFont="1" applyFill="1" applyBorder="1" applyAlignment="1">
      <alignment horizontal="right" vertical="center" wrapText="1"/>
    </xf>
    <xf numFmtId="0" fontId="55" fillId="24" borderId="143" xfId="48" applyFont="1" applyFill="1" applyBorder="1" applyAlignment="1">
      <alignment horizontal="right" vertical="center" wrapText="1"/>
    </xf>
    <xf numFmtId="0" fontId="55" fillId="24" borderId="163" xfId="48" applyFont="1" applyFill="1" applyBorder="1" applyAlignment="1">
      <alignment horizontal="right" vertical="center" wrapText="1"/>
    </xf>
    <xf numFmtId="0" fontId="55" fillId="0" borderId="136" xfId="48" applyFont="1" applyBorder="1" applyAlignment="1">
      <alignment horizontal="right" vertical="center" wrapText="1"/>
    </xf>
    <xf numFmtId="0" fontId="55" fillId="0" borderId="137" xfId="48" applyFont="1" applyBorder="1" applyAlignment="1">
      <alignment horizontal="right" vertical="center" wrapText="1"/>
    </xf>
    <xf numFmtId="0" fontId="55" fillId="0" borderId="138" xfId="48" applyFont="1" applyBorder="1" applyAlignment="1">
      <alignment horizontal="right" vertical="center" wrapText="1"/>
    </xf>
    <xf numFmtId="0" fontId="54" fillId="0" borderId="142" xfId="48" applyFont="1" applyBorder="1" applyAlignment="1">
      <alignment horizontal="center" vertical="center" wrapText="1"/>
    </xf>
    <xf numFmtId="0" fontId="54" fillId="0" borderId="137" xfId="48" applyFont="1" applyBorder="1" applyAlignment="1">
      <alignment horizontal="center" vertical="center" wrapText="1"/>
    </xf>
    <xf numFmtId="0" fontId="54" fillId="0" borderId="138" xfId="48" applyFont="1" applyBorder="1" applyAlignment="1">
      <alignment horizontal="center" vertical="center" wrapText="1"/>
    </xf>
    <xf numFmtId="0" fontId="55" fillId="0" borderId="164" xfId="48" applyFont="1" applyBorder="1" applyAlignment="1">
      <alignment horizontal="left" vertical="center" wrapText="1"/>
    </xf>
    <xf numFmtId="0" fontId="54" fillId="0" borderId="0" xfId="48" applyFont="1" applyAlignment="1">
      <alignment horizontal="left" vertical="center" wrapText="1"/>
    </xf>
    <xf numFmtId="0" fontId="55" fillId="38" borderId="136" xfId="48" applyFont="1" applyFill="1" applyBorder="1" applyAlignment="1">
      <alignment horizontal="center" vertical="center" wrapText="1"/>
    </xf>
    <xf numFmtId="0" fontId="55" fillId="38" borderId="137" xfId="48" applyFont="1" applyFill="1" applyBorder="1" applyAlignment="1">
      <alignment horizontal="center" vertical="center" wrapText="1"/>
    </xf>
    <xf numFmtId="0" fontId="55" fillId="38" borderId="138" xfId="48" applyFont="1" applyFill="1" applyBorder="1" applyAlignment="1">
      <alignment horizontal="center" vertical="center" wrapText="1"/>
    </xf>
    <xf numFmtId="0" fontId="55" fillId="0" borderId="58" xfId="48" applyFont="1" applyBorder="1" applyAlignment="1">
      <alignment horizontal="center" vertical="center" wrapText="1"/>
    </xf>
    <xf numFmtId="0" fontId="55" fillId="0" borderId="54" xfId="48" applyFont="1" applyBorder="1" applyAlignment="1">
      <alignment horizontal="center" vertical="center" wrapText="1"/>
    </xf>
    <xf numFmtId="0" fontId="55" fillId="0" borderId="48" xfId="48" applyFont="1" applyBorder="1" applyAlignment="1">
      <alignment horizontal="center" vertical="center" wrapText="1"/>
    </xf>
    <xf numFmtId="0" fontId="55" fillId="24" borderId="158" xfId="48" applyFont="1" applyFill="1" applyBorder="1" applyAlignment="1">
      <alignment horizontal="right" vertical="center" wrapText="1"/>
    </xf>
    <xf numFmtId="0" fontId="55" fillId="24" borderId="0" xfId="48" applyFont="1" applyFill="1" applyAlignment="1">
      <alignment horizontal="right" vertical="center" wrapText="1"/>
    </xf>
    <xf numFmtId="0" fontId="55" fillId="24" borderId="159" xfId="48" applyFont="1" applyFill="1" applyBorder="1" applyAlignment="1">
      <alignment horizontal="right" vertical="center" wrapText="1"/>
    </xf>
    <xf numFmtId="0" fontId="55" fillId="24" borderId="133" xfId="48" applyFont="1" applyFill="1" applyBorder="1" applyAlignment="1">
      <alignment horizontal="right" vertical="center" wrapText="1"/>
    </xf>
    <xf numFmtId="0" fontId="55" fillId="24" borderId="134" xfId="48" applyFont="1" applyFill="1" applyBorder="1" applyAlignment="1">
      <alignment horizontal="right" vertical="center" wrapText="1"/>
    </xf>
    <xf numFmtId="0" fontId="55" fillId="24" borderId="135" xfId="48" applyFont="1" applyFill="1" applyBorder="1" applyAlignment="1">
      <alignment horizontal="right" vertical="center" wrapText="1"/>
    </xf>
    <xf numFmtId="0" fontId="54" fillId="0" borderId="89" xfId="48" applyFont="1" applyBorder="1" applyAlignment="1">
      <alignment horizontal="center" vertical="center" wrapText="1"/>
    </xf>
    <xf numFmtId="0" fontId="54" fillId="0" borderId="95" xfId="48" applyFont="1" applyBorder="1" applyAlignment="1">
      <alignment horizontal="center" vertical="center" wrapText="1"/>
    </xf>
    <xf numFmtId="0" fontId="54" fillId="0" borderId="48" xfId="48" applyFont="1" applyBorder="1" applyAlignment="1">
      <alignment horizontal="center" vertical="center" wrapText="1"/>
    </xf>
    <xf numFmtId="0" fontId="54" fillId="0" borderId="136" xfId="48" applyFont="1" applyBorder="1" applyAlignment="1">
      <alignment horizontal="center" vertical="center" wrapText="1"/>
    </xf>
    <xf numFmtId="0" fontId="55" fillId="37" borderId="136" xfId="48" applyFont="1" applyFill="1" applyBorder="1" applyAlignment="1">
      <alignment horizontal="center" vertical="center" wrapText="1"/>
    </xf>
    <xf numFmtId="0" fontId="75" fillId="0" borderId="137" xfId="48" applyFont="1" applyBorder="1"/>
    <xf numFmtId="0" fontId="75" fillId="0" borderId="138" xfId="48" applyFont="1" applyBorder="1"/>
    <xf numFmtId="0" fontId="52" fillId="0" borderId="54" xfId="48" applyBorder="1"/>
    <xf numFmtId="0" fontId="52" fillId="0" borderId="48" xfId="48" applyBorder="1"/>
    <xf numFmtId="0" fontId="70" fillId="37" borderId="133" xfId="48" applyFont="1" applyFill="1" applyBorder="1" applyAlignment="1">
      <alignment horizontal="center" vertical="center"/>
    </xf>
    <xf numFmtId="0" fontId="75" fillId="0" borderId="134" xfId="48" applyFont="1" applyBorder="1"/>
    <xf numFmtId="0" fontId="75" fillId="0" borderId="135" xfId="48" applyFont="1" applyBorder="1"/>
    <xf numFmtId="0" fontId="70" fillId="37" borderId="136" xfId="48" applyFont="1" applyFill="1" applyBorder="1" applyAlignment="1">
      <alignment horizontal="center" vertical="center"/>
    </xf>
    <xf numFmtId="0" fontId="70" fillId="37" borderId="137" xfId="48" applyFont="1" applyFill="1" applyBorder="1" applyAlignment="1">
      <alignment horizontal="center" vertical="center"/>
    </xf>
    <xf numFmtId="0" fontId="70" fillId="37" borderId="138" xfId="48" applyFont="1" applyFill="1" applyBorder="1" applyAlignment="1">
      <alignment horizontal="center" vertical="center"/>
    </xf>
    <xf numFmtId="0" fontId="55" fillId="37" borderId="142" xfId="48" applyFont="1" applyFill="1" applyBorder="1" applyAlignment="1">
      <alignment horizontal="center" vertical="center" wrapText="1"/>
    </xf>
    <xf numFmtId="0" fontId="75" fillId="0" borderId="143" xfId="48" applyFont="1" applyBorder="1"/>
    <xf numFmtId="0" fontId="62" fillId="0" borderId="58" xfId="38" applyFont="1" applyBorder="1" applyAlignment="1">
      <alignment horizontal="right"/>
    </xf>
    <xf numFmtId="0" fontId="62" fillId="0" borderId="54" xfId="38" applyFont="1" applyBorder="1" applyAlignment="1">
      <alignment horizontal="right"/>
    </xf>
    <xf numFmtId="0" fontId="62" fillId="0" borderId="48" xfId="38" applyFont="1" applyBorder="1" applyAlignment="1">
      <alignment horizontal="right"/>
    </xf>
    <xf numFmtId="0" fontId="13" fillId="0" borderId="20" xfId="38" applyFont="1" applyBorder="1" applyAlignment="1">
      <alignment horizontal="center" wrapText="1"/>
    </xf>
    <xf numFmtId="0" fontId="13" fillId="0" borderId="21" xfId="38" applyFont="1" applyBorder="1" applyAlignment="1">
      <alignment horizontal="center" wrapText="1"/>
    </xf>
    <xf numFmtId="0" fontId="13" fillId="0" borderId="19" xfId="38" applyFont="1" applyBorder="1" applyAlignment="1">
      <alignment horizontal="center" wrapText="1"/>
    </xf>
    <xf numFmtId="0" fontId="62" fillId="0" borderId="119" xfId="38" applyFont="1" applyBorder="1" applyAlignment="1">
      <alignment horizontal="center" vertical="center"/>
    </xf>
    <xf numFmtId="0" fontId="62" fillId="0" borderId="0" xfId="38" applyFont="1" applyAlignment="1">
      <alignment horizontal="center" vertical="center"/>
    </xf>
    <xf numFmtId="0" fontId="62" fillId="0" borderId="120" xfId="38" applyFont="1" applyBorder="1" applyAlignment="1">
      <alignment horizontal="center" vertical="center"/>
    </xf>
    <xf numFmtId="0" fontId="62" fillId="0" borderId="119" xfId="38" applyFont="1" applyBorder="1" applyAlignment="1">
      <alignment horizontal="center"/>
    </xf>
    <xf numFmtId="0" fontId="62" fillId="0" borderId="0" xfId="38" applyFont="1" applyAlignment="1">
      <alignment horizontal="center"/>
    </xf>
    <xf numFmtId="0" fontId="12" fillId="0" borderId="0" xfId="40" applyAlignment="1">
      <alignment horizontal="left" vertical="center" wrapText="1"/>
    </xf>
    <xf numFmtId="0" fontId="12" fillId="0" borderId="0" xfId="38" applyAlignment="1">
      <alignment horizontal="left" vertical="center" wrapText="1"/>
    </xf>
    <xf numFmtId="0" fontId="78" fillId="0" borderId="58" xfId="51" applyFont="1" applyBorder="1" applyAlignment="1">
      <alignment horizontal="center" wrapText="1"/>
    </xf>
    <xf numFmtId="0" fontId="78" fillId="0" borderId="54" xfId="51" applyFont="1" applyBorder="1" applyAlignment="1">
      <alignment horizontal="center" wrapText="1"/>
    </xf>
    <xf numFmtId="0" fontId="78" fillId="0" borderId="48" xfId="51" applyFont="1" applyBorder="1" applyAlignment="1">
      <alignment horizontal="center" wrapText="1"/>
    </xf>
    <xf numFmtId="0" fontId="78" fillId="0" borderId="9" xfId="60" applyFont="1" applyBorder="1" applyAlignment="1">
      <alignment horizontal="center" vertical="center" wrapText="1"/>
    </xf>
    <xf numFmtId="0" fontId="78" fillId="0" borderId="15" xfId="60" applyFont="1" applyBorder="1" applyAlignment="1">
      <alignment horizontal="center" vertical="center" wrapText="1"/>
    </xf>
    <xf numFmtId="0" fontId="78" fillId="0" borderId="13" xfId="60" applyFont="1" applyBorder="1" applyAlignment="1">
      <alignment horizontal="center" vertical="center" wrapText="1"/>
    </xf>
    <xf numFmtId="0" fontId="77" fillId="0" borderId="2" xfId="60" applyFont="1" applyBorder="1" applyAlignment="1">
      <alignment horizontal="right"/>
    </xf>
    <xf numFmtId="0" fontId="78" fillId="0" borderId="2" xfId="60" applyFont="1" applyBorder="1" applyAlignment="1">
      <alignment vertical="center" wrapText="1"/>
    </xf>
    <xf numFmtId="0" fontId="82" fillId="41" borderId="20" xfId="60" applyFont="1" applyFill="1" applyBorder="1" applyAlignment="1">
      <alignment horizontal="center" vertical="center" wrapText="1"/>
    </xf>
    <xf numFmtId="0" fontId="82" fillId="41" borderId="21" xfId="60" applyFont="1" applyFill="1" applyBorder="1" applyAlignment="1">
      <alignment horizontal="center" vertical="center" wrapText="1"/>
    </xf>
    <xf numFmtId="0" fontId="82" fillId="41" borderId="19" xfId="60" applyFont="1" applyFill="1" applyBorder="1" applyAlignment="1">
      <alignment horizontal="center" vertical="center" wrapText="1"/>
    </xf>
    <xf numFmtId="0" fontId="82" fillId="0" borderId="177" xfId="60" applyFont="1" applyBorder="1" applyAlignment="1">
      <alignment horizontal="center" vertical="center"/>
    </xf>
    <xf numFmtId="0" fontId="82" fillId="0" borderId="97" xfId="60" applyFont="1" applyBorder="1" applyAlignment="1">
      <alignment horizontal="center" vertical="center"/>
    </xf>
    <xf numFmtId="0" fontId="82" fillId="0" borderId="178" xfId="60" applyFont="1" applyBorder="1" applyAlignment="1">
      <alignment horizontal="center" vertical="center"/>
    </xf>
    <xf numFmtId="0" fontId="83" fillId="10" borderId="179" xfId="60" applyFont="1" applyFill="1" applyBorder="1" applyAlignment="1">
      <alignment horizontal="center" vertical="center"/>
    </xf>
    <xf numFmtId="0" fontId="83" fillId="10" borderId="98" xfId="60" applyFont="1" applyFill="1" applyBorder="1" applyAlignment="1">
      <alignment horizontal="center" vertical="center"/>
    </xf>
    <xf numFmtId="0" fontId="83" fillId="10" borderId="180" xfId="60" applyFont="1" applyFill="1" applyBorder="1" applyAlignment="1">
      <alignment horizontal="center" vertical="center"/>
    </xf>
    <xf numFmtId="0" fontId="33" fillId="11" borderId="183" xfId="60" applyFont="1" applyFill="1" applyBorder="1" applyAlignment="1">
      <alignment horizontal="center" vertical="center"/>
    </xf>
    <xf numFmtId="0" fontId="33" fillId="11" borderId="184" xfId="60" applyFont="1" applyFill="1" applyBorder="1" applyAlignment="1">
      <alignment horizontal="center" vertical="center"/>
    </xf>
    <xf numFmtId="0" fontId="33" fillId="11" borderId="177" xfId="60" applyFont="1" applyFill="1" applyBorder="1" applyAlignment="1">
      <alignment horizontal="center" vertical="center"/>
    </xf>
    <xf numFmtId="0" fontId="32" fillId="10" borderId="66" xfId="60" applyFont="1" applyFill="1" applyBorder="1" applyAlignment="1">
      <alignment horizontal="center" vertical="center" wrapText="1"/>
    </xf>
    <xf numFmtId="0" fontId="32" fillId="10" borderId="98" xfId="60" applyFont="1" applyFill="1" applyBorder="1" applyAlignment="1">
      <alignment horizontal="center" vertical="center" wrapText="1"/>
    </xf>
    <xf numFmtId="0" fontId="32" fillId="10" borderId="180" xfId="60" applyFont="1" applyFill="1" applyBorder="1" applyAlignment="1">
      <alignment horizontal="center" vertical="center" wrapText="1"/>
    </xf>
    <xf numFmtId="0" fontId="84" fillId="11" borderId="66" xfId="60" applyFont="1" applyFill="1" applyBorder="1" applyAlignment="1">
      <alignment horizontal="center" vertical="center" wrapText="1"/>
    </xf>
    <xf numFmtId="0" fontId="84" fillId="11" borderId="98" xfId="60" applyFont="1" applyFill="1" applyBorder="1" applyAlignment="1">
      <alignment horizontal="center" vertical="center" wrapText="1"/>
    </xf>
    <xf numFmtId="0" fontId="84" fillId="11" borderId="67" xfId="60" applyFont="1" applyFill="1" applyBorder="1" applyAlignment="1">
      <alignment horizontal="center" vertical="center" wrapText="1"/>
    </xf>
    <xf numFmtId="42" fontId="32" fillId="0" borderId="81" xfId="60" applyNumberFormat="1" applyFont="1" applyBorder="1" applyAlignment="1">
      <alignment horizontal="center" vertical="center"/>
    </xf>
    <xf numFmtId="42" fontId="32" fillId="0" borderId="82" xfId="60" applyNumberFormat="1" applyFont="1" applyBorder="1" applyAlignment="1">
      <alignment horizontal="center" vertical="center"/>
    </xf>
    <xf numFmtId="42" fontId="32" fillId="0" borderId="83" xfId="60" applyNumberFormat="1" applyFont="1" applyBorder="1" applyAlignment="1">
      <alignment horizontal="center" vertical="center"/>
    </xf>
    <xf numFmtId="0" fontId="83" fillId="11" borderId="183" xfId="60" applyFont="1" applyFill="1" applyBorder="1" applyAlignment="1">
      <alignment horizontal="center" vertical="center"/>
    </xf>
    <xf numFmtId="0" fontId="83" fillId="11" borderId="119" xfId="60" applyFont="1" applyFill="1" applyBorder="1" applyAlignment="1">
      <alignment horizontal="center" vertical="center"/>
    </xf>
    <xf numFmtId="0" fontId="84" fillId="11" borderId="63" xfId="60" applyFont="1" applyFill="1" applyBorder="1" applyAlignment="1">
      <alignment horizontal="center" vertical="center" wrapText="1"/>
    </xf>
    <xf numFmtId="0" fontId="84" fillId="11" borderId="0" xfId="60" applyFont="1" applyFill="1" applyAlignment="1">
      <alignment horizontal="center" vertical="center" wrapText="1"/>
    </xf>
    <xf numFmtId="0" fontId="84" fillId="11" borderId="123" xfId="60" applyFont="1" applyFill="1" applyBorder="1" applyAlignment="1">
      <alignment horizontal="center" vertical="center" wrapText="1"/>
    </xf>
    <xf numFmtId="42" fontId="32" fillId="0" borderId="182" xfId="60" applyNumberFormat="1" applyFont="1" applyBorder="1" applyAlignment="1">
      <alignment horizontal="center" vertical="center"/>
    </xf>
    <xf numFmtId="42" fontId="32" fillId="0" borderId="180" xfId="60" applyNumberFormat="1" applyFont="1" applyBorder="1" applyAlignment="1">
      <alignment horizontal="center" vertical="center"/>
    </xf>
    <xf numFmtId="0" fontId="33" fillId="11" borderId="185" xfId="60" applyFont="1" applyFill="1" applyBorder="1" applyAlignment="1">
      <alignment horizontal="center" vertical="center"/>
    </xf>
    <xf numFmtId="0" fontId="33" fillId="11" borderId="119" xfId="60" applyFont="1" applyFill="1" applyBorder="1" applyAlignment="1">
      <alignment horizontal="center" vertical="center"/>
    </xf>
    <xf numFmtId="0" fontId="84" fillId="11" borderId="61" xfId="60" applyFont="1" applyFill="1" applyBorder="1" applyAlignment="1">
      <alignment horizontal="center" vertical="center" wrapText="1"/>
    </xf>
    <xf numFmtId="0" fontId="83" fillId="11" borderId="185" xfId="60" applyFont="1" applyFill="1" applyBorder="1" applyAlignment="1">
      <alignment horizontal="center" vertical="center"/>
    </xf>
    <xf numFmtId="0" fontId="83" fillId="11" borderId="177" xfId="60" applyFont="1" applyFill="1" applyBorder="1" applyAlignment="1">
      <alignment horizontal="center" vertical="center"/>
    </xf>
    <xf numFmtId="0" fontId="84" fillId="11" borderId="2" xfId="60" applyFont="1" applyFill="1" applyBorder="1" applyAlignment="1">
      <alignment horizontal="center" vertical="center" wrapText="1"/>
    </xf>
    <xf numFmtId="42" fontId="32" fillId="0" borderId="2" xfId="60" applyNumberFormat="1" applyFont="1" applyBorder="1" applyAlignment="1">
      <alignment horizontal="center" vertical="center"/>
    </xf>
    <xf numFmtId="0" fontId="32" fillId="10" borderId="63" xfId="60" applyFont="1" applyFill="1" applyBorder="1" applyAlignment="1">
      <alignment horizontal="center" vertical="center" wrapText="1"/>
    </xf>
    <xf numFmtId="0" fontId="32" fillId="10" borderId="0" xfId="60" applyFont="1" applyFill="1" applyAlignment="1">
      <alignment horizontal="center" vertical="center" wrapText="1"/>
    </xf>
    <xf numFmtId="0" fontId="83" fillId="11" borderId="2" xfId="60" applyFont="1" applyFill="1" applyBorder="1" applyAlignment="1">
      <alignment horizontal="center" vertical="center"/>
    </xf>
    <xf numFmtId="42" fontId="32" fillId="0" borderId="19" xfId="60" applyNumberFormat="1" applyFont="1" applyBorder="1" applyAlignment="1">
      <alignment horizontal="center" vertical="center"/>
    </xf>
    <xf numFmtId="42" fontId="32" fillId="0" borderId="120" xfId="60" applyNumberFormat="1" applyFont="1" applyBorder="1" applyAlignment="1">
      <alignment horizontal="center" vertical="center"/>
    </xf>
    <xf numFmtId="42" fontId="32" fillId="0" borderId="178" xfId="60" applyNumberFormat="1" applyFont="1" applyBorder="1" applyAlignment="1">
      <alignment horizontal="center" vertical="center"/>
    </xf>
    <xf numFmtId="0" fontId="84" fillId="41" borderId="2" xfId="60" applyFont="1" applyFill="1" applyBorder="1" applyAlignment="1">
      <alignment horizontal="center" vertical="center" wrapText="1"/>
    </xf>
    <xf numFmtId="0" fontId="84" fillId="41" borderId="174" xfId="60" applyFont="1" applyFill="1" applyBorder="1" applyAlignment="1">
      <alignment horizontal="center" vertical="center" wrapText="1"/>
    </xf>
    <xf numFmtId="0" fontId="84" fillId="41" borderId="175" xfId="60" applyFont="1" applyFill="1" applyBorder="1" applyAlignment="1">
      <alignment horizontal="center" vertical="center" wrapText="1"/>
    </xf>
    <xf numFmtId="0" fontId="84" fillId="41" borderId="176" xfId="60" applyFont="1" applyFill="1" applyBorder="1" applyAlignment="1">
      <alignment horizontal="center" vertical="center" wrapText="1"/>
    </xf>
    <xf numFmtId="0" fontId="32" fillId="10" borderId="7" xfId="60" applyFont="1" applyFill="1" applyBorder="1" applyAlignment="1">
      <alignment horizontal="center" vertical="center"/>
    </xf>
    <xf numFmtId="0" fontId="32" fillId="10" borderId="8" xfId="60" applyFont="1" applyFill="1" applyBorder="1" applyAlignment="1">
      <alignment horizontal="center" vertical="center"/>
    </xf>
    <xf numFmtId="0" fontId="83" fillId="10" borderId="20" xfId="60" applyFont="1" applyFill="1" applyBorder="1" applyAlignment="1">
      <alignment horizontal="center" vertical="center"/>
    </xf>
    <xf numFmtId="0" fontId="83" fillId="10" borderId="119" xfId="60" applyFont="1" applyFill="1" applyBorder="1" applyAlignment="1">
      <alignment horizontal="center" vertical="center"/>
    </xf>
    <xf numFmtId="0" fontId="84" fillId="11" borderId="6" xfId="60" applyFont="1" applyFill="1" applyBorder="1" applyAlignment="1">
      <alignment horizontal="center" vertical="center" wrapText="1"/>
    </xf>
    <xf numFmtId="0" fontId="84" fillId="11" borderId="7" xfId="60" applyFont="1" applyFill="1" applyBorder="1" applyAlignment="1">
      <alignment horizontal="center" vertical="center" wrapText="1"/>
    </xf>
    <xf numFmtId="0" fontId="84" fillId="11" borderId="8" xfId="60" applyFont="1" applyFill="1" applyBorder="1" applyAlignment="1">
      <alignment horizontal="center" vertical="center" wrapText="1"/>
    </xf>
    <xf numFmtId="42" fontId="32" fillId="0" borderId="186" xfId="60" applyNumberFormat="1" applyFont="1" applyBorder="1" applyAlignment="1">
      <alignment horizontal="center" vertical="center"/>
    </xf>
    <xf numFmtId="0" fontId="87" fillId="41" borderId="6" xfId="60" applyFont="1" applyFill="1" applyBorder="1" applyAlignment="1">
      <alignment horizontal="center" vertical="center" wrapText="1"/>
    </xf>
    <xf numFmtId="0" fontId="87" fillId="41" borderId="7" xfId="60" applyFont="1" applyFill="1" applyBorder="1" applyAlignment="1">
      <alignment horizontal="center" vertical="center" wrapText="1"/>
    </xf>
    <xf numFmtId="0" fontId="16" fillId="0" borderId="0" xfId="53" applyFont="1" applyAlignment="1">
      <alignment horizontal="center" wrapText="1"/>
    </xf>
    <xf numFmtId="0" fontId="13" fillId="36" borderId="12" xfId="40" applyFont="1" applyFill="1" applyBorder="1" applyAlignment="1">
      <alignment horizontal="center" vertical="center" wrapText="1"/>
    </xf>
    <xf numFmtId="0" fontId="13" fillId="0" borderId="12" xfId="40" applyFont="1" applyBorder="1" applyAlignment="1">
      <alignment horizontal="left" vertical="center" wrapText="1"/>
    </xf>
    <xf numFmtId="0" fontId="13" fillId="2" borderId="12" xfId="53" applyFont="1" applyFill="1" applyBorder="1" applyAlignment="1">
      <alignment horizontal="center" vertical="center" wrapText="1"/>
    </xf>
    <xf numFmtId="0" fontId="13" fillId="2" borderId="130" xfId="53" applyFont="1" applyFill="1" applyBorder="1" applyAlignment="1">
      <alignment horizontal="center" vertical="center"/>
    </xf>
    <xf numFmtId="0" fontId="13" fillId="2" borderId="131" xfId="53" applyFont="1" applyFill="1" applyBorder="1" applyAlignment="1">
      <alignment horizontal="center" vertical="center"/>
    </xf>
    <xf numFmtId="0" fontId="13" fillId="2" borderId="132" xfId="53" applyFont="1" applyFill="1" applyBorder="1" applyAlignment="1">
      <alignment horizontal="center" vertical="center"/>
    </xf>
    <xf numFmtId="0" fontId="52" fillId="0" borderId="58" xfId="43" applyFont="1" applyBorder="1" applyAlignment="1">
      <alignment horizontal="center" vertical="center" wrapText="1"/>
    </xf>
    <xf numFmtId="0" fontId="52" fillId="0" borderId="54" xfId="43" applyFont="1" applyBorder="1" applyAlignment="1">
      <alignment horizontal="center" vertical="center" wrapText="1"/>
    </xf>
    <xf numFmtId="0" fontId="52" fillId="0" borderId="48" xfId="43" applyFont="1" applyBorder="1" applyAlignment="1">
      <alignment horizontal="center" vertical="center" wrapText="1"/>
    </xf>
    <xf numFmtId="0" fontId="13" fillId="34" borderId="128" xfId="53" applyFont="1" applyFill="1" applyBorder="1" applyAlignment="1">
      <alignment horizontal="center" vertical="center"/>
    </xf>
    <xf numFmtId="0" fontId="13" fillId="34" borderId="129" xfId="53" applyFont="1" applyFill="1" applyBorder="1" applyAlignment="1">
      <alignment horizontal="center" vertical="center"/>
    </xf>
    <xf numFmtId="0" fontId="13" fillId="2" borderId="12" xfId="53" applyFont="1" applyFill="1" applyBorder="1" applyAlignment="1">
      <alignment horizontal="center" vertical="center"/>
    </xf>
    <xf numFmtId="0" fontId="13" fillId="2" borderId="2" xfId="53" applyFont="1" applyFill="1" applyBorder="1" applyAlignment="1">
      <alignment horizontal="center" vertical="center"/>
    </xf>
    <xf numFmtId="0" fontId="13" fillId="4" borderId="12" xfId="53" applyFont="1" applyFill="1" applyBorder="1" applyAlignment="1">
      <alignment horizontal="center" vertical="center"/>
    </xf>
    <xf numFmtId="0" fontId="13" fillId="34" borderId="13" xfId="53" applyFont="1" applyFill="1" applyBorder="1" applyAlignment="1">
      <alignment horizontal="left" vertical="center"/>
    </xf>
    <xf numFmtId="0" fontId="13" fillId="4" borderId="6" xfId="53" applyFont="1" applyFill="1" applyBorder="1" applyAlignment="1">
      <alignment horizontal="center" vertical="center"/>
    </xf>
    <xf numFmtId="0" fontId="13" fillId="4" borderId="7" xfId="53" applyFont="1" applyFill="1" applyBorder="1" applyAlignment="1">
      <alignment horizontal="center" vertical="center"/>
    </xf>
    <xf numFmtId="0" fontId="13" fillId="4" borderId="8" xfId="53" applyFont="1" applyFill="1" applyBorder="1" applyAlignment="1">
      <alignment horizontal="center" vertical="center"/>
    </xf>
    <xf numFmtId="0" fontId="13" fillId="34" borderId="2" xfId="53" applyFont="1" applyFill="1" applyBorder="1" applyAlignment="1">
      <alignment horizontal="center"/>
    </xf>
    <xf numFmtId="0" fontId="72" fillId="0" borderId="92" xfId="8" applyFont="1" applyBorder="1" applyAlignment="1">
      <alignment horizontal="center" vertical="center" wrapText="1"/>
    </xf>
    <xf numFmtId="0" fontId="72" fillId="0" borderId="93" xfId="8" applyFont="1" applyBorder="1" applyAlignment="1">
      <alignment horizontal="center" vertical="center" wrapText="1"/>
    </xf>
    <xf numFmtId="0" fontId="72" fillId="0" borderId="94" xfId="8" applyFont="1" applyBorder="1" applyAlignment="1">
      <alignment horizontal="center" vertical="center" wrapText="1"/>
    </xf>
    <xf numFmtId="0" fontId="72" fillId="0" borderId="70" xfId="8" applyFont="1" applyBorder="1" applyAlignment="1">
      <alignment horizontal="center" vertical="center" wrapText="1"/>
    </xf>
    <xf numFmtId="0" fontId="72" fillId="0" borderId="0" xfId="8" applyFont="1" applyAlignment="1">
      <alignment horizontal="center" vertical="center" wrapText="1"/>
    </xf>
    <xf numFmtId="0" fontId="72" fillId="0" borderId="71" xfId="8" applyFont="1" applyBorder="1" applyAlignment="1">
      <alignment horizontal="center" vertical="center" wrapText="1"/>
    </xf>
    <xf numFmtId="0" fontId="72" fillId="0" borderId="89" xfId="8" applyFont="1" applyBorder="1" applyAlignment="1">
      <alignment horizontal="center" vertical="center" wrapText="1"/>
    </xf>
    <xf numFmtId="0" fontId="72" fillId="0" borderId="95" xfId="8" applyFont="1" applyBorder="1" applyAlignment="1">
      <alignment horizontal="center" vertical="center" wrapText="1"/>
    </xf>
    <xf numFmtId="0" fontId="72" fillId="0" borderId="75" xfId="8" applyFont="1" applyBorder="1" applyAlignment="1">
      <alignment horizontal="center" vertical="center" wrapText="1"/>
    </xf>
    <xf numFmtId="0" fontId="44" fillId="0" borderId="38" xfId="8" applyFont="1" applyBorder="1" applyAlignment="1">
      <alignment horizontal="center" vertical="center"/>
    </xf>
    <xf numFmtId="0" fontId="44" fillId="0" borderId="2" xfId="8" applyFont="1" applyBorder="1" applyAlignment="1">
      <alignment horizontal="center" vertical="center"/>
    </xf>
    <xf numFmtId="0" fontId="73" fillId="29" borderId="58" xfId="8" applyFont="1" applyFill="1" applyBorder="1" applyAlignment="1">
      <alignment horizontal="center" vertical="center" wrapText="1"/>
    </xf>
    <xf numFmtId="0" fontId="73" fillId="29" borderId="48" xfId="8" applyFont="1" applyFill="1" applyBorder="1" applyAlignment="1">
      <alignment horizontal="center" vertical="center" wrapText="1"/>
    </xf>
    <xf numFmtId="0" fontId="73" fillId="29" borderId="54" xfId="8" applyFont="1" applyFill="1" applyBorder="1" applyAlignment="1">
      <alignment horizontal="center" vertical="center" wrapText="1"/>
    </xf>
    <xf numFmtId="0" fontId="74" fillId="11" borderId="77" xfId="8" applyFont="1" applyFill="1" applyBorder="1" applyAlignment="1">
      <alignment horizontal="left" vertical="center" wrapText="1"/>
    </xf>
    <xf numFmtId="0" fontId="74" fillId="11" borderId="7" xfId="8" applyFont="1" applyFill="1" applyBorder="1" applyAlignment="1">
      <alignment horizontal="left" vertical="center" wrapText="1"/>
    </xf>
    <xf numFmtId="0" fontId="74" fillId="11" borderId="8" xfId="8" applyFont="1" applyFill="1" applyBorder="1" applyAlignment="1">
      <alignment horizontal="left" vertical="center" wrapText="1"/>
    </xf>
    <xf numFmtId="0" fontId="74" fillId="0" borderId="77" xfId="8" applyFont="1" applyBorder="1" applyAlignment="1">
      <alignment horizontal="left" vertical="center" wrapText="1"/>
    </xf>
    <xf numFmtId="0" fontId="74" fillId="0" borderId="7" xfId="8" applyFont="1" applyBorder="1" applyAlignment="1">
      <alignment horizontal="left" vertical="center" wrapText="1"/>
    </xf>
    <xf numFmtId="0" fontId="74" fillId="0" borderId="8" xfId="8" applyFont="1" applyBorder="1" applyAlignment="1">
      <alignment horizontal="left" vertical="center" wrapText="1"/>
    </xf>
    <xf numFmtId="0" fontId="73" fillId="32" borderId="32" xfId="8" applyFont="1" applyFill="1" applyBorder="1" applyAlignment="1">
      <alignment horizontal="right" vertical="center"/>
    </xf>
    <xf numFmtId="0" fontId="75" fillId="14" borderId="33" xfId="8" applyFont="1" applyFill="1" applyBorder="1"/>
    <xf numFmtId="0" fontId="13" fillId="11" borderId="77" xfId="8" applyFont="1" applyFill="1" applyBorder="1" applyAlignment="1">
      <alignment horizontal="left" vertical="center" wrapText="1"/>
    </xf>
    <xf numFmtId="0" fontId="13" fillId="11" borderId="7" xfId="8" applyFont="1" applyFill="1" applyBorder="1" applyAlignment="1">
      <alignment horizontal="left" vertical="center" wrapText="1"/>
    </xf>
    <xf numFmtId="0" fontId="13" fillId="11" borderId="8" xfId="8" applyFont="1" applyFill="1" applyBorder="1" applyAlignment="1">
      <alignment horizontal="left" vertical="center" wrapText="1"/>
    </xf>
    <xf numFmtId="0" fontId="73" fillId="0" borderId="32" xfId="8" applyFont="1" applyBorder="1" applyAlignment="1">
      <alignment horizontal="right" vertical="center"/>
    </xf>
    <xf numFmtId="0" fontId="75" fillId="0" borderId="33" xfId="8" applyFont="1" applyBorder="1"/>
    <xf numFmtId="0" fontId="13" fillId="11" borderId="76" xfId="0" applyFont="1" applyFill="1" applyBorder="1" applyAlignment="1">
      <alignment horizontal="right" vertical="center"/>
    </xf>
    <xf numFmtId="0" fontId="13" fillId="11" borderId="22" xfId="0" applyFont="1" applyFill="1" applyBorder="1" applyAlignment="1">
      <alignment horizontal="right" vertical="center"/>
    </xf>
    <xf numFmtId="0" fontId="13" fillId="11" borderId="17" xfId="0" applyFont="1" applyFill="1" applyBorder="1" applyAlignment="1">
      <alignment horizontal="right" vertical="center"/>
    </xf>
    <xf numFmtId="0" fontId="13" fillId="12" borderId="77" xfId="0" applyFont="1" applyFill="1" applyBorder="1" applyAlignment="1">
      <alignment horizontal="right" vertical="center"/>
    </xf>
    <xf numFmtId="0" fontId="13" fillId="12" borderId="7" xfId="0" applyFont="1" applyFill="1" applyBorder="1" applyAlignment="1">
      <alignment horizontal="right" vertical="center"/>
    </xf>
    <xf numFmtId="0" fontId="13" fillId="0" borderId="0" xfId="0" applyFont="1" applyAlignment="1">
      <alignment horizontal="center" vertical="center" wrapText="1"/>
    </xf>
    <xf numFmtId="0" fontId="13" fillId="0" borderId="45" xfId="0" applyFont="1" applyBorder="1" applyAlignment="1">
      <alignment horizontal="left" vertical="center" wrapText="1"/>
    </xf>
    <xf numFmtId="0" fontId="13" fillId="0" borderId="54" xfId="0" applyFont="1" applyBorder="1" applyAlignment="1">
      <alignment horizontal="left" vertical="center" wrapText="1"/>
    </xf>
    <xf numFmtId="0" fontId="13" fillId="0" borderId="48" xfId="0" applyFont="1" applyBorder="1" applyAlignment="1">
      <alignment horizontal="left" vertical="center" wrapText="1"/>
    </xf>
    <xf numFmtId="0" fontId="13" fillId="11" borderId="18" xfId="0" applyFont="1" applyFill="1" applyBorder="1" applyAlignment="1">
      <alignment horizontal="right" vertical="center"/>
    </xf>
    <xf numFmtId="0" fontId="15" fillId="7" borderId="2" xfId="0" applyFont="1" applyFill="1" applyBorder="1" applyAlignment="1">
      <alignment horizontal="center" vertical="center" wrapText="1"/>
    </xf>
    <xf numFmtId="0" fontId="15" fillId="7" borderId="9" xfId="0" applyFont="1" applyFill="1" applyBorder="1" applyAlignment="1">
      <alignment horizontal="center" vertical="center" wrapText="1"/>
    </xf>
    <xf numFmtId="0" fontId="15" fillId="7" borderId="6" xfId="0" applyFont="1" applyFill="1" applyBorder="1" applyAlignment="1">
      <alignment horizontal="center" vertical="center" wrapText="1"/>
    </xf>
    <xf numFmtId="0" fontId="15" fillId="7" borderId="20" xfId="0" applyFont="1" applyFill="1" applyBorder="1" applyAlignment="1">
      <alignment horizontal="center" vertical="center" wrapText="1"/>
    </xf>
    <xf numFmtId="0" fontId="13" fillId="0" borderId="22" xfId="0" applyFont="1" applyBorder="1" applyAlignment="1">
      <alignment horizontal="center"/>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9" xfId="0" applyFont="1" applyBorder="1" applyAlignment="1">
      <alignment horizontal="center" vertical="center" wrapText="1"/>
    </xf>
    <xf numFmtId="0" fontId="32" fillId="10" borderId="7" xfId="70" applyFont="1" applyFill="1" applyBorder="1" applyAlignment="1">
      <alignment horizontal="center" vertical="center"/>
    </xf>
    <xf numFmtId="0" fontId="32" fillId="10" borderId="8" xfId="70" applyFont="1" applyFill="1" applyBorder="1" applyAlignment="1">
      <alignment horizontal="center" vertical="center"/>
    </xf>
    <xf numFmtId="0" fontId="83" fillId="10" borderId="20" xfId="70" applyFont="1" applyFill="1" applyBorder="1" applyAlignment="1">
      <alignment horizontal="center" vertical="center"/>
    </xf>
    <xf numFmtId="0" fontId="83" fillId="10" borderId="119" xfId="70" applyFont="1" applyFill="1" applyBorder="1" applyAlignment="1">
      <alignment horizontal="center" vertical="center"/>
    </xf>
    <xf numFmtId="0" fontId="84" fillId="11" borderId="6" xfId="70" applyFont="1" applyFill="1" applyBorder="1" applyAlignment="1">
      <alignment horizontal="center" vertical="center" wrapText="1"/>
    </xf>
    <xf numFmtId="0" fontId="84" fillId="11" borderId="7" xfId="70" applyFont="1" applyFill="1" applyBorder="1" applyAlignment="1">
      <alignment horizontal="center" vertical="center" wrapText="1"/>
    </xf>
    <xf numFmtId="0" fontId="84" fillId="11" borderId="8" xfId="70" applyFont="1" applyFill="1" applyBorder="1" applyAlignment="1">
      <alignment horizontal="center" vertical="center" wrapText="1"/>
    </xf>
    <xf numFmtId="42" fontId="32" fillId="0" borderId="186" xfId="70" applyNumberFormat="1" applyFont="1" applyBorder="1" applyAlignment="1">
      <alignment horizontal="center" vertical="center"/>
    </xf>
    <xf numFmtId="42" fontId="32" fillId="0" borderId="120" xfId="70" applyNumberFormat="1" applyFont="1" applyBorder="1" applyAlignment="1">
      <alignment horizontal="center" vertical="center"/>
    </xf>
    <xf numFmtId="42" fontId="32" fillId="0" borderId="2" xfId="70" applyNumberFormat="1" applyFont="1" applyBorder="1" applyAlignment="1">
      <alignment horizontal="center" vertical="center"/>
    </xf>
    <xf numFmtId="0" fontId="87" fillId="41" borderId="6" xfId="70" applyFont="1" applyFill="1" applyBorder="1" applyAlignment="1">
      <alignment horizontal="center" vertical="center" wrapText="1"/>
    </xf>
    <xf numFmtId="0" fontId="87" fillId="41" borderId="7" xfId="70" applyFont="1" applyFill="1" applyBorder="1" applyAlignment="1">
      <alignment horizontal="center" vertical="center" wrapText="1"/>
    </xf>
    <xf numFmtId="0" fontId="83" fillId="11" borderId="2" xfId="70" applyFont="1" applyFill="1" applyBorder="1" applyAlignment="1">
      <alignment horizontal="center" vertical="center"/>
    </xf>
    <xf numFmtId="0" fontId="84" fillId="11" borderId="2" xfId="70" applyFont="1" applyFill="1" applyBorder="1" applyAlignment="1">
      <alignment horizontal="center" vertical="center" wrapText="1"/>
    </xf>
    <xf numFmtId="42" fontId="32" fillId="0" borderId="19" xfId="70" applyNumberFormat="1" applyFont="1" applyBorder="1" applyAlignment="1">
      <alignment horizontal="center" vertical="center"/>
    </xf>
    <xf numFmtId="42" fontId="32" fillId="0" borderId="178" xfId="70" applyNumberFormat="1" applyFont="1" applyBorder="1" applyAlignment="1">
      <alignment horizontal="center" vertical="center"/>
    </xf>
    <xf numFmtId="0" fontId="84" fillId="41" borderId="2" xfId="70" applyFont="1" applyFill="1" applyBorder="1" applyAlignment="1">
      <alignment horizontal="center" vertical="center" wrapText="1"/>
    </xf>
    <xf numFmtId="0" fontId="84" fillId="41" borderId="174" xfId="70" applyFont="1" applyFill="1" applyBorder="1" applyAlignment="1">
      <alignment horizontal="center" vertical="center" wrapText="1"/>
    </xf>
    <xf numFmtId="0" fontId="84" fillId="41" borderId="175" xfId="70" applyFont="1" applyFill="1" applyBorder="1" applyAlignment="1">
      <alignment horizontal="center" vertical="center" wrapText="1"/>
    </xf>
    <xf numFmtId="0" fontId="84" fillId="41" borderId="176" xfId="70" applyFont="1" applyFill="1" applyBorder="1" applyAlignment="1">
      <alignment horizontal="center" vertical="center" wrapText="1"/>
    </xf>
    <xf numFmtId="0" fontId="83" fillId="11" borderId="185" xfId="70" applyFont="1" applyFill="1" applyBorder="1" applyAlignment="1">
      <alignment horizontal="center" vertical="center"/>
    </xf>
    <xf numFmtId="0" fontId="83" fillId="11" borderId="119" xfId="70" applyFont="1" applyFill="1" applyBorder="1" applyAlignment="1">
      <alignment horizontal="center" vertical="center"/>
    </xf>
    <xf numFmtId="0" fontId="83" fillId="11" borderId="177" xfId="70" applyFont="1" applyFill="1" applyBorder="1" applyAlignment="1">
      <alignment horizontal="center" vertical="center"/>
    </xf>
    <xf numFmtId="0" fontId="33" fillId="11" borderId="185" xfId="70" applyFont="1" applyFill="1" applyBorder="1" applyAlignment="1">
      <alignment horizontal="center" vertical="center"/>
    </xf>
    <xf numFmtId="0" fontId="33" fillId="11" borderId="119" xfId="70" applyFont="1" applyFill="1" applyBorder="1" applyAlignment="1">
      <alignment horizontal="center" vertical="center"/>
    </xf>
    <xf numFmtId="0" fontId="32" fillId="10" borderId="63" xfId="70" applyFont="1" applyFill="1" applyBorder="1" applyAlignment="1">
      <alignment horizontal="center" vertical="center" wrapText="1"/>
    </xf>
    <xf numFmtId="0" fontId="32" fillId="10" borderId="0" xfId="70" applyFont="1" applyFill="1" applyAlignment="1">
      <alignment horizontal="center" vertical="center" wrapText="1"/>
    </xf>
    <xf numFmtId="0" fontId="83" fillId="11" borderId="183" xfId="70" applyFont="1" applyFill="1" applyBorder="1" applyAlignment="1">
      <alignment horizontal="center" vertical="center"/>
    </xf>
    <xf numFmtId="0" fontId="84" fillId="11" borderId="63" xfId="70" applyFont="1" applyFill="1" applyBorder="1" applyAlignment="1">
      <alignment horizontal="center" vertical="center" wrapText="1"/>
    </xf>
    <xf numFmtId="0" fontId="84" fillId="11" borderId="0" xfId="70" applyFont="1" applyFill="1" applyAlignment="1">
      <alignment horizontal="center" vertical="center" wrapText="1"/>
    </xf>
    <xf numFmtId="0" fontId="84" fillId="11" borderId="123" xfId="70" applyFont="1" applyFill="1" applyBorder="1" applyAlignment="1">
      <alignment horizontal="center" vertical="center" wrapText="1"/>
    </xf>
    <xf numFmtId="42" fontId="32" fillId="0" borderId="182" xfId="70" applyNumberFormat="1" applyFont="1" applyBorder="1" applyAlignment="1">
      <alignment horizontal="center" vertical="center"/>
    </xf>
    <xf numFmtId="42" fontId="32" fillId="0" borderId="180" xfId="70" applyNumberFormat="1" applyFont="1" applyBorder="1" applyAlignment="1">
      <alignment horizontal="center" vertical="center"/>
    </xf>
    <xf numFmtId="0" fontId="33" fillId="11" borderId="184" xfId="70" applyFont="1" applyFill="1" applyBorder="1" applyAlignment="1">
      <alignment horizontal="center" vertical="center"/>
    </xf>
    <xf numFmtId="0" fontId="84" fillId="11" borderId="61" xfId="70" applyFont="1" applyFill="1" applyBorder="1" applyAlignment="1">
      <alignment horizontal="center" vertical="center" wrapText="1"/>
    </xf>
    <xf numFmtId="0" fontId="84" fillId="11" borderId="66" xfId="70" applyFont="1" applyFill="1" applyBorder="1" applyAlignment="1">
      <alignment horizontal="center" vertical="center" wrapText="1"/>
    </xf>
    <xf numFmtId="42" fontId="32" fillId="0" borderId="81" xfId="70" applyNumberFormat="1" applyFont="1" applyBorder="1" applyAlignment="1">
      <alignment horizontal="center" vertical="center"/>
    </xf>
    <xf numFmtId="0" fontId="82" fillId="41" borderId="20" xfId="70" applyFont="1" applyFill="1" applyBorder="1" applyAlignment="1">
      <alignment horizontal="center" vertical="center" wrapText="1"/>
    </xf>
    <xf numFmtId="0" fontId="82" fillId="41" borderId="21" xfId="70" applyFont="1" applyFill="1" applyBorder="1" applyAlignment="1">
      <alignment horizontal="center" vertical="center" wrapText="1"/>
    </xf>
    <xf numFmtId="0" fontId="82" fillId="41" borderId="19" xfId="70" applyFont="1" applyFill="1" applyBorder="1" applyAlignment="1">
      <alignment horizontal="center" vertical="center" wrapText="1"/>
    </xf>
    <xf numFmtId="0" fontId="82" fillId="0" borderId="177" xfId="70" applyFont="1" applyBorder="1" applyAlignment="1">
      <alignment horizontal="center" vertical="center"/>
    </xf>
    <xf numFmtId="0" fontId="82" fillId="0" borderId="97" xfId="70" applyFont="1" applyBorder="1" applyAlignment="1">
      <alignment horizontal="center" vertical="center"/>
    </xf>
    <xf numFmtId="0" fontId="82" fillId="0" borderId="178" xfId="70" applyFont="1" applyBorder="1" applyAlignment="1">
      <alignment horizontal="center" vertical="center"/>
    </xf>
    <xf numFmtId="0" fontId="83" fillId="10" borderId="179" xfId="70" applyFont="1" applyFill="1" applyBorder="1" applyAlignment="1">
      <alignment horizontal="center" vertical="center"/>
    </xf>
    <xf numFmtId="0" fontId="83" fillId="10" borderId="98" xfId="70" applyFont="1" applyFill="1" applyBorder="1" applyAlignment="1">
      <alignment horizontal="center" vertical="center"/>
    </xf>
    <xf numFmtId="0" fontId="83" fillId="10" borderId="180" xfId="70" applyFont="1" applyFill="1" applyBorder="1" applyAlignment="1">
      <alignment horizontal="center" vertical="center"/>
    </xf>
    <xf numFmtId="0" fontId="33" fillId="11" borderId="183" xfId="70" applyFont="1" applyFill="1" applyBorder="1" applyAlignment="1">
      <alignment horizontal="center" vertical="center"/>
    </xf>
    <xf numFmtId="0" fontId="33" fillId="11" borderId="177" xfId="70" applyFont="1" applyFill="1" applyBorder="1" applyAlignment="1">
      <alignment horizontal="center" vertical="center"/>
    </xf>
    <xf numFmtId="0" fontId="32" fillId="10" borderId="66" xfId="70" applyFont="1" applyFill="1" applyBorder="1" applyAlignment="1">
      <alignment horizontal="center" vertical="center" wrapText="1"/>
    </xf>
    <xf numFmtId="0" fontId="32" fillId="10" borderId="98" xfId="70" applyFont="1" applyFill="1" applyBorder="1" applyAlignment="1">
      <alignment horizontal="center" vertical="center" wrapText="1"/>
    </xf>
    <xf numFmtId="0" fontId="32" fillId="10" borderId="180" xfId="70" applyFont="1" applyFill="1" applyBorder="1" applyAlignment="1">
      <alignment horizontal="center" vertical="center" wrapText="1"/>
    </xf>
    <xf numFmtId="0" fontId="84" fillId="11" borderId="98" xfId="70" applyFont="1" applyFill="1" applyBorder="1" applyAlignment="1">
      <alignment horizontal="center" vertical="center" wrapText="1"/>
    </xf>
    <xf numFmtId="0" fontId="84" fillId="11" borderId="67" xfId="70" applyFont="1" applyFill="1" applyBorder="1" applyAlignment="1">
      <alignment horizontal="center" vertical="center" wrapText="1"/>
    </xf>
    <xf numFmtId="42" fontId="32" fillId="0" borderId="82" xfId="70" applyNumberFormat="1" applyFont="1" applyBorder="1" applyAlignment="1">
      <alignment horizontal="center" vertical="center"/>
    </xf>
    <xf numFmtId="42" fontId="32" fillId="0" borderId="83" xfId="70" applyNumberFormat="1" applyFont="1" applyBorder="1" applyAlignment="1">
      <alignment horizontal="center" vertical="center"/>
    </xf>
    <xf numFmtId="0" fontId="77" fillId="0" borderId="2" xfId="70" applyFont="1" applyBorder="1" applyAlignment="1">
      <alignment horizontal="right"/>
    </xf>
    <xf numFmtId="0" fontId="78" fillId="0" borderId="58" xfId="72" applyFont="1" applyBorder="1" applyAlignment="1">
      <alignment horizontal="center" wrapText="1"/>
    </xf>
    <xf numFmtId="0" fontId="78" fillId="0" borderId="54" xfId="72" applyFont="1" applyBorder="1" applyAlignment="1">
      <alignment horizontal="center" wrapText="1"/>
    </xf>
    <xf numFmtId="0" fontId="78" fillId="0" borderId="48" xfId="72" applyFont="1" applyBorder="1" applyAlignment="1">
      <alignment horizontal="center" wrapText="1"/>
    </xf>
    <xf numFmtId="0" fontId="78" fillId="0" borderId="2" xfId="70" applyFont="1" applyBorder="1" applyAlignment="1">
      <alignment vertical="center" wrapText="1"/>
    </xf>
    <xf numFmtId="0" fontId="78" fillId="0" borderId="9" xfId="70" applyFont="1" applyBorder="1" applyAlignment="1">
      <alignment horizontal="center" vertical="center" wrapText="1"/>
    </xf>
    <xf numFmtId="0" fontId="78" fillId="0" borderId="15" xfId="70" applyFont="1" applyBorder="1" applyAlignment="1">
      <alignment horizontal="center" vertical="center" wrapText="1"/>
    </xf>
    <xf numFmtId="0" fontId="78" fillId="0" borderId="13" xfId="70" applyFont="1" applyBorder="1" applyAlignment="1">
      <alignment horizontal="center" vertical="center" wrapText="1"/>
    </xf>
    <xf numFmtId="0" fontId="13" fillId="0" borderId="3" xfId="3" applyFont="1" applyBorder="1" applyAlignment="1">
      <alignment horizontal="justify" vertical="center" wrapText="1"/>
    </xf>
    <xf numFmtId="0" fontId="13" fillId="0" borderId="10" xfId="3" quotePrefix="1" applyFont="1" applyBorder="1" applyAlignment="1">
      <alignment horizontal="justify" vertical="center" wrapText="1"/>
    </xf>
    <xf numFmtId="0" fontId="13" fillId="0" borderId="11" xfId="3" quotePrefix="1" applyFont="1" applyBorder="1" applyAlignment="1">
      <alignment horizontal="justify" vertical="center" wrapText="1"/>
    </xf>
    <xf numFmtId="0" fontId="13" fillId="0" borderId="3" xfId="3" applyFont="1" applyBorder="1" applyAlignment="1">
      <alignment horizontal="right" wrapText="1"/>
    </xf>
    <xf numFmtId="0" fontId="13" fillId="0" borderId="11" xfId="3" applyFont="1" applyBorder="1" applyAlignment="1">
      <alignment horizontal="right" wrapText="1"/>
    </xf>
    <xf numFmtId="0" fontId="13" fillId="0" borderId="0" xfId="3" applyFont="1" applyAlignment="1">
      <alignment horizontal="justify" vertical="center" wrapText="1"/>
    </xf>
    <xf numFmtId="0" fontId="13" fillId="0" borderId="0" xfId="3" quotePrefix="1" applyFont="1" applyAlignment="1">
      <alignment horizontal="justify" vertical="center" wrapText="1"/>
    </xf>
    <xf numFmtId="0" fontId="16" fillId="0" borderId="0" xfId="3" applyFont="1" applyAlignment="1">
      <alignment horizontal="center" wrapText="1"/>
    </xf>
    <xf numFmtId="0" fontId="13" fillId="0" borderId="10" xfId="3" applyFont="1" applyBorder="1" applyAlignment="1">
      <alignment horizontal="right" wrapText="1"/>
    </xf>
    <xf numFmtId="0" fontId="69" fillId="0" borderId="0" xfId="35" applyFont="1" applyAlignment="1">
      <alignment horizontal="center" wrapText="1"/>
    </xf>
    <xf numFmtId="0" fontId="55" fillId="0" borderId="66" xfId="35" applyFont="1" applyBorder="1" applyAlignment="1">
      <alignment horizontal="center"/>
    </xf>
    <xf numFmtId="0" fontId="62" fillId="0" borderId="98" xfId="35" applyFont="1" applyBorder="1"/>
    <xf numFmtId="0" fontId="62" fillId="0" borderId="118" xfId="35" applyFont="1" applyBorder="1"/>
    <xf numFmtId="0" fontId="62" fillId="0" borderId="67" xfId="35" applyFont="1" applyBorder="1"/>
    <xf numFmtId="0" fontId="55" fillId="0" borderId="68" xfId="35" applyFont="1" applyBorder="1" applyAlignment="1">
      <alignment horizontal="center" vertical="center" wrapText="1"/>
    </xf>
    <xf numFmtId="0" fontId="21" fillId="0" borderId="118" xfId="35" applyFont="1" applyBorder="1" applyAlignment="1">
      <alignment vertical="center"/>
    </xf>
    <xf numFmtId="0" fontId="21" fillId="0" borderId="65" xfId="35" applyFont="1" applyBorder="1" applyAlignment="1">
      <alignment vertical="center"/>
    </xf>
    <xf numFmtId="0" fontId="55" fillId="0" borderId="66" xfId="35" applyFont="1" applyBorder="1" applyAlignment="1">
      <alignment horizontal="center" vertical="center"/>
    </xf>
    <xf numFmtId="0" fontId="21" fillId="0" borderId="98" xfId="35" applyFont="1" applyBorder="1" applyAlignment="1">
      <alignment vertical="center"/>
    </xf>
    <xf numFmtId="0" fontId="21" fillId="0" borderId="67" xfId="35" applyFont="1" applyBorder="1" applyAlignment="1">
      <alignment vertical="center"/>
    </xf>
    <xf numFmtId="0" fontId="55" fillId="0" borderId="66" xfId="35" applyFont="1" applyBorder="1" applyAlignment="1">
      <alignment horizontal="center" vertical="center" wrapText="1"/>
    </xf>
    <xf numFmtId="0" fontId="21" fillId="0" borderId="98" xfId="35" applyFont="1" applyBorder="1" applyAlignment="1">
      <alignment vertical="center" wrapText="1"/>
    </xf>
    <xf numFmtId="0" fontId="21" fillId="0" borderId="67" xfId="35" applyFont="1" applyBorder="1" applyAlignment="1">
      <alignment vertical="center" wrapText="1"/>
    </xf>
    <xf numFmtId="0" fontId="21" fillId="0" borderId="98" xfId="35" applyFont="1" applyBorder="1"/>
    <xf numFmtId="0" fontId="21" fillId="0" borderId="67" xfId="35" applyFont="1" applyBorder="1"/>
    <xf numFmtId="0" fontId="54" fillId="28" borderId="99" xfId="35" applyFont="1" applyFill="1" applyBorder="1" applyAlignment="1">
      <alignment horizontal="center"/>
    </xf>
    <xf numFmtId="0" fontId="21" fillId="0" borderId="97" xfId="35" applyFont="1" applyBorder="1"/>
    <xf numFmtId="0" fontId="21" fillId="0" borderId="87" xfId="35" applyFont="1" applyBorder="1"/>
    <xf numFmtId="0" fontId="54" fillId="0" borderId="0" xfId="35" applyFont="1" applyAlignment="1">
      <alignment horizontal="center"/>
    </xf>
    <xf numFmtId="0" fontId="53" fillId="0" borderId="0" xfId="35"/>
    <xf numFmtId="0" fontId="54" fillId="28" borderId="66" xfId="35" applyFont="1" applyFill="1" applyBorder="1" applyAlignment="1">
      <alignment horizontal="center"/>
    </xf>
    <xf numFmtId="0" fontId="55" fillId="0" borderId="68" xfId="35" applyFont="1" applyBorder="1" applyAlignment="1">
      <alignment horizontal="center"/>
    </xf>
    <xf numFmtId="0" fontId="21" fillId="0" borderId="0" xfId="0" applyFont="1" applyAlignment="1">
      <alignment horizontal="justify" wrapText="1"/>
    </xf>
    <xf numFmtId="0" fontId="21" fillId="0" borderId="0" xfId="0" applyFont="1" applyAlignment="1">
      <alignment horizontal="justify"/>
    </xf>
    <xf numFmtId="0" fontId="13" fillId="7" borderId="2" xfId="0" applyFont="1" applyFill="1" applyBorder="1" applyAlignment="1">
      <alignment horizontal="center" vertical="center" wrapText="1"/>
    </xf>
    <xf numFmtId="0" fontId="13" fillId="8" borderId="6"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8" xfId="0" applyFont="1" applyFill="1" applyBorder="1" applyAlignment="1">
      <alignment horizontal="center" vertical="center"/>
    </xf>
    <xf numFmtId="0" fontId="13" fillId="7" borderId="6" xfId="0" applyFont="1" applyFill="1" applyBorder="1" applyAlignment="1">
      <alignment horizontal="center" vertical="center"/>
    </xf>
    <xf numFmtId="0" fontId="13" fillId="7" borderId="8" xfId="0" applyFont="1" applyFill="1" applyBorder="1" applyAlignment="1">
      <alignment horizontal="center" vertical="center"/>
    </xf>
    <xf numFmtId="0" fontId="13" fillId="8" borderId="2" xfId="0" applyFont="1" applyFill="1" applyBorder="1" applyAlignment="1">
      <alignment horizontal="center" vertical="center"/>
    </xf>
  </cellXfs>
  <cellStyles count="73">
    <cellStyle name="Énfasis1" xfId="62" builtinId="29"/>
    <cellStyle name="Entrada" xfId="6" builtinId="20"/>
    <cellStyle name="Hipervínculo" xfId="10" builtinId="8"/>
    <cellStyle name="Hipervínculo 2" xfId="57" xr:uid="{5E2D316F-06B4-499F-AA1E-D51C3F96C724}"/>
    <cellStyle name="Millares" xfId="44" builtinId="3"/>
    <cellStyle name="Millares [0]" xfId="5" builtinId="6"/>
    <cellStyle name="Millares [0] 2" xfId="14" xr:uid="{50C27328-9EF0-492D-BB78-B307936924BC}"/>
    <cellStyle name="Millares [0] 3" xfId="69" xr:uid="{21570DF0-5B51-45DD-A19C-00C5BB9A7FF5}"/>
    <cellStyle name="Millares 2" xfId="19" xr:uid="{1624E955-5BDA-47E0-A88F-B17D19DB7C9D}"/>
    <cellStyle name="Millares 2 2 2" xfId="30" xr:uid="{895394C9-DC5A-41B5-96A6-18CFD13F1529}"/>
    <cellStyle name="Millares 3" xfId="26" xr:uid="{40A60734-E0EA-4165-9052-20BB0D6859D5}"/>
    <cellStyle name="Millares 3 2 2" xfId="59" xr:uid="{A0709D7A-FB16-488D-854D-ADEFE9DEA60E}"/>
    <cellStyle name="Millares 4" xfId="47" xr:uid="{F5DD017E-EC3A-4416-B8A4-2F1A7BE871B3}"/>
    <cellStyle name="Millares 4 2" xfId="28" xr:uid="{BB6B8AD7-4763-4E90-A5A7-7524235698A3}"/>
    <cellStyle name="Millares 4 2 2" xfId="33" xr:uid="{0074EAB7-7B7E-455B-A2C1-DEF53B983E47}"/>
    <cellStyle name="Millares 4 2 3" xfId="37" xr:uid="{8484D1A1-A0B0-4CB0-856F-20F7EB7C4257}"/>
    <cellStyle name="Millares 5" xfId="50" xr:uid="{C7C8277E-8F8E-4585-A2C2-4877E06AA8B4}"/>
    <cellStyle name="Millares 6" xfId="66" xr:uid="{E4BEDF92-D7F3-469B-BC00-116387AA2FC8}"/>
    <cellStyle name="Millares_Hoja1 2" xfId="17" xr:uid="{D9D44947-CE46-4985-AB6D-ED8E432CD195}"/>
    <cellStyle name="Moneda" xfId="1" builtinId="4"/>
    <cellStyle name="Moneda [0]" xfId="2" builtinId="7"/>
    <cellStyle name="Moneda [0] 2" xfId="15" xr:uid="{4EF65873-C584-4BB3-B15E-CD8EFA628C2E}"/>
    <cellStyle name="Moneda [0] 3" xfId="18" xr:uid="{945D68DC-3D1E-4C58-A86C-9B14C7C28FD3}"/>
    <cellStyle name="Moneda [0] 3 2" xfId="23" xr:uid="{A311AA5E-F781-44D8-8A75-47CA792F6EB6}"/>
    <cellStyle name="Moneda [0] 3 3" xfId="56" xr:uid="{97333E1E-022D-4771-A587-F7B549F57D15}"/>
    <cellStyle name="Moneda [0] 4" xfId="21" xr:uid="{D903998A-F8C5-462E-8DC8-90FC2EE03791}"/>
    <cellStyle name="Moneda [0] 5" xfId="46" xr:uid="{9DB470FA-510E-4A38-8AE0-DE5D0966926C}"/>
    <cellStyle name="Moneda [0] 6" xfId="49" xr:uid="{8E0FEFC4-1143-480D-A419-B3A75D4C5CAF}"/>
    <cellStyle name="Moneda [0] 6 2" xfId="55" xr:uid="{4A71947E-93B7-494F-8AB9-75553CC18516}"/>
    <cellStyle name="Moneda [0] 7" xfId="52" xr:uid="{CDD8C76D-030B-45FB-B53C-45BF558CFC93}"/>
    <cellStyle name="Moneda [0] 8" xfId="61" xr:uid="{C88BCB9B-630E-4FAE-88C1-5746626A0E60}"/>
    <cellStyle name="Moneda [0] 8 2" xfId="71" xr:uid="{A7436953-7FB0-4C11-B20E-44E9FFDCFD8D}"/>
    <cellStyle name="Moneda 10 2" xfId="64" xr:uid="{FD6B945D-BCF4-46F5-9327-3BFF037E3AA9}"/>
    <cellStyle name="Moneda 2" xfId="31" xr:uid="{68FD899D-5309-40FF-9245-B6B80B0F99C8}"/>
    <cellStyle name="Moneda 3" xfId="12" xr:uid="{FC43B46B-1FA4-4883-B865-F18D9B0B1564}"/>
    <cellStyle name="Moneda 3 2" xfId="29" xr:uid="{416515AF-9A5C-483D-9697-5357F0B8D8DD}"/>
    <cellStyle name="Moneda 5" xfId="16" xr:uid="{FD7D7CB0-2DE2-454C-ADDF-F8834A2BB0C1}"/>
    <cellStyle name="Normal" xfId="0" builtinId="0"/>
    <cellStyle name="Normal 10" xfId="48" xr:uid="{D4657C12-3103-4E7B-9E2E-9BA86620F33E}"/>
    <cellStyle name="Normal 100 6" xfId="54" xr:uid="{CBF8B704-A8C5-4D8B-9804-1DEE349E6690}"/>
    <cellStyle name="Normal 102" xfId="8" xr:uid="{00000000-0005-0000-0000-000007000000}"/>
    <cellStyle name="Normal 11" xfId="51" xr:uid="{D03FE57A-4466-4425-B47A-582FFDB99DA2}"/>
    <cellStyle name="Normal 11 2" xfId="72" xr:uid="{CA79A777-597A-437E-83D6-B915FD93CDDE}"/>
    <cellStyle name="Normal 12" xfId="60" xr:uid="{C5DCD2F4-6B03-4107-BB1D-FD54EFF1B8F3}"/>
    <cellStyle name="Normal 12 2" xfId="70" xr:uid="{D79C5C43-E2A6-453B-983A-5DB66CFECB91}"/>
    <cellStyle name="Normal 13" xfId="65" xr:uid="{43E37B6F-E303-42F2-9447-BD3DA19B0051}"/>
    <cellStyle name="Normal 2" xfId="3" xr:uid="{00000000-0005-0000-0000-000008000000}"/>
    <cellStyle name="Normal 2 2" xfId="25" xr:uid="{DC948CC2-94D2-4805-ADA7-984C84340B95}"/>
    <cellStyle name="Normal 2 2 2 2" xfId="40" xr:uid="{778A70D0-D8DD-4197-BEE0-44D182A4CE1D}"/>
    <cellStyle name="Normal 3" xfId="9" xr:uid="{00000000-0005-0000-0000-000009000000}"/>
    <cellStyle name="Normal 3 2" xfId="7" xr:uid="{00000000-0005-0000-0000-00000A000000}"/>
    <cellStyle name="Normal 3 2 2" xfId="42" xr:uid="{98719FB5-E261-423C-BB0E-B46DB494BF80}"/>
    <cellStyle name="Normal 3 4" xfId="63" xr:uid="{398B7AB7-BA58-41E5-907E-A4AA33A4DC25}"/>
    <cellStyle name="Normal 3 5" xfId="43" xr:uid="{F69D797F-18E3-4FAC-853C-BFA4BA49CC3F}"/>
    <cellStyle name="Normal 4" xfId="13" xr:uid="{6AE4F344-68A7-46CF-AFC9-3503C6187D40}"/>
    <cellStyle name="Normal 4 2 2" xfId="38" xr:uid="{A3F813E1-A751-41E0-A5EB-03D42DA986CE}"/>
    <cellStyle name="Normal 5" xfId="35" xr:uid="{F4C0D7A9-9CF9-49D3-BC32-16F4699556C6}"/>
    <cellStyle name="Normal 6" xfId="45" xr:uid="{3E63543A-6D7B-4CF4-9A98-006CECBE799D}"/>
    <cellStyle name="Normal 6 2" xfId="53" xr:uid="{76C94DD7-4790-491E-83C6-1925759BAF88}"/>
    <cellStyle name="Normal 6 2 2" xfId="24" xr:uid="{A8972658-FBE9-4F97-A093-219E8A6A3AE7}"/>
    <cellStyle name="Normal 6 2 2 2" xfId="32" xr:uid="{6C7A234A-E413-4280-B744-E6EF42D0EE74}"/>
    <cellStyle name="Normal 6 2 2 3" xfId="36" xr:uid="{FD81B605-5273-4534-87D1-3C51143C1929}"/>
    <cellStyle name="Normal 7" xfId="22" xr:uid="{EA2C8662-F48E-4A34-B939-BEB43B034F76}"/>
    <cellStyle name="Normal 8" xfId="34" xr:uid="{565BBF11-BC3E-4528-9E0B-A2B0486FB8BD}"/>
    <cellStyle name="Normal 9" xfId="20" xr:uid="{D3BEC395-50DA-4727-A182-F0D291AD41F9}"/>
    <cellStyle name="Porcentaje" xfId="4" builtinId="5"/>
    <cellStyle name="Porcentaje 2" xfId="11" xr:uid="{25582CBB-A887-4CAE-841C-9A0050D35283}"/>
    <cellStyle name="Porcentaje 2 2" xfId="41" xr:uid="{3BEB6FFF-1FAD-46DC-83DA-644F1D3BCEFA}"/>
    <cellStyle name="Porcentaje 2 3" xfId="58" xr:uid="{34DDE6B0-F841-4E5E-AF0B-3EFF17AF65D8}"/>
    <cellStyle name="Porcentaje 3" xfId="39" xr:uid="{F5F159AE-C475-4A4E-837F-4E1E0A761E5B}"/>
    <cellStyle name="Porcentaje 4" xfId="67" xr:uid="{5A0F26E0-18F1-4B3C-9807-59189451F944}"/>
    <cellStyle name="Porcentual 2" xfId="27" xr:uid="{9839E0CD-845D-4613-8A5F-D755E917A97E}"/>
    <cellStyle name="Porcentual 2 2" xfId="68" xr:uid="{928F7D13-C3D7-4037-A7B7-C674BCC7C259}"/>
  </cellStyles>
  <dxfs count="84">
    <dxf>
      <font>
        <color rgb="FF9C0006"/>
      </font>
      <fill>
        <patternFill>
          <bgColor rgb="FFFFC7CE"/>
        </patternFill>
      </fill>
    </dxf>
    <dxf>
      <font>
        <color theme="6" tint="-0.24994659260841701"/>
      </font>
      <fill>
        <patternFill>
          <bgColor theme="6" tint="0.59996337778862885"/>
        </patternFill>
      </fill>
    </dxf>
    <dxf>
      <font>
        <color rgb="FFFF0000"/>
      </font>
      <fill>
        <patternFill>
          <bgColor theme="5" tint="0.59996337778862885"/>
        </patternFill>
      </fill>
    </dxf>
    <dxf>
      <font>
        <color theme="6" tint="-0.24994659260841701"/>
      </font>
      <fill>
        <patternFill>
          <bgColor theme="6" tint="0.59996337778862885"/>
        </patternFill>
      </fill>
    </dxf>
    <dxf>
      <font>
        <color rgb="FFFF0000"/>
      </font>
      <fill>
        <patternFill>
          <bgColor theme="5" tint="0.59996337778862885"/>
        </patternFill>
      </fill>
    </dxf>
    <dxf>
      <font>
        <color theme="6" tint="-0.24994659260841701"/>
      </font>
      <fill>
        <patternFill>
          <bgColor theme="6" tint="0.59996337778862885"/>
        </patternFill>
      </fill>
    </dxf>
    <dxf>
      <font>
        <color rgb="FFFF0000"/>
      </font>
      <fill>
        <patternFill>
          <bgColor theme="5" tint="0.59996337778862885"/>
        </patternFill>
      </fill>
    </dxf>
    <dxf>
      <numFmt numFmtId="176" formatCode="&quot;$&quot;\ #,##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numFmt numFmtId="176" formatCode="&quot;$&quot;\ #,##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176" formatCode="&quot;$&quot;\ #,##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13" formatCode="0%"/>
      <alignment horizontal="center" vertical="center" textRotation="0" wrapText="0" indent="0" justifyLastLine="0" shrinkToFit="0" readingOrder="0"/>
      <border outline="0">
        <right style="thin">
          <color indexed="64"/>
        </right>
      </border>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dxf>
    <dxf>
      <alignment horizontal="center" vertical="bottom" textRotation="0" wrapText="0" indent="0" justifyLastLine="0" shrinkToFit="0" readingOrder="0"/>
    </dxf>
    <dxf>
      <border outline="0">
        <left style="thin">
          <color indexed="64"/>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4"/>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strike val="0"/>
        <outline val="0"/>
        <shadow val="0"/>
        <sz val="10"/>
        <color auto="1"/>
      </font>
      <fill>
        <patternFill patternType="none">
          <fgColor indexed="64"/>
          <bgColor auto="1"/>
        </patternFill>
      </fill>
    </dxf>
    <dxf>
      <font>
        <b val="0"/>
        <i val="0"/>
        <strike val="0"/>
        <condense val="0"/>
        <extend val="0"/>
        <outline val="0"/>
        <shadow val="0"/>
        <u val="none"/>
        <vertAlign val="baseline"/>
        <sz val="10"/>
        <color auto="1"/>
        <name val="Arial Unicode MS"/>
        <scheme val="none"/>
      </font>
      <numFmt numFmtId="172" formatCode="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quot;$&quot;\ #,##0"/>
      <fill>
        <patternFill patternType="none">
          <fgColor indexed="64"/>
          <bgColor auto="1"/>
        </patternFill>
      </fill>
      <alignment horizontal="center" vertical="center" textRotation="0" wrapText="0" indent="0" justifyLastLine="0" shrinkToFit="0" readingOrder="0"/>
    </dxf>
    <dxf>
      <font>
        <b val="0"/>
        <strike val="0"/>
        <outline val="0"/>
        <shadow val="0"/>
        <u val="none"/>
        <vertAlign val="baseline"/>
        <sz val="10"/>
        <color auto="1"/>
        <name val="Arial"/>
        <scheme val="none"/>
      </font>
      <numFmt numFmtId="176" formatCode="&quot;$&quot;\ #,##0"/>
      <fill>
        <patternFill patternType="none">
          <fgColor indexed="64"/>
          <bgColor auto="1"/>
        </patternFill>
      </fill>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sz val="10"/>
        <color auto="1"/>
      </font>
      <fill>
        <patternFill patternType="none">
          <fgColor indexed="64"/>
          <bgColor auto="1"/>
        </patternFill>
      </fill>
      <alignment horizontal="center" textRotation="0" wrapText="0" indent="0" justifyLastLine="0" shrinkToFit="0" readingOrder="0"/>
      <border diagonalUp="0" diagonalDown="0" outline="0">
        <left/>
        <right style="thin">
          <color indexed="64"/>
        </right>
        <top style="thin">
          <color indexed="64"/>
        </top>
        <bottom style="thin">
          <color indexed="64"/>
        </bottom>
      </border>
    </dxf>
    <dxf>
      <font>
        <b val="0"/>
        <strike val="0"/>
        <outline val="0"/>
        <shadow val="0"/>
        <sz val="10"/>
        <color auto="1"/>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strike val="0"/>
        <outline val="0"/>
        <shadow val="0"/>
        <sz val="10"/>
        <color auto="1"/>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sz val="10"/>
        <color auto="1"/>
      </font>
      <fill>
        <patternFill patternType="none">
          <fgColor indexed="64"/>
          <bgColor auto="1"/>
        </patternFill>
      </fill>
    </dxf>
    <dxf>
      <border>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rgb="FF000000"/>
        <name val="Calibri"/>
        <family val="2"/>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76" formatCode="&quot;$&quot;\ #,##0"/>
      <border diagonalUp="0" diagonalDown="0">
        <left style="thin">
          <color indexed="64"/>
        </left>
        <right style="thin">
          <color indexed="64"/>
        </right>
        <top style="thin">
          <color indexed="64"/>
        </top>
        <bottom style="thin">
          <color indexed="64"/>
        </bottom>
        <vertical/>
        <horizontal/>
      </border>
    </dxf>
    <dxf>
      <numFmt numFmtId="176" formatCode="&quot;$&quot;\ #,##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76" formatCode="&quot;$&quot;\ #,##0"/>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dxf>
    <dxf>
      <numFmt numFmtId="176" formatCode="&quot;$&quot;\ #,##0"/>
      <border diagonalUp="0" diagonalDown="0">
        <left style="thin">
          <color indexed="64"/>
        </left>
        <right style="thin">
          <color indexed="64"/>
        </right>
        <top style="thin">
          <color indexed="64"/>
        </top>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vertical/>
        <horizontal/>
      </border>
    </dxf>
    <dxf>
      <border diagonalUp="0" diagonalDown="0">
        <left/>
        <right style="thin">
          <color indexed="64"/>
        </right>
        <top style="thin">
          <color indexed="64"/>
        </top>
        <bottom/>
        <vertical/>
        <horizontal/>
      </border>
    </dxf>
    <dxf>
      <border outline="0">
        <left style="thin">
          <color indexed="64"/>
        </left>
        <right style="thin">
          <color indexed="64"/>
        </right>
        <top style="thin">
          <color indexed="64"/>
        </top>
      </border>
    </dxf>
    <dxf>
      <border outline="0">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4"/>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horizontal/>
      </border>
    </dxf>
    <dxf>
      <numFmt numFmtId="32" formatCode="_-&quot;$&quot;\ * #,##0_-;\-&quot;$&quot;\ * #,##0_-;_-&quot;$&quot;\ * &quot;-&quot;_-;_-@_-"/>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32" formatCode="_-&quot;$&quot;\ * #,##0_-;\-&quot;$&quot;\ * #,##0_-;_-&quot;$&quot;\ * &quot;-&quot;_-;_-@_-"/>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2" formatCode="_-&quot;$&quot;\ * #,##0_-;\-&quot;$&quot;\ * #,##0_-;_-&quot;$&quot;\ * &quot;-&quot;_-;_-@_-"/>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border outline="0">
        <right style="thin">
          <color indexed="64"/>
        </right>
        <top style="thin">
          <color indexed="64"/>
        </top>
      </border>
    </dxf>
    <dxf>
      <border outline="0">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4"/>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2.xml"/><Relationship Id="rId299" Type="http://schemas.openxmlformats.org/officeDocument/2006/relationships/externalLink" Target="externalLinks/externalLink204.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64.xml"/><Relationship Id="rId324" Type="http://schemas.openxmlformats.org/officeDocument/2006/relationships/externalLink" Target="externalLinks/externalLink229.xml"/><Relationship Id="rId366" Type="http://schemas.openxmlformats.org/officeDocument/2006/relationships/externalLink" Target="externalLinks/externalLink271.xml"/><Relationship Id="rId170" Type="http://schemas.openxmlformats.org/officeDocument/2006/relationships/externalLink" Target="externalLinks/externalLink75.xml"/><Relationship Id="rId226" Type="http://schemas.openxmlformats.org/officeDocument/2006/relationships/externalLink" Target="externalLinks/externalLink131.xml"/><Relationship Id="rId268" Type="http://schemas.openxmlformats.org/officeDocument/2006/relationships/externalLink" Target="externalLinks/externalLink173.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externalLink" Target="externalLinks/externalLink33.xml"/><Relationship Id="rId335" Type="http://schemas.openxmlformats.org/officeDocument/2006/relationships/externalLink" Target="externalLinks/externalLink240.xml"/><Relationship Id="rId377" Type="http://schemas.openxmlformats.org/officeDocument/2006/relationships/externalLink" Target="externalLinks/externalLink282.xml"/><Relationship Id="rId5" Type="http://schemas.openxmlformats.org/officeDocument/2006/relationships/worksheet" Target="worksheets/sheet5.xml"/><Relationship Id="rId181" Type="http://schemas.openxmlformats.org/officeDocument/2006/relationships/externalLink" Target="externalLinks/externalLink86.xml"/><Relationship Id="rId237" Type="http://schemas.openxmlformats.org/officeDocument/2006/relationships/externalLink" Target="externalLinks/externalLink142.xml"/><Relationship Id="rId279" Type="http://schemas.openxmlformats.org/officeDocument/2006/relationships/externalLink" Target="externalLinks/externalLink184.xml"/><Relationship Id="rId43" Type="http://schemas.openxmlformats.org/officeDocument/2006/relationships/worksheet" Target="worksheets/sheet43.xml"/><Relationship Id="rId139" Type="http://schemas.openxmlformats.org/officeDocument/2006/relationships/externalLink" Target="externalLinks/externalLink44.xml"/><Relationship Id="rId290" Type="http://schemas.openxmlformats.org/officeDocument/2006/relationships/externalLink" Target="externalLinks/externalLink195.xml"/><Relationship Id="rId304" Type="http://schemas.openxmlformats.org/officeDocument/2006/relationships/externalLink" Target="externalLinks/externalLink209.xml"/><Relationship Id="rId346" Type="http://schemas.openxmlformats.org/officeDocument/2006/relationships/externalLink" Target="externalLinks/externalLink251.xml"/><Relationship Id="rId388" Type="http://schemas.openxmlformats.org/officeDocument/2006/relationships/externalLink" Target="externalLinks/externalLink293.xml"/><Relationship Id="rId85" Type="http://schemas.openxmlformats.org/officeDocument/2006/relationships/worksheet" Target="worksheets/sheet85.xml"/><Relationship Id="rId150" Type="http://schemas.openxmlformats.org/officeDocument/2006/relationships/externalLink" Target="externalLinks/externalLink55.xml"/><Relationship Id="rId192" Type="http://schemas.openxmlformats.org/officeDocument/2006/relationships/externalLink" Target="externalLinks/externalLink97.xml"/><Relationship Id="rId206" Type="http://schemas.openxmlformats.org/officeDocument/2006/relationships/externalLink" Target="externalLinks/externalLink111.xml"/><Relationship Id="rId248" Type="http://schemas.openxmlformats.org/officeDocument/2006/relationships/externalLink" Target="externalLinks/externalLink153.xml"/><Relationship Id="rId12" Type="http://schemas.openxmlformats.org/officeDocument/2006/relationships/worksheet" Target="worksheets/sheet12.xml"/><Relationship Id="rId108" Type="http://schemas.openxmlformats.org/officeDocument/2006/relationships/externalLink" Target="externalLinks/externalLink13.xml"/><Relationship Id="rId315" Type="http://schemas.openxmlformats.org/officeDocument/2006/relationships/externalLink" Target="externalLinks/externalLink220.xml"/><Relationship Id="rId357" Type="http://schemas.openxmlformats.org/officeDocument/2006/relationships/externalLink" Target="externalLinks/externalLink262.xml"/><Relationship Id="rId54" Type="http://schemas.openxmlformats.org/officeDocument/2006/relationships/worksheet" Target="worksheets/sheet54.xml"/><Relationship Id="rId96" Type="http://schemas.openxmlformats.org/officeDocument/2006/relationships/externalLink" Target="externalLinks/externalLink1.xml"/><Relationship Id="rId161" Type="http://schemas.openxmlformats.org/officeDocument/2006/relationships/externalLink" Target="externalLinks/externalLink66.xml"/><Relationship Id="rId217" Type="http://schemas.openxmlformats.org/officeDocument/2006/relationships/externalLink" Target="externalLinks/externalLink122.xml"/><Relationship Id="rId259" Type="http://schemas.openxmlformats.org/officeDocument/2006/relationships/externalLink" Target="externalLinks/externalLink164.xml"/><Relationship Id="rId23" Type="http://schemas.openxmlformats.org/officeDocument/2006/relationships/worksheet" Target="worksheets/sheet23.xml"/><Relationship Id="rId119" Type="http://schemas.openxmlformats.org/officeDocument/2006/relationships/externalLink" Target="externalLinks/externalLink24.xml"/><Relationship Id="rId270" Type="http://schemas.openxmlformats.org/officeDocument/2006/relationships/externalLink" Target="externalLinks/externalLink175.xml"/><Relationship Id="rId326" Type="http://schemas.openxmlformats.org/officeDocument/2006/relationships/externalLink" Target="externalLinks/externalLink231.xml"/><Relationship Id="rId65" Type="http://schemas.openxmlformats.org/officeDocument/2006/relationships/worksheet" Target="worksheets/sheet65.xml"/><Relationship Id="rId130" Type="http://schemas.openxmlformats.org/officeDocument/2006/relationships/externalLink" Target="externalLinks/externalLink35.xml"/><Relationship Id="rId368" Type="http://schemas.openxmlformats.org/officeDocument/2006/relationships/externalLink" Target="externalLinks/externalLink273.xml"/><Relationship Id="rId172" Type="http://schemas.openxmlformats.org/officeDocument/2006/relationships/externalLink" Target="externalLinks/externalLink77.xml"/><Relationship Id="rId228" Type="http://schemas.openxmlformats.org/officeDocument/2006/relationships/externalLink" Target="externalLinks/externalLink133.xml"/><Relationship Id="rId281" Type="http://schemas.openxmlformats.org/officeDocument/2006/relationships/externalLink" Target="externalLinks/externalLink186.xml"/><Relationship Id="rId337" Type="http://schemas.openxmlformats.org/officeDocument/2006/relationships/externalLink" Target="externalLinks/externalLink24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externalLink" Target="externalLinks/externalLink46.xml"/><Relationship Id="rId379" Type="http://schemas.openxmlformats.org/officeDocument/2006/relationships/externalLink" Target="externalLinks/externalLink284.xml"/><Relationship Id="rId7" Type="http://schemas.openxmlformats.org/officeDocument/2006/relationships/worksheet" Target="worksheets/sheet7.xml"/><Relationship Id="rId183" Type="http://schemas.openxmlformats.org/officeDocument/2006/relationships/externalLink" Target="externalLinks/externalLink88.xml"/><Relationship Id="rId239" Type="http://schemas.openxmlformats.org/officeDocument/2006/relationships/externalLink" Target="externalLinks/externalLink144.xml"/><Relationship Id="rId390" Type="http://schemas.openxmlformats.org/officeDocument/2006/relationships/theme" Target="theme/theme1.xml"/><Relationship Id="rId250" Type="http://schemas.openxmlformats.org/officeDocument/2006/relationships/externalLink" Target="externalLinks/externalLink155.xml"/><Relationship Id="rId292" Type="http://schemas.openxmlformats.org/officeDocument/2006/relationships/externalLink" Target="externalLinks/externalLink197.xml"/><Relationship Id="rId306" Type="http://schemas.openxmlformats.org/officeDocument/2006/relationships/externalLink" Target="externalLinks/externalLink211.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externalLink" Target="externalLinks/externalLink15.xml"/><Relationship Id="rId348" Type="http://schemas.openxmlformats.org/officeDocument/2006/relationships/externalLink" Target="externalLinks/externalLink253.xml"/><Relationship Id="rId152" Type="http://schemas.openxmlformats.org/officeDocument/2006/relationships/externalLink" Target="externalLinks/externalLink57.xml"/><Relationship Id="rId194" Type="http://schemas.openxmlformats.org/officeDocument/2006/relationships/externalLink" Target="externalLinks/externalLink99.xml"/><Relationship Id="rId208" Type="http://schemas.openxmlformats.org/officeDocument/2006/relationships/externalLink" Target="externalLinks/externalLink113.xml"/><Relationship Id="rId261" Type="http://schemas.openxmlformats.org/officeDocument/2006/relationships/externalLink" Target="externalLinks/externalLink166.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externalLink" Target="externalLinks/externalLink222.xml"/><Relationship Id="rId359" Type="http://schemas.openxmlformats.org/officeDocument/2006/relationships/externalLink" Target="externalLinks/externalLink264.xml"/><Relationship Id="rId98" Type="http://schemas.openxmlformats.org/officeDocument/2006/relationships/externalLink" Target="externalLinks/externalLink3.xml"/><Relationship Id="rId121" Type="http://schemas.openxmlformats.org/officeDocument/2006/relationships/externalLink" Target="externalLinks/externalLink26.xml"/><Relationship Id="rId163" Type="http://schemas.openxmlformats.org/officeDocument/2006/relationships/externalLink" Target="externalLinks/externalLink68.xml"/><Relationship Id="rId219" Type="http://schemas.openxmlformats.org/officeDocument/2006/relationships/externalLink" Target="externalLinks/externalLink124.xml"/><Relationship Id="rId370" Type="http://schemas.openxmlformats.org/officeDocument/2006/relationships/externalLink" Target="externalLinks/externalLink275.xml"/><Relationship Id="rId230" Type="http://schemas.openxmlformats.org/officeDocument/2006/relationships/externalLink" Target="externalLinks/externalLink135.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externalLink" Target="externalLinks/externalLink177.xml"/><Relationship Id="rId328" Type="http://schemas.openxmlformats.org/officeDocument/2006/relationships/externalLink" Target="externalLinks/externalLink233.xml"/><Relationship Id="rId132" Type="http://schemas.openxmlformats.org/officeDocument/2006/relationships/externalLink" Target="externalLinks/externalLink37.xml"/><Relationship Id="rId174" Type="http://schemas.openxmlformats.org/officeDocument/2006/relationships/externalLink" Target="externalLinks/externalLink79.xml"/><Relationship Id="rId381" Type="http://schemas.openxmlformats.org/officeDocument/2006/relationships/externalLink" Target="externalLinks/externalLink286.xml"/><Relationship Id="rId241" Type="http://schemas.openxmlformats.org/officeDocument/2006/relationships/externalLink" Target="externalLinks/externalLink146.xml"/><Relationship Id="rId36" Type="http://schemas.openxmlformats.org/officeDocument/2006/relationships/worksheet" Target="worksheets/sheet36.xml"/><Relationship Id="rId283" Type="http://schemas.openxmlformats.org/officeDocument/2006/relationships/externalLink" Target="externalLinks/externalLink188.xml"/><Relationship Id="rId339" Type="http://schemas.openxmlformats.org/officeDocument/2006/relationships/externalLink" Target="externalLinks/externalLink244.xml"/><Relationship Id="rId78" Type="http://schemas.openxmlformats.org/officeDocument/2006/relationships/worksheet" Target="worksheets/sheet78.xml"/><Relationship Id="rId101" Type="http://schemas.openxmlformats.org/officeDocument/2006/relationships/externalLink" Target="externalLinks/externalLink6.xml"/><Relationship Id="rId143" Type="http://schemas.openxmlformats.org/officeDocument/2006/relationships/externalLink" Target="externalLinks/externalLink48.xml"/><Relationship Id="rId185" Type="http://schemas.openxmlformats.org/officeDocument/2006/relationships/externalLink" Target="externalLinks/externalLink90.xml"/><Relationship Id="rId350" Type="http://schemas.openxmlformats.org/officeDocument/2006/relationships/externalLink" Target="externalLinks/externalLink255.xml"/><Relationship Id="rId9" Type="http://schemas.openxmlformats.org/officeDocument/2006/relationships/worksheet" Target="worksheets/sheet9.xml"/><Relationship Id="rId210" Type="http://schemas.openxmlformats.org/officeDocument/2006/relationships/externalLink" Target="externalLinks/externalLink115.xml"/><Relationship Id="rId392" Type="http://schemas.openxmlformats.org/officeDocument/2006/relationships/sharedStrings" Target="sharedStrings.xml"/><Relationship Id="rId252" Type="http://schemas.openxmlformats.org/officeDocument/2006/relationships/externalLink" Target="externalLinks/externalLink157.xml"/><Relationship Id="rId294" Type="http://schemas.openxmlformats.org/officeDocument/2006/relationships/externalLink" Target="externalLinks/externalLink199.xml"/><Relationship Id="rId308" Type="http://schemas.openxmlformats.org/officeDocument/2006/relationships/externalLink" Target="externalLinks/externalLink213.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externalLink" Target="externalLinks/externalLink17.xml"/><Relationship Id="rId154" Type="http://schemas.openxmlformats.org/officeDocument/2006/relationships/externalLink" Target="externalLinks/externalLink59.xml"/><Relationship Id="rId361" Type="http://schemas.openxmlformats.org/officeDocument/2006/relationships/externalLink" Target="externalLinks/externalLink266.xml"/><Relationship Id="rId196" Type="http://schemas.openxmlformats.org/officeDocument/2006/relationships/externalLink" Target="externalLinks/externalLink101.xml"/><Relationship Id="rId16" Type="http://schemas.openxmlformats.org/officeDocument/2006/relationships/worksheet" Target="worksheets/sheet16.xml"/><Relationship Id="rId221" Type="http://schemas.openxmlformats.org/officeDocument/2006/relationships/externalLink" Target="externalLinks/externalLink126.xml"/><Relationship Id="rId263" Type="http://schemas.openxmlformats.org/officeDocument/2006/relationships/externalLink" Target="externalLinks/externalLink168.xml"/><Relationship Id="rId319" Type="http://schemas.openxmlformats.org/officeDocument/2006/relationships/externalLink" Target="externalLinks/externalLink22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7.xml"/><Relationship Id="rId123" Type="http://schemas.openxmlformats.org/officeDocument/2006/relationships/externalLink" Target="externalLinks/externalLink28.xml"/><Relationship Id="rId144" Type="http://schemas.openxmlformats.org/officeDocument/2006/relationships/externalLink" Target="externalLinks/externalLink49.xml"/><Relationship Id="rId330" Type="http://schemas.openxmlformats.org/officeDocument/2006/relationships/externalLink" Target="externalLinks/externalLink235.xml"/><Relationship Id="rId90" Type="http://schemas.openxmlformats.org/officeDocument/2006/relationships/worksheet" Target="worksheets/sheet90.xml"/><Relationship Id="rId165" Type="http://schemas.openxmlformats.org/officeDocument/2006/relationships/externalLink" Target="externalLinks/externalLink70.xml"/><Relationship Id="rId186" Type="http://schemas.openxmlformats.org/officeDocument/2006/relationships/externalLink" Target="externalLinks/externalLink91.xml"/><Relationship Id="rId351" Type="http://schemas.openxmlformats.org/officeDocument/2006/relationships/externalLink" Target="externalLinks/externalLink256.xml"/><Relationship Id="rId372" Type="http://schemas.openxmlformats.org/officeDocument/2006/relationships/externalLink" Target="externalLinks/externalLink277.xml"/><Relationship Id="rId393" Type="http://schemas.openxmlformats.org/officeDocument/2006/relationships/sheetMetadata" Target="metadata.xml"/><Relationship Id="rId211" Type="http://schemas.openxmlformats.org/officeDocument/2006/relationships/externalLink" Target="externalLinks/externalLink116.xml"/><Relationship Id="rId232" Type="http://schemas.openxmlformats.org/officeDocument/2006/relationships/externalLink" Target="externalLinks/externalLink137.xml"/><Relationship Id="rId253" Type="http://schemas.openxmlformats.org/officeDocument/2006/relationships/externalLink" Target="externalLinks/externalLink158.xml"/><Relationship Id="rId274" Type="http://schemas.openxmlformats.org/officeDocument/2006/relationships/externalLink" Target="externalLinks/externalLink179.xml"/><Relationship Id="rId295" Type="http://schemas.openxmlformats.org/officeDocument/2006/relationships/externalLink" Target="externalLinks/externalLink200.xml"/><Relationship Id="rId309" Type="http://schemas.openxmlformats.org/officeDocument/2006/relationships/externalLink" Target="externalLinks/externalLink21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18.xml"/><Relationship Id="rId134" Type="http://schemas.openxmlformats.org/officeDocument/2006/relationships/externalLink" Target="externalLinks/externalLink39.xml"/><Relationship Id="rId320" Type="http://schemas.openxmlformats.org/officeDocument/2006/relationships/externalLink" Target="externalLinks/externalLink225.xml"/><Relationship Id="rId80" Type="http://schemas.openxmlformats.org/officeDocument/2006/relationships/worksheet" Target="worksheets/sheet80.xml"/><Relationship Id="rId155" Type="http://schemas.openxmlformats.org/officeDocument/2006/relationships/externalLink" Target="externalLinks/externalLink60.xml"/><Relationship Id="rId176" Type="http://schemas.openxmlformats.org/officeDocument/2006/relationships/externalLink" Target="externalLinks/externalLink81.xml"/><Relationship Id="rId197" Type="http://schemas.openxmlformats.org/officeDocument/2006/relationships/externalLink" Target="externalLinks/externalLink102.xml"/><Relationship Id="rId341" Type="http://schemas.openxmlformats.org/officeDocument/2006/relationships/externalLink" Target="externalLinks/externalLink246.xml"/><Relationship Id="rId362" Type="http://schemas.openxmlformats.org/officeDocument/2006/relationships/externalLink" Target="externalLinks/externalLink267.xml"/><Relationship Id="rId383" Type="http://schemas.openxmlformats.org/officeDocument/2006/relationships/externalLink" Target="externalLinks/externalLink288.xml"/><Relationship Id="rId201" Type="http://schemas.openxmlformats.org/officeDocument/2006/relationships/externalLink" Target="externalLinks/externalLink106.xml"/><Relationship Id="rId222" Type="http://schemas.openxmlformats.org/officeDocument/2006/relationships/externalLink" Target="externalLinks/externalLink127.xml"/><Relationship Id="rId243" Type="http://schemas.openxmlformats.org/officeDocument/2006/relationships/externalLink" Target="externalLinks/externalLink148.xml"/><Relationship Id="rId264" Type="http://schemas.openxmlformats.org/officeDocument/2006/relationships/externalLink" Target="externalLinks/externalLink169.xml"/><Relationship Id="rId285" Type="http://schemas.openxmlformats.org/officeDocument/2006/relationships/externalLink" Target="externalLinks/externalLink190.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8.xml"/><Relationship Id="rId124" Type="http://schemas.openxmlformats.org/officeDocument/2006/relationships/externalLink" Target="externalLinks/externalLink29.xml"/><Relationship Id="rId310" Type="http://schemas.openxmlformats.org/officeDocument/2006/relationships/externalLink" Target="externalLinks/externalLink215.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50.xml"/><Relationship Id="rId166" Type="http://schemas.openxmlformats.org/officeDocument/2006/relationships/externalLink" Target="externalLinks/externalLink71.xml"/><Relationship Id="rId187" Type="http://schemas.openxmlformats.org/officeDocument/2006/relationships/externalLink" Target="externalLinks/externalLink92.xml"/><Relationship Id="rId331" Type="http://schemas.openxmlformats.org/officeDocument/2006/relationships/externalLink" Target="externalLinks/externalLink236.xml"/><Relationship Id="rId352" Type="http://schemas.openxmlformats.org/officeDocument/2006/relationships/externalLink" Target="externalLinks/externalLink257.xml"/><Relationship Id="rId373" Type="http://schemas.openxmlformats.org/officeDocument/2006/relationships/externalLink" Target="externalLinks/externalLink278.xml"/><Relationship Id="rId394" Type="http://schemas.openxmlformats.org/officeDocument/2006/relationships/calcChain" Target="calcChain.xml"/><Relationship Id="rId1" Type="http://schemas.openxmlformats.org/officeDocument/2006/relationships/worksheet" Target="worksheets/sheet1.xml"/><Relationship Id="rId212" Type="http://schemas.openxmlformats.org/officeDocument/2006/relationships/externalLink" Target="externalLinks/externalLink117.xml"/><Relationship Id="rId233" Type="http://schemas.openxmlformats.org/officeDocument/2006/relationships/externalLink" Target="externalLinks/externalLink138.xml"/><Relationship Id="rId254" Type="http://schemas.openxmlformats.org/officeDocument/2006/relationships/externalLink" Target="externalLinks/externalLink159.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9.xml"/><Relationship Id="rId275" Type="http://schemas.openxmlformats.org/officeDocument/2006/relationships/externalLink" Target="externalLinks/externalLink180.xml"/><Relationship Id="rId296" Type="http://schemas.openxmlformats.org/officeDocument/2006/relationships/externalLink" Target="externalLinks/externalLink201.xml"/><Relationship Id="rId300" Type="http://schemas.openxmlformats.org/officeDocument/2006/relationships/externalLink" Target="externalLinks/externalLink20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40.xml"/><Relationship Id="rId156" Type="http://schemas.openxmlformats.org/officeDocument/2006/relationships/externalLink" Target="externalLinks/externalLink61.xml"/><Relationship Id="rId177" Type="http://schemas.openxmlformats.org/officeDocument/2006/relationships/externalLink" Target="externalLinks/externalLink82.xml"/><Relationship Id="rId198" Type="http://schemas.openxmlformats.org/officeDocument/2006/relationships/externalLink" Target="externalLinks/externalLink103.xml"/><Relationship Id="rId321" Type="http://schemas.openxmlformats.org/officeDocument/2006/relationships/externalLink" Target="externalLinks/externalLink226.xml"/><Relationship Id="rId342" Type="http://schemas.openxmlformats.org/officeDocument/2006/relationships/externalLink" Target="externalLinks/externalLink247.xml"/><Relationship Id="rId363" Type="http://schemas.openxmlformats.org/officeDocument/2006/relationships/externalLink" Target="externalLinks/externalLink268.xml"/><Relationship Id="rId384" Type="http://schemas.openxmlformats.org/officeDocument/2006/relationships/externalLink" Target="externalLinks/externalLink289.xml"/><Relationship Id="rId202" Type="http://schemas.openxmlformats.org/officeDocument/2006/relationships/externalLink" Target="externalLinks/externalLink107.xml"/><Relationship Id="rId223" Type="http://schemas.openxmlformats.org/officeDocument/2006/relationships/externalLink" Target="externalLinks/externalLink128.xml"/><Relationship Id="rId244" Type="http://schemas.openxmlformats.org/officeDocument/2006/relationships/externalLink" Target="externalLinks/externalLink149.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70.xml"/><Relationship Id="rId286" Type="http://schemas.openxmlformats.org/officeDocument/2006/relationships/externalLink" Target="externalLinks/externalLink191.xml"/><Relationship Id="rId50" Type="http://schemas.openxmlformats.org/officeDocument/2006/relationships/worksheet" Target="worksheets/sheet50.xml"/><Relationship Id="rId104" Type="http://schemas.openxmlformats.org/officeDocument/2006/relationships/externalLink" Target="externalLinks/externalLink9.xml"/><Relationship Id="rId125" Type="http://schemas.openxmlformats.org/officeDocument/2006/relationships/externalLink" Target="externalLinks/externalLink30.xml"/><Relationship Id="rId146" Type="http://schemas.openxmlformats.org/officeDocument/2006/relationships/externalLink" Target="externalLinks/externalLink51.xml"/><Relationship Id="rId167" Type="http://schemas.openxmlformats.org/officeDocument/2006/relationships/externalLink" Target="externalLinks/externalLink72.xml"/><Relationship Id="rId188" Type="http://schemas.openxmlformats.org/officeDocument/2006/relationships/externalLink" Target="externalLinks/externalLink93.xml"/><Relationship Id="rId311" Type="http://schemas.openxmlformats.org/officeDocument/2006/relationships/externalLink" Target="externalLinks/externalLink216.xml"/><Relationship Id="rId332" Type="http://schemas.openxmlformats.org/officeDocument/2006/relationships/externalLink" Target="externalLinks/externalLink237.xml"/><Relationship Id="rId353" Type="http://schemas.openxmlformats.org/officeDocument/2006/relationships/externalLink" Target="externalLinks/externalLink258.xml"/><Relationship Id="rId374" Type="http://schemas.openxmlformats.org/officeDocument/2006/relationships/externalLink" Target="externalLinks/externalLink279.xml"/><Relationship Id="rId395" Type="http://schemas.openxmlformats.org/officeDocument/2006/relationships/customXml" Target="../customXml/item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18.xml"/><Relationship Id="rId234" Type="http://schemas.openxmlformats.org/officeDocument/2006/relationships/externalLink" Target="externalLinks/externalLink139.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60.xml"/><Relationship Id="rId276" Type="http://schemas.openxmlformats.org/officeDocument/2006/relationships/externalLink" Target="externalLinks/externalLink181.xml"/><Relationship Id="rId297" Type="http://schemas.openxmlformats.org/officeDocument/2006/relationships/externalLink" Target="externalLinks/externalLink202.xml"/><Relationship Id="rId40" Type="http://schemas.openxmlformats.org/officeDocument/2006/relationships/worksheet" Target="worksheets/sheet40.xml"/><Relationship Id="rId115" Type="http://schemas.openxmlformats.org/officeDocument/2006/relationships/externalLink" Target="externalLinks/externalLink20.xml"/><Relationship Id="rId136" Type="http://schemas.openxmlformats.org/officeDocument/2006/relationships/externalLink" Target="externalLinks/externalLink41.xml"/><Relationship Id="rId157" Type="http://schemas.openxmlformats.org/officeDocument/2006/relationships/externalLink" Target="externalLinks/externalLink62.xml"/><Relationship Id="rId178" Type="http://schemas.openxmlformats.org/officeDocument/2006/relationships/externalLink" Target="externalLinks/externalLink83.xml"/><Relationship Id="rId301" Type="http://schemas.openxmlformats.org/officeDocument/2006/relationships/externalLink" Target="externalLinks/externalLink206.xml"/><Relationship Id="rId322" Type="http://schemas.openxmlformats.org/officeDocument/2006/relationships/externalLink" Target="externalLinks/externalLink227.xml"/><Relationship Id="rId343" Type="http://schemas.openxmlformats.org/officeDocument/2006/relationships/externalLink" Target="externalLinks/externalLink248.xml"/><Relationship Id="rId364" Type="http://schemas.openxmlformats.org/officeDocument/2006/relationships/externalLink" Target="externalLinks/externalLink269.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04.xml"/><Relationship Id="rId203" Type="http://schemas.openxmlformats.org/officeDocument/2006/relationships/externalLink" Target="externalLinks/externalLink108.xml"/><Relationship Id="rId385" Type="http://schemas.openxmlformats.org/officeDocument/2006/relationships/externalLink" Target="externalLinks/externalLink290.xml"/><Relationship Id="rId19" Type="http://schemas.openxmlformats.org/officeDocument/2006/relationships/worksheet" Target="worksheets/sheet19.xml"/><Relationship Id="rId224" Type="http://schemas.openxmlformats.org/officeDocument/2006/relationships/externalLink" Target="externalLinks/externalLink129.xml"/><Relationship Id="rId245" Type="http://schemas.openxmlformats.org/officeDocument/2006/relationships/externalLink" Target="externalLinks/externalLink150.xml"/><Relationship Id="rId266" Type="http://schemas.openxmlformats.org/officeDocument/2006/relationships/externalLink" Target="externalLinks/externalLink171.xml"/><Relationship Id="rId287" Type="http://schemas.openxmlformats.org/officeDocument/2006/relationships/externalLink" Target="externalLinks/externalLink192.xml"/><Relationship Id="rId30" Type="http://schemas.openxmlformats.org/officeDocument/2006/relationships/worksheet" Target="worksheets/sheet30.xml"/><Relationship Id="rId105" Type="http://schemas.openxmlformats.org/officeDocument/2006/relationships/externalLink" Target="externalLinks/externalLink10.xml"/><Relationship Id="rId126" Type="http://schemas.openxmlformats.org/officeDocument/2006/relationships/externalLink" Target="externalLinks/externalLink31.xml"/><Relationship Id="rId147" Type="http://schemas.openxmlformats.org/officeDocument/2006/relationships/externalLink" Target="externalLinks/externalLink52.xml"/><Relationship Id="rId168" Type="http://schemas.openxmlformats.org/officeDocument/2006/relationships/externalLink" Target="externalLinks/externalLink73.xml"/><Relationship Id="rId312" Type="http://schemas.openxmlformats.org/officeDocument/2006/relationships/externalLink" Target="externalLinks/externalLink217.xml"/><Relationship Id="rId333" Type="http://schemas.openxmlformats.org/officeDocument/2006/relationships/externalLink" Target="externalLinks/externalLink238.xml"/><Relationship Id="rId354" Type="http://schemas.openxmlformats.org/officeDocument/2006/relationships/externalLink" Target="externalLinks/externalLink259.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94.xml"/><Relationship Id="rId375" Type="http://schemas.openxmlformats.org/officeDocument/2006/relationships/externalLink" Target="externalLinks/externalLink280.xml"/><Relationship Id="rId396" Type="http://schemas.openxmlformats.org/officeDocument/2006/relationships/customXml" Target="../customXml/item2.xml"/><Relationship Id="rId3" Type="http://schemas.openxmlformats.org/officeDocument/2006/relationships/worksheet" Target="worksheets/sheet3.xml"/><Relationship Id="rId214" Type="http://schemas.openxmlformats.org/officeDocument/2006/relationships/externalLink" Target="externalLinks/externalLink119.xml"/><Relationship Id="rId235" Type="http://schemas.openxmlformats.org/officeDocument/2006/relationships/externalLink" Target="externalLinks/externalLink140.xml"/><Relationship Id="rId256" Type="http://schemas.openxmlformats.org/officeDocument/2006/relationships/externalLink" Target="externalLinks/externalLink161.xml"/><Relationship Id="rId277" Type="http://schemas.openxmlformats.org/officeDocument/2006/relationships/externalLink" Target="externalLinks/externalLink182.xml"/><Relationship Id="rId298" Type="http://schemas.openxmlformats.org/officeDocument/2006/relationships/externalLink" Target="externalLinks/externalLink203.xml"/><Relationship Id="rId116" Type="http://schemas.openxmlformats.org/officeDocument/2006/relationships/externalLink" Target="externalLinks/externalLink21.xml"/><Relationship Id="rId137" Type="http://schemas.openxmlformats.org/officeDocument/2006/relationships/externalLink" Target="externalLinks/externalLink42.xml"/><Relationship Id="rId158" Type="http://schemas.openxmlformats.org/officeDocument/2006/relationships/externalLink" Target="externalLinks/externalLink63.xml"/><Relationship Id="rId302" Type="http://schemas.openxmlformats.org/officeDocument/2006/relationships/externalLink" Target="externalLinks/externalLink207.xml"/><Relationship Id="rId323" Type="http://schemas.openxmlformats.org/officeDocument/2006/relationships/externalLink" Target="externalLinks/externalLink228.xml"/><Relationship Id="rId344" Type="http://schemas.openxmlformats.org/officeDocument/2006/relationships/externalLink" Target="externalLinks/externalLink24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84.xml"/><Relationship Id="rId365" Type="http://schemas.openxmlformats.org/officeDocument/2006/relationships/externalLink" Target="externalLinks/externalLink270.xml"/><Relationship Id="rId386" Type="http://schemas.openxmlformats.org/officeDocument/2006/relationships/externalLink" Target="externalLinks/externalLink291.xml"/><Relationship Id="rId190" Type="http://schemas.openxmlformats.org/officeDocument/2006/relationships/externalLink" Target="externalLinks/externalLink95.xml"/><Relationship Id="rId204" Type="http://schemas.openxmlformats.org/officeDocument/2006/relationships/externalLink" Target="externalLinks/externalLink109.xml"/><Relationship Id="rId225" Type="http://schemas.openxmlformats.org/officeDocument/2006/relationships/externalLink" Target="externalLinks/externalLink130.xml"/><Relationship Id="rId246" Type="http://schemas.openxmlformats.org/officeDocument/2006/relationships/externalLink" Target="externalLinks/externalLink151.xml"/><Relationship Id="rId267" Type="http://schemas.openxmlformats.org/officeDocument/2006/relationships/externalLink" Target="externalLinks/externalLink172.xml"/><Relationship Id="rId288" Type="http://schemas.openxmlformats.org/officeDocument/2006/relationships/externalLink" Target="externalLinks/externalLink193.xml"/><Relationship Id="rId106" Type="http://schemas.openxmlformats.org/officeDocument/2006/relationships/externalLink" Target="externalLinks/externalLink11.xml"/><Relationship Id="rId127" Type="http://schemas.openxmlformats.org/officeDocument/2006/relationships/externalLink" Target="externalLinks/externalLink32.xml"/><Relationship Id="rId313" Type="http://schemas.openxmlformats.org/officeDocument/2006/relationships/externalLink" Target="externalLinks/externalLink21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externalLink" Target="externalLinks/externalLink53.xml"/><Relationship Id="rId169" Type="http://schemas.openxmlformats.org/officeDocument/2006/relationships/externalLink" Target="externalLinks/externalLink74.xml"/><Relationship Id="rId334" Type="http://schemas.openxmlformats.org/officeDocument/2006/relationships/externalLink" Target="externalLinks/externalLink239.xml"/><Relationship Id="rId355" Type="http://schemas.openxmlformats.org/officeDocument/2006/relationships/externalLink" Target="externalLinks/externalLink260.xml"/><Relationship Id="rId376" Type="http://schemas.openxmlformats.org/officeDocument/2006/relationships/externalLink" Target="externalLinks/externalLink281.xml"/><Relationship Id="rId397" Type="http://schemas.openxmlformats.org/officeDocument/2006/relationships/customXml" Target="../customXml/item3.xml"/><Relationship Id="rId4" Type="http://schemas.openxmlformats.org/officeDocument/2006/relationships/worksheet" Target="worksheets/sheet4.xml"/><Relationship Id="rId180" Type="http://schemas.openxmlformats.org/officeDocument/2006/relationships/externalLink" Target="externalLinks/externalLink85.xml"/><Relationship Id="rId215" Type="http://schemas.openxmlformats.org/officeDocument/2006/relationships/externalLink" Target="externalLinks/externalLink120.xml"/><Relationship Id="rId236" Type="http://schemas.openxmlformats.org/officeDocument/2006/relationships/externalLink" Target="externalLinks/externalLink141.xml"/><Relationship Id="rId257" Type="http://schemas.openxmlformats.org/officeDocument/2006/relationships/externalLink" Target="externalLinks/externalLink162.xml"/><Relationship Id="rId278" Type="http://schemas.openxmlformats.org/officeDocument/2006/relationships/externalLink" Target="externalLinks/externalLink183.xml"/><Relationship Id="rId303" Type="http://schemas.openxmlformats.org/officeDocument/2006/relationships/externalLink" Target="externalLinks/externalLink20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externalLink" Target="externalLinks/externalLink43.xml"/><Relationship Id="rId345" Type="http://schemas.openxmlformats.org/officeDocument/2006/relationships/externalLink" Target="externalLinks/externalLink250.xml"/><Relationship Id="rId387" Type="http://schemas.openxmlformats.org/officeDocument/2006/relationships/externalLink" Target="externalLinks/externalLink292.xml"/><Relationship Id="rId191" Type="http://schemas.openxmlformats.org/officeDocument/2006/relationships/externalLink" Target="externalLinks/externalLink96.xml"/><Relationship Id="rId205" Type="http://schemas.openxmlformats.org/officeDocument/2006/relationships/externalLink" Target="externalLinks/externalLink110.xml"/><Relationship Id="rId247" Type="http://schemas.openxmlformats.org/officeDocument/2006/relationships/externalLink" Target="externalLinks/externalLink152.xml"/><Relationship Id="rId107" Type="http://schemas.openxmlformats.org/officeDocument/2006/relationships/externalLink" Target="externalLinks/externalLink12.xml"/><Relationship Id="rId289" Type="http://schemas.openxmlformats.org/officeDocument/2006/relationships/externalLink" Target="externalLinks/externalLink194.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54.xml"/><Relationship Id="rId314" Type="http://schemas.openxmlformats.org/officeDocument/2006/relationships/externalLink" Target="externalLinks/externalLink219.xml"/><Relationship Id="rId356" Type="http://schemas.openxmlformats.org/officeDocument/2006/relationships/externalLink" Target="externalLinks/externalLink261.xml"/><Relationship Id="rId95" Type="http://schemas.openxmlformats.org/officeDocument/2006/relationships/worksheet" Target="worksheets/sheet95.xml"/><Relationship Id="rId160" Type="http://schemas.openxmlformats.org/officeDocument/2006/relationships/externalLink" Target="externalLinks/externalLink65.xml"/><Relationship Id="rId216" Type="http://schemas.openxmlformats.org/officeDocument/2006/relationships/externalLink" Target="externalLinks/externalLink121.xml"/><Relationship Id="rId258" Type="http://schemas.openxmlformats.org/officeDocument/2006/relationships/externalLink" Target="externalLinks/externalLink163.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externalLink" Target="externalLinks/externalLink23.xml"/><Relationship Id="rId325" Type="http://schemas.openxmlformats.org/officeDocument/2006/relationships/externalLink" Target="externalLinks/externalLink230.xml"/><Relationship Id="rId367" Type="http://schemas.openxmlformats.org/officeDocument/2006/relationships/externalLink" Target="externalLinks/externalLink272.xml"/><Relationship Id="rId171" Type="http://schemas.openxmlformats.org/officeDocument/2006/relationships/externalLink" Target="externalLinks/externalLink76.xml"/><Relationship Id="rId227" Type="http://schemas.openxmlformats.org/officeDocument/2006/relationships/externalLink" Target="externalLinks/externalLink132.xml"/><Relationship Id="rId269" Type="http://schemas.openxmlformats.org/officeDocument/2006/relationships/externalLink" Target="externalLinks/externalLink174.xml"/><Relationship Id="rId33" Type="http://schemas.openxmlformats.org/officeDocument/2006/relationships/worksheet" Target="worksheets/sheet33.xml"/><Relationship Id="rId129" Type="http://schemas.openxmlformats.org/officeDocument/2006/relationships/externalLink" Target="externalLinks/externalLink34.xml"/><Relationship Id="rId280" Type="http://schemas.openxmlformats.org/officeDocument/2006/relationships/externalLink" Target="externalLinks/externalLink185.xml"/><Relationship Id="rId336" Type="http://schemas.openxmlformats.org/officeDocument/2006/relationships/externalLink" Target="externalLinks/externalLink241.xml"/><Relationship Id="rId75" Type="http://schemas.openxmlformats.org/officeDocument/2006/relationships/worksheet" Target="worksheets/sheet75.xml"/><Relationship Id="rId140" Type="http://schemas.openxmlformats.org/officeDocument/2006/relationships/externalLink" Target="externalLinks/externalLink45.xml"/><Relationship Id="rId182" Type="http://schemas.openxmlformats.org/officeDocument/2006/relationships/externalLink" Target="externalLinks/externalLink87.xml"/><Relationship Id="rId378" Type="http://schemas.openxmlformats.org/officeDocument/2006/relationships/externalLink" Target="externalLinks/externalLink283.xml"/><Relationship Id="rId6" Type="http://schemas.openxmlformats.org/officeDocument/2006/relationships/worksheet" Target="worksheets/sheet6.xml"/><Relationship Id="rId238" Type="http://schemas.openxmlformats.org/officeDocument/2006/relationships/externalLink" Target="externalLinks/externalLink143.xml"/><Relationship Id="rId291" Type="http://schemas.openxmlformats.org/officeDocument/2006/relationships/externalLink" Target="externalLinks/externalLink196.xml"/><Relationship Id="rId305" Type="http://schemas.openxmlformats.org/officeDocument/2006/relationships/externalLink" Target="externalLinks/externalLink210.xml"/><Relationship Id="rId347" Type="http://schemas.openxmlformats.org/officeDocument/2006/relationships/externalLink" Target="externalLinks/externalLink25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externalLink" Target="externalLinks/externalLink56.xml"/><Relationship Id="rId389" Type="http://schemas.openxmlformats.org/officeDocument/2006/relationships/externalLink" Target="externalLinks/externalLink294.xml"/><Relationship Id="rId193" Type="http://schemas.openxmlformats.org/officeDocument/2006/relationships/externalLink" Target="externalLinks/externalLink98.xml"/><Relationship Id="rId207" Type="http://schemas.openxmlformats.org/officeDocument/2006/relationships/externalLink" Target="externalLinks/externalLink112.xml"/><Relationship Id="rId249" Type="http://schemas.openxmlformats.org/officeDocument/2006/relationships/externalLink" Target="externalLinks/externalLink154.xml"/><Relationship Id="rId13" Type="http://schemas.openxmlformats.org/officeDocument/2006/relationships/worksheet" Target="worksheets/sheet13.xml"/><Relationship Id="rId109" Type="http://schemas.openxmlformats.org/officeDocument/2006/relationships/externalLink" Target="externalLinks/externalLink14.xml"/><Relationship Id="rId260" Type="http://schemas.openxmlformats.org/officeDocument/2006/relationships/externalLink" Target="externalLinks/externalLink165.xml"/><Relationship Id="rId316" Type="http://schemas.openxmlformats.org/officeDocument/2006/relationships/externalLink" Target="externalLinks/externalLink221.xml"/><Relationship Id="rId55" Type="http://schemas.openxmlformats.org/officeDocument/2006/relationships/worksheet" Target="worksheets/sheet55.xml"/><Relationship Id="rId97" Type="http://schemas.openxmlformats.org/officeDocument/2006/relationships/externalLink" Target="externalLinks/externalLink2.xml"/><Relationship Id="rId120" Type="http://schemas.openxmlformats.org/officeDocument/2006/relationships/externalLink" Target="externalLinks/externalLink25.xml"/><Relationship Id="rId358" Type="http://schemas.openxmlformats.org/officeDocument/2006/relationships/externalLink" Target="externalLinks/externalLink263.xml"/><Relationship Id="rId162" Type="http://schemas.openxmlformats.org/officeDocument/2006/relationships/externalLink" Target="externalLinks/externalLink67.xml"/><Relationship Id="rId218" Type="http://schemas.openxmlformats.org/officeDocument/2006/relationships/externalLink" Target="externalLinks/externalLink123.xml"/><Relationship Id="rId271" Type="http://schemas.openxmlformats.org/officeDocument/2006/relationships/externalLink" Target="externalLinks/externalLink176.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externalLink" Target="externalLinks/externalLink36.xml"/><Relationship Id="rId327" Type="http://schemas.openxmlformats.org/officeDocument/2006/relationships/externalLink" Target="externalLinks/externalLink232.xml"/><Relationship Id="rId369" Type="http://schemas.openxmlformats.org/officeDocument/2006/relationships/externalLink" Target="externalLinks/externalLink274.xml"/><Relationship Id="rId173" Type="http://schemas.openxmlformats.org/officeDocument/2006/relationships/externalLink" Target="externalLinks/externalLink78.xml"/><Relationship Id="rId229" Type="http://schemas.openxmlformats.org/officeDocument/2006/relationships/externalLink" Target="externalLinks/externalLink134.xml"/><Relationship Id="rId380" Type="http://schemas.openxmlformats.org/officeDocument/2006/relationships/externalLink" Target="externalLinks/externalLink285.xml"/><Relationship Id="rId240" Type="http://schemas.openxmlformats.org/officeDocument/2006/relationships/externalLink" Target="externalLinks/externalLink145.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externalLink" Target="externalLinks/externalLink5.xml"/><Relationship Id="rId282" Type="http://schemas.openxmlformats.org/officeDocument/2006/relationships/externalLink" Target="externalLinks/externalLink187.xml"/><Relationship Id="rId338" Type="http://schemas.openxmlformats.org/officeDocument/2006/relationships/externalLink" Target="externalLinks/externalLink243.xml"/><Relationship Id="rId8" Type="http://schemas.openxmlformats.org/officeDocument/2006/relationships/worksheet" Target="worksheets/sheet8.xml"/><Relationship Id="rId142" Type="http://schemas.openxmlformats.org/officeDocument/2006/relationships/externalLink" Target="externalLinks/externalLink47.xml"/><Relationship Id="rId184" Type="http://schemas.openxmlformats.org/officeDocument/2006/relationships/externalLink" Target="externalLinks/externalLink89.xml"/><Relationship Id="rId391" Type="http://schemas.openxmlformats.org/officeDocument/2006/relationships/styles" Target="styles.xml"/><Relationship Id="rId251" Type="http://schemas.openxmlformats.org/officeDocument/2006/relationships/externalLink" Target="externalLinks/externalLink156.xml"/><Relationship Id="rId46" Type="http://schemas.openxmlformats.org/officeDocument/2006/relationships/worksheet" Target="worksheets/sheet46.xml"/><Relationship Id="rId293" Type="http://schemas.openxmlformats.org/officeDocument/2006/relationships/externalLink" Target="externalLinks/externalLink198.xml"/><Relationship Id="rId307" Type="http://schemas.openxmlformats.org/officeDocument/2006/relationships/externalLink" Target="externalLinks/externalLink212.xml"/><Relationship Id="rId349" Type="http://schemas.openxmlformats.org/officeDocument/2006/relationships/externalLink" Target="externalLinks/externalLink254.xml"/><Relationship Id="rId88" Type="http://schemas.openxmlformats.org/officeDocument/2006/relationships/worksheet" Target="worksheets/sheet88.xml"/><Relationship Id="rId111" Type="http://schemas.openxmlformats.org/officeDocument/2006/relationships/externalLink" Target="externalLinks/externalLink16.xml"/><Relationship Id="rId153" Type="http://schemas.openxmlformats.org/officeDocument/2006/relationships/externalLink" Target="externalLinks/externalLink58.xml"/><Relationship Id="rId195" Type="http://schemas.openxmlformats.org/officeDocument/2006/relationships/externalLink" Target="externalLinks/externalLink100.xml"/><Relationship Id="rId209" Type="http://schemas.openxmlformats.org/officeDocument/2006/relationships/externalLink" Target="externalLinks/externalLink114.xml"/><Relationship Id="rId360" Type="http://schemas.openxmlformats.org/officeDocument/2006/relationships/externalLink" Target="externalLinks/externalLink265.xml"/><Relationship Id="rId220" Type="http://schemas.openxmlformats.org/officeDocument/2006/relationships/externalLink" Target="externalLinks/externalLink125.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externalLink" Target="externalLinks/externalLink167.xml"/><Relationship Id="rId318" Type="http://schemas.openxmlformats.org/officeDocument/2006/relationships/externalLink" Target="externalLinks/externalLink223.xml"/><Relationship Id="rId99" Type="http://schemas.openxmlformats.org/officeDocument/2006/relationships/externalLink" Target="externalLinks/externalLink4.xml"/><Relationship Id="rId122" Type="http://schemas.openxmlformats.org/officeDocument/2006/relationships/externalLink" Target="externalLinks/externalLink27.xml"/><Relationship Id="rId164" Type="http://schemas.openxmlformats.org/officeDocument/2006/relationships/externalLink" Target="externalLinks/externalLink69.xml"/><Relationship Id="rId371" Type="http://schemas.openxmlformats.org/officeDocument/2006/relationships/externalLink" Target="externalLinks/externalLink276.xml"/><Relationship Id="rId26" Type="http://schemas.openxmlformats.org/officeDocument/2006/relationships/worksheet" Target="worksheets/sheet26.xml"/><Relationship Id="rId231" Type="http://schemas.openxmlformats.org/officeDocument/2006/relationships/externalLink" Target="externalLinks/externalLink136.xml"/><Relationship Id="rId273" Type="http://schemas.openxmlformats.org/officeDocument/2006/relationships/externalLink" Target="externalLinks/externalLink178.xml"/><Relationship Id="rId329" Type="http://schemas.openxmlformats.org/officeDocument/2006/relationships/externalLink" Target="externalLinks/externalLink234.xml"/><Relationship Id="rId68" Type="http://schemas.openxmlformats.org/officeDocument/2006/relationships/worksheet" Target="worksheets/sheet68.xml"/><Relationship Id="rId133" Type="http://schemas.openxmlformats.org/officeDocument/2006/relationships/externalLink" Target="externalLinks/externalLink38.xml"/><Relationship Id="rId175" Type="http://schemas.openxmlformats.org/officeDocument/2006/relationships/externalLink" Target="externalLinks/externalLink80.xml"/><Relationship Id="rId340" Type="http://schemas.openxmlformats.org/officeDocument/2006/relationships/externalLink" Target="externalLinks/externalLink245.xml"/><Relationship Id="rId200" Type="http://schemas.openxmlformats.org/officeDocument/2006/relationships/externalLink" Target="externalLinks/externalLink105.xml"/><Relationship Id="rId382" Type="http://schemas.openxmlformats.org/officeDocument/2006/relationships/externalLink" Target="externalLinks/externalLink287.xml"/><Relationship Id="rId242" Type="http://schemas.openxmlformats.org/officeDocument/2006/relationships/externalLink" Target="externalLinks/externalLink147.xml"/><Relationship Id="rId284" Type="http://schemas.openxmlformats.org/officeDocument/2006/relationships/externalLink" Target="externalLinks/externalLink18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2"/>
          <c:tx>
            <c:v>RELLENO</c:v>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rendlineLbl>
          </c:trendline>
          <c:xVal>
            <c:numRef>
              <c:f>'INT. REDES'!$A$3:$B$3</c:f>
              <c:numCache>
                <c:formatCode>General</c:formatCode>
                <c:ptCount val="2"/>
                <c:pt idx="0">
                  <c:v>10</c:v>
                </c:pt>
                <c:pt idx="1">
                  <c:v>24</c:v>
                </c:pt>
              </c:numCache>
            </c:numRef>
          </c:xVal>
          <c:yVal>
            <c:numRef>
              <c:f>'INT. REDES'!$A$6:$B$6</c:f>
              <c:numCache>
                <c:formatCode>General</c:formatCode>
                <c:ptCount val="2"/>
                <c:pt idx="0">
                  <c:v>33</c:v>
                </c:pt>
                <c:pt idx="1">
                  <c:v>52.199999999999996</c:v>
                </c:pt>
              </c:numCache>
            </c:numRef>
          </c:yVal>
          <c:smooth val="0"/>
          <c:extLst>
            <c:ext xmlns:c16="http://schemas.microsoft.com/office/drawing/2014/chart" uri="{C3380CC4-5D6E-409C-BE32-E72D297353CC}">
              <c16:uniqueId val="{00000001-1292-4E27-AFDB-A51CE4207F38}"/>
            </c:ext>
          </c:extLst>
        </c:ser>
        <c:ser>
          <c:idx val="4"/>
          <c:order val="4"/>
          <c:tx>
            <c:v>COMPACTACION</c:v>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rendlineLbl>
          </c:trendline>
          <c:xVal>
            <c:numRef>
              <c:f>'INT. REDES'!$A$3:$B$3</c:f>
              <c:numCache>
                <c:formatCode>General</c:formatCode>
                <c:ptCount val="2"/>
                <c:pt idx="0">
                  <c:v>10</c:v>
                </c:pt>
                <c:pt idx="1">
                  <c:v>24</c:v>
                </c:pt>
              </c:numCache>
            </c:numRef>
          </c:xVal>
          <c:yVal>
            <c:numRef>
              <c:f>'INT. REDES'!$A$8:$B$8</c:f>
              <c:numCache>
                <c:formatCode>General</c:formatCode>
                <c:ptCount val="2"/>
                <c:pt idx="0">
                  <c:v>48</c:v>
                </c:pt>
                <c:pt idx="1">
                  <c:v>80</c:v>
                </c:pt>
              </c:numCache>
            </c:numRef>
          </c:yVal>
          <c:smooth val="0"/>
          <c:extLst>
            <c:ext xmlns:c16="http://schemas.microsoft.com/office/drawing/2014/chart" uri="{C3380CC4-5D6E-409C-BE32-E72D297353CC}">
              <c16:uniqueId val="{00000003-1292-4E27-AFDB-A51CE4207F38}"/>
            </c:ext>
          </c:extLst>
        </c:ser>
        <c:ser>
          <c:idx val="5"/>
          <c:order val="5"/>
          <c:tx>
            <c:v>CAJA DE INSPECION</c:v>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rendlineLbl>
          </c:trendline>
          <c:xVal>
            <c:numRef>
              <c:f>'INT. REDES'!$A$3:$B$3</c:f>
              <c:numCache>
                <c:formatCode>General</c:formatCode>
                <c:ptCount val="2"/>
                <c:pt idx="0">
                  <c:v>10</c:v>
                </c:pt>
                <c:pt idx="1">
                  <c:v>24</c:v>
                </c:pt>
              </c:numCache>
            </c:numRef>
          </c:xVal>
          <c:yVal>
            <c:numRef>
              <c:f>'INT. REDES'!$A$9:$B$9</c:f>
              <c:numCache>
                <c:formatCode>General</c:formatCode>
                <c:ptCount val="2"/>
                <c:pt idx="0">
                  <c:v>9</c:v>
                </c:pt>
                <c:pt idx="1">
                  <c:v>13</c:v>
                </c:pt>
              </c:numCache>
            </c:numRef>
          </c:yVal>
          <c:smooth val="0"/>
          <c:extLst>
            <c:ext xmlns:c16="http://schemas.microsoft.com/office/drawing/2014/chart" uri="{C3380CC4-5D6E-409C-BE32-E72D297353CC}">
              <c16:uniqueId val="{00000005-1292-4E27-AFDB-A51CE4207F38}"/>
            </c:ext>
          </c:extLst>
        </c:ser>
        <c:ser>
          <c:idx val="6"/>
          <c:order val="6"/>
          <c:tx>
            <c:v>SALIDA ENVOLVENTE</c:v>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trendline>
            <c:spPr>
              <a:ln w="19050" cap="rnd">
                <a:solidFill>
                  <a:schemeClr val="accent1">
                    <a:lumMod val="60000"/>
                  </a:schemeClr>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rendlineLbl>
          </c:trendline>
          <c:xVal>
            <c:numRef>
              <c:f>'INT. REDES'!$A$3:$B$3</c:f>
              <c:numCache>
                <c:formatCode>General</c:formatCode>
                <c:ptCount val="2"/>
                <c:pt idx="0">
                  <c:v>10</c:v>
                </c:pt>
                <c:pt idx="1">
                  <c:v>24</c:v>
                </c:pt>
              </c:numCache>
            </c:numRef>
          </c:xVal>
          <c:yVal>
            <c:numRef>
              <c:f>'INT. REDES'!$A$10:$B$10</c:f>
              <c:numCache>
                <c:formatCode>General</c:formatCode>
                <c:ptCount val="2"/>
                <c:pt idx="0">
                  <c:v>1</c:v>
                </c:pt>
                <c:pt idx="1">
                  <c:v>2</c:v>
                </c:pt>
              </c:numCache>
            </c:numRef>
          </c:yVal>
          <c:smooth val="0"/>
          <c:extLst>
            <c:ext xmlns:c16="http://schemas.microsoft.com/office/drawing/2014/chart" uri="{C3380CC4-5D6E-409C-BE32-E72D297353CC}">
              <c16:uniqueId val="{00000007-1292-4E27-AFDB-A51CE4207F38}"/>
            </c:ext>
          </c:extLst>
        </c:ser>
        <c:dLbls>
          <c:showLegendKey val="0"/>
          <c:showVal val="0"/>
          <c:showCatName val="0"/>
          <c:showSerName val="0"/>
          <c:showPercent val="0"/>
          <c:showBubbleSize val="0"/>
        </c:dLbls>
        <c:axId val="1423781919"/>
        <c:axId val="1437921519"/>
        <c:extLst>
          <c:ext xmlns:c15="http://schemas.microsoft.com/office/drawing/2012/chart" uri="{02D57815-91ED-43cb-92C2-25804820EDAC}">
            <c15:filteredScatterSeries>
              <c15:ser>
                <c:idx val="0"/>
                <c:order val="0"/>
                <c:tx>
                  <c:v>EXCAVACION</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rendlineLbl>
                </c:trendline>
                <c:xVal>
                  <c:numRef>
                    <c:extLst>
                      <c:ext uri="{02D57815-91ED-43cb-92C2-25804820EDAC}">
                        <c15:formulaRef>
                          <c15:sqref>'INT. REDES'!$A$3:$B$3</c15:sqref>
                        </c15:formulaRef>
                      </c:ext>
                    </c:extLst>
                    <c:numCache>
                      <c:formatCode>General</c:formatCode>
                      <c:ptCount val="2"/>
                      <c:pt idx="0">
                        <c:v>10</c:v>
                      </c:pt>
                      <c:pt idx="1">
                        <c:v>24</c:v>
                      </c:pt>
                    </c:numCache>
                  </c:numRef>
                </c:xVal>
                <c:yVal>
                  <c:numRef>
                    <c:extLst>
                      <c:ext uri="{02D57815-91ED-43cb-92C2-25804820EDAC}">
                        <c15:formulaRef>
                          <c15:sqref>'INT. REDES'!$A$4:$B$4</c15:sqref>
                        </c15:formulaRef>
                      </c:ext>
                    </c:extLst>
                    <c:numCache>
                      <c:formatCode>General</c:formatCode>
                      <c:ptCount val="2"/>
                      <c:pt idx="0">
                        <c:v>141.72</c:v>
                      </c:pt>
                      <c:pt idx="1">
                        <c:v>223.38</c:v>
                      </c:pt>
                    </c:numCache>
                  </c:numRef>
                </c:yVal>
                <c:smooth val="0"/>
                <c:extLst>
                  <c:ext xmlns:c16="http://schemas.microsoft.com/office/drawing/2014/chart" uri="{C3380CC4-5D6E-409C-BE32-E72D297353CC}">
                    <c16:uniqueId val="{00000009-1292-4E27-AFDB-A51CE4207F38}"/>
                  </c:ext>
                </c:extLst>
              </c15:ser>
            </c15:filteredScatterSeries>
            <c15:filteredScatterSeries>
              <c15:ser>
                <c:idx val="1"/>
                <c:order val="1"/>
                <c:tx>
                  <c:v>GEOTEXTIL</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rendlineLbl>
                </c:trendline>
                <c:xVal>
                  <c:numRef>
                    <c:extLst xmlns:c15="http://schemas.microsoft.com/office/drawing/2012/chart">
                      <c:ext xmlns:c15="http://schemas.microsoft.com/office/drawing/2012/chart" uri="{02D57815-91ED-43cb-92C2-25804820EDAC}">
                        <c15:formulaRef>
                          <c15:sqref>'INT. REDES'!$A$3:$B$3</c15:sqref>
                        </c15:formulaRef>
                      </c:ext>
                    </c:extLst>
                    <c:numCache>
                      <c:formatCode>General</c:formatCode>
                      <c:ptCount val="2"/>
                      <c:pt idx="0">
                        <c:v>10</c:v>
                      </c:pt>
                      <c:pt idx="1">
                        <c:v>24</c:v>
                      </c:pt>
                    </c:numCache>
                  </c:numRef>
                </c:xVal>
                <c:yVal>
                  <c:numRef>
                    <c:extLst xmlns:c15="http://schemas.microsoft.com/office/drawing/2012/chart">
                      <c:ext xmlns:c15="http://schemas.microsoft.com/office/drawing/2012/chart" uri="{02D57815-91ED-43cb-92C2-25804820EDAC}">
                        <c15:formulaRef>
                          <c15:sqref>'INT. REDES'!$A$5:$B$5</c15:sqref>
                        </c15:formulaRef>
                      </c:ext>
                    </c:extLst>
                    <c:numCache>
                      <c:formatCode>General</c:formatCode>
                      <c:ptCount val="2"/>
                      <c:pt idx="0">
                        <c:v>480</c:v>
                      </c:pt>
                      <c:pt idx="1">
                        <c:v>1392</c:v>
                      </c:pt>
                    </c:numCache>
                  </c:numRef>
                </c:yVal>
                <c:smooth val="0"/>
                <c:extLst xmlns:c15="http://schemas.microsoft.com/office/drawing/2012/chart">
                  <c:ext xmlns:c16="http://schemas.microsoft.com/office/drawing/2014/chart" uri="{C3380CC4-5D6E-409C-BE32-E72D297353CC}">
                    <c16:uniqueId val="{0000000B-1292-4E27-AFDB-A51CE4207F38}"/>
                  </c:ext>
                </c:extLst>
              </c15:ser>
            </c15:filteredScatterSeries>
            <c15:filteredScatterSeries>
              <c15:ser>
                <c:idx val="3"/>
                <c:order val="3"/>
                <c:tx>
                  <c:v>CANALIZACION</c:v>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rendlineLbl>
                </c:trendline>
                <c:xVal>
                  <c:numRef>
                    <c:extLst xmlns:c15="http://schemas.microsoft.com/office/drawing/2012/chart">
                      <c:ext xmlns:c15="http://schemas.microsoft.com/office/drawing/2012/chart" uri="{02D57815-91ED-43cb-92C2-25804820EDAC}">
                        <c15:formulaRef>
                          <c15:sqref>'INT. REDES'!$A$3:$B$3</c15:sqref>
                        </c15:formulaRef>
                      </c:ext>
                    </c:extLst>
                    <c:numCache>
                      <c:formatCode>General</c:formatCode>
                      <c:ptCount val="2"/>
                      <c:pt idx="0">
                        <c:v>10</c:v>
                      </c:pt>
                      <c:pt idx="1">
                        <c:v>24</c:v>
                      </c:pt>
                    </c:numCache>
                  </c:numRef>
                </c:xVal>
                <c:yVal>
                  <c:numRef>
                    <c:extLst xmlns:c15="http://schemas.microsoft.com/office/drawing/2012/chart">
                      <c:ext xmlns:c15="http://schemas.microsoft.com/office/drawing/2012/chart" uri="{02D57815-91ED-43cb-92C2-25804820EDAC}">
                        <c15:formulaRef>
                          <c15:sqref>'INT. REDES'!$A$7:$B$7</c15:sqref>
                        </c15:formulaRef>
                      </c:ext>
                    </c:extLst>
                    <c:numCache>
                      <c:formatCode>General</c:formatCode>
                      <c:ptCount val="2"/>
                      <c:pt idx="0">
                        <c:v>550</c:v>
                      </c:pt>
                      <c:pt idx="1">
                        <c:v>870</c:v>
                      </c:pt>
                    </c:numCache>
                  </c:numRef>
                </c:yVal>
                <c:smooth val="0"/>
                <c:extLst xmlns:c15="http://schemas.microsoft.com/office/drawing/2012/chart">
                  <c:ext xmlns:c16="http://schemas.microsoft.com/office/drawing/2014/chart" uri="{C3380CC4-5D6E-409C-BE32-E72D297353CC}">
                    <c16:uniqueId val="{0000000D-1292-4E27-AFDB-A51CE4207F38}"/>
                  </c:ext>
                </c:extLst>
              </c15:ser>
            </c15:filteredScatterSeries>
          </c:ext>
        </c:extLst>
      </c:scatterChart>
      <c:valAx>
        <c:axId val="14237819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7921519"/>
        <c:crosses val="autoZero"/>
        <c:crossBetween val="midCat"/>
      </c:valAx>
      <c:valAx>
        <c:axId val="14379215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378191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3.xml.rels><?xml version="1.0" encoding="UTF-8" standalone="yes"?>
<Relationships xmlns="http://schemas.openxmlformats.org/package/2006/relationships"><Relationship Id="rId1" Type="http://schemas.openxmlformats.org/officeDocument/2006/relationships/image" Target="../media/image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4.png"/></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5.xml.rels><?xml version="1.0" encoding="UTF-8" standalone="yes"?>
<Relationships xmlns="http://schemas.openxmlformats.org/package/2006/relationships"><Relationship Id="rId1" Type="http://schemas.openxmlformats.org/officeDocument/2006/relationships/image" Target="../media/image4.png"/></Relationships>
</file>

<file path=xl/drawings/_rels/drawing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1" Type="http://schemas.openxmlformats.org/officeDocument/2006/relationships/image" Target="../media/image4.png"/></Relationships>
</file>

<file path=xl/drawings/_rels/drawing59.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1" Type="http://schemas.openxmlformats.org/officeDocument/2006/relationships/image" Target="../media/image4.png"/></Relationships>
</file>

<file path=xl/drawings/_rels/drawing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1" Type="http://schemas.openxmlformats.org/officeDocument/2006/relationships/image" Target="../media/image4.png"/></Relationships>
</file>

<file path=xl/drawings/_rels/drawing67.xml.rels><?xml version="1.0" encoding="UTF-8" standalone="yes"?>
<Relationships xmlns="http://schemas.openxmlformats.org/package/2006/relationships"><Relationship Id="rId1" Type="http://schemas.openxmlformats.org/officeDocument/2006/relationships/image" Target="../media/image4.png"/></Relationships>
</file>

<file path=xl/drawings/_rels/drawing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8</xdr:row>
      <xdr:rowOff>190500</xdr:rowOff>
    </xdr:from>
    <xdr:to>
      <xdr:col>23</xdr:col>
      <xdr:colOff>287279</xdr:colOff>
      <xdr:row>44</xdr:row>
      <xdr:rowOff>10635</xdr:rowOff>
    </xdr:to>
    <xdr:pic>
      <xdr:nvPicPr>
        <xdr:cNvPr id="3" name="Imagen 2">
          <a:extLst>
            <a:ext uri="{FF2B5EF4-FFF2-40B4-BE49-F238E27FC236}">
              <a16:creationId xmlns:a16="http://schemas.microsoft.com/office/drawing/2014/main" id="{648CD6F6-50B0-D191-80BA-88A7192F3616}"/>
            </a:ext>
          </a:extLst>
        </xdr:cNvPr>
        <xdr:cNvPicPr>
          <a:picLocks noChangeAspect="1"/>
        </xdr:cNvPicPr>
      </xdr:nvPicPr>
      <xdr:blipFill>
        <a:blip xmlns:r="http://schemas.openxmlformats.org/officeDocument/2006/relationships" r:embed="rId1"/>
        <a:stretch>
          <a:fillRect/>
        </a:stretch>
      </xdr:blipFill>
      <xdr:spPr>
        <a:xfrm>
          <a:off x="15821025" y="2057400"/>
          <a:ext cx="10955279" cy="79544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725979</xdr:colOff>
      <xdr:row>34</xdr:row>
      <xdr:rowOff>83821</xdr:rowOff>
    </xdr:from>
    <xdr:to>
      <xdr:col>1</xdr:col>
      <xdr:colOff>1800399</xdr:colOff>
      <xdr:row>38</xdr:row>
      <xdr:rowOff>40178</xdr:rowOff>
    </xdr:to>
    <xdr:pic>
      <xdr:nvPicPr>
        <xdr:cNvPr id="2" name="Imagen 1">
          <a:extLst>
            <a:ext uri="{FF2B5EF4-FFF2-40B4-BE49-F238E27FC236}">
              <a16:creationId xmlns:a16="http://schemas.microsoft.com/office/drawing/2014/main" id="{0B2E553E-8F6B-438F-9645-71387DD18E8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0319" y="11772901"/>
          <a:ext cx="1074420" cy="626917"/>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748839</xdr:colOff>
      <xdr:row>35</xdr:row>
      <xdr:rowOff>22861</xdr:rowOff>
    </xdr:from>
    <xdr:to>
      <xdr:col>1</xdr:col>
      <xdr:colOff>1823259</xdr:colOff>
      <xdr:row>39</xdr:row>
      <xdr:rowOff>2078</xdr:rowOff>
    </xdr:to>
    <xdr:pic>
      <xdr:nvPicPr>
        <xdr:cNvPr id="2" name="Imagen 1">
          <a:extLst>
            <a:ext uri="{FF2B5EF4-FFF2-40B4-BE49-F238E27FC236}">
              <a16:creationId xmlns:a16="http://schemas.microsoft.com/office/drawing/2014/main" id="{D58AA7D7-CD14-4804-A8B4-D5AE35C9D0E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7959" y="7459981"/>
          <a:ext cx="1074420" cy="657397"/>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725979</xdr:colOff>
      <xdr:row>46</xdr:row>
      <xdr:rowOff>17146</xdr:rowOff>
    </xdr:from>
    <xdr:to>
      <xdr:col>1</xdr:col>
      <xdr:colOff>1800399</xdr:colOff>
      <xdr:row>50</xdr:row>
      <xdr:rowOff>3983</xdr:rowOff>
    </xdr:to>
    <xdr:pic>
      <xdr:nvPicPr>
        <xdr:cNvPr id="2" name="Imagen 1">
          <a:extLst>
            <a:ext uri="{FF2B5EF4-FFF2-40B4-BE49-F238E27FC236}">
              <a16:creationId xmlns:a16="http://schemas.microsoft.com/office/drawing/2014/main" id="{1C6A5BB5-AE86-4E12-A81D-4E88B93F552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7004" y="11875771"/>
          <a:ext cx="1074420" cy="682162"/>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735504</xdr:colOff>
      <xdr:row>32</xdr:row>
      <xdr:rowOff>26671</xdr:rowOff>
    </xdr:from>
    <xdr:to>
      <xdr:col>1</xdr:col>
      <xdr:colOff>1809924</xdr:colOff>
      <xdr:row>36</xdr:row>
      <xdr:rowOff>28748</xdr:rowOff>
    </xdr:to>
    <xdr:pic>
      <xdr:nvPicPr>
        <xdr:cNvPr id="2" name="Imagen 1">
          <a:extLst>
            <a:ext uri="{FF2B5EF4-FFF2-40B4-BE49-F238E27FC236}">
              <a16:creationId xmlns:a16="http://schemas.microsoft.com/office/drawing/2014/main" id="{3A4F0FBD-435C-4F8A-8E18-C02C78787C6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6529" y="6951346"/>
          <a:ext cx="1074420" cy="697402"/>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640254</xdr:colOff>
      <xdr:row>32</xdr:row>
      <xdr:rowOff>7621</xdr:rowOff>
    </xdr:from>
    <xdr:to>
      <xdr:col>1</xdr:col>
      <xdr:colOff>1714674</xdr:colOff>
      <xdr:row>36</xdr:row>
      <xdr:rowOff>47798</xdr:rowOff>
    </xdr:to>
    <xdr:pic>
      <xdr:nvPicPr>
        <xdr:cNvPr id="2" name="Imagen 1">
          <a:extLst>
            <a:ext uri="{FF2B5EF4-FFF2-40B4-BE49-F238E27FC236}">
              <a16:creationId xmlns:a16="http://schemas.microsoft.com/office/drawing/2014/main" id="{367259CD-4EEF-400A-B41C-FAFC30E66C0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1279" y="7103746"/>
          <a:ext cx="1074420" cy="725977"/>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725979</xdr:colOff>
      <xdr:row>30</xdr:row>
      <xdr:rowOff>83821</xdr:rowOff>
    </xdr:from>
    <xdr:to>
      <xdr:col>1</xdr:col>
      <xdr:colOff>1800399</xdr:colOff>
      <xdr:row>34</xdr:row>
      <xdr:rowOff>139238</xdr:rowOff>
    </xdr:to>
    <xdr:pic>
      <xdr:nvPicPr>
        <xdr:cNvPr id="2" name="Imagen 1">
          <a:extLst>
            <a:ext uri="{FF2B5EF4-FFF2-40B4-BE49-F238E27FC236}">
              <a16:creationId xmlns:a16="http://schemas.microsoft.com/office/drawing/2014/main" id="{0782D590-59E2-49E4-92C0-9323ACEA398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5099" y="7101841"/>
          <a:ext cx="1074420" cy="718357"/>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754554</xdr:colOff>
      <xdr:row>34</xdr:row>
      <xdr:rowOff>121921</xdr:rowOff>
    </xdr:from>
    <xdr:to>
      <xdr:col>1</xdr:col>
      <xdr:colOff>1828974</xdr:colOff>
      <xdr:row>39</xdr:row>
      <xdr:rowOff>21128</xdr:rowOff>
    </xdr:to>
    <xdr:pic>
      <xdr:nvPicPr>
        <xdr:cNvPr id="2" name="Imagen 1">
          <a:extLst>
            <a:ext uri="{FF2B5EF4-FFF2-40B4-BE49-F238E27FC236}">
              <a16:creationId xmlns:a16="http://schemas.microsoft.com/office/drawing/2014/main" id="{E185337F-9E93-4A68-A42C-FFC620EC327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5579" y="7389496"/>
          <a:ext cx="1074420" cy="756457"/>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754554</xdr:colOff>
      <xdr:row>35</xdr:row>
      <xdr:rowOff>121921</xdr:rowOff>
    </xdr:from>
    <xdr:to>
      <xdr:col>1</xdr:col>
      <xdr:colOff>1828974</xdr:colOff>
      <xdr:row>40</xdr:row>
      <xdr:rowOff>36368</xdr:rowOff>
    </xdr:to>
    <xdr:pic>
      <xdr:nvPicPr>
        <xdr:cNvPr id="3" name="Imagen 2">
          <a:extLst>
            <a:ext uri="{FF2B5EF4-FFF2-40B4-BE49-F238E27FC236}">
              <a16:creationId xmlns:a16="http://schemas.microsoft.com/office/drawing/2014/main" id="{2B63589C-20B0-4D9C-99F4-CC41B7AD603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674" y="7315201"/>
          <a:ext cx="1074420" cy="745027"/>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12700</xdr:colOff>
      <xdr:row>3</xdr:row>
      <xdr:rowOff>203200</xdr:rowOff>
    </xdr:from>
    <xdr:to>
      <xdr:col>13</xdr:col>
      <xdr:colOff>117264</xdr:colOff>
      <xdr:row>9</xdr:row>
      <xdr:rowOff>78867</xdr:rowOff>
    </xdr:to>
    <xdr:pic>
      <xdr:nvPicPr>
        <xdr:cNvPr id="2" name="Imagen 1">
          <a:extLst>
            <a:ext uri="{FF2B5EF4-FFF2-40B4-BE49-F238E27FC236}">
              <a16:creationId xmlns:a16="http://schemas.microsoft.com/office/drawing/2014/main" id="{B412F7C5-B258-40AB-87BB-F0209EC389D9}"/>
            </a:ext>
          </a:extLst>
        </xdr:cNvPr>
        <xdr:cNvPicPr>
          <a:picLocks noChangeAspect="1"/>
        </xdr:cNvPicPr>
      </xdr:nvPicPr>
      <xdr:blipFill>
        <a:blip xmlns:r="http://schemas.openxmlformats.org/officeDocument/2006/relationships" r:embed="rId1"/>
        <a:stretch>
          <a:fillRect/>
        </a:stretch>
      </xdr:blipFill>
      <xdr:spPr>
        <a:xfrm>
          <a:off x="12661900" y="1397000"/>
          <a:ext cx="4892464" cy="1463167"/>
        </a:xfrm>
        <a:prstGeom prst="rect">
          <a:avLst/>
        </a:prstGeom>
      </xdr:spPr>
    </xdr:pic>
    <xdr:clientData/>
  </xdr:twoCellAnchor>
  <xdr:twoCellAnchor editAs="oneCell">
    <xdr:from>
      <xdr:col>1</xdr:col>
      <xdr:colOff>881554</xdr:colOff>
      <xdr:row>62</xdr:row>
      <xdr:rowOff>71121</xdr:rowOff>
    </xdr:from>
    <xdr:to>
      <xdr:col>1</xdr:col>
      <xdr:colOff>1955974</xdr:colOff>
      <xdr:row>65</xdr:row>
      <xdr:rowOff>13508</xdr:rowOff>
    </xdr:to>
    <xdr:pic>
      <xdr:nvPicPr>
        <xdr:cNvPr id="3" name="Imagen 2">
          <a:extLst>
            <a:ext uri="{FF2B5EF4-FFF2-40B4-BE49-F238E27FC236}">
              <a16:creationId xmlns:a16="http://schemas.microsoft.com/office/drawing/2014/main" id="{35183093-2B3E-4E34-B1DF-BBEC994D878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88054" y="8897621"/>
          <a:ext cx="1074420" cy="780587"/>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754554</xdr:colOff>
      <xdr:row>31</xdr:row>
      <xdr:rowOff>121921</xdr:rowOff>
    </xdr:from>
    <xdr:to>
      <xdr:col>1</xdr:col>
      <xdr:colOff>1828974</xdr:colOff>
      <xdr:row>36</xdr:row>
      <xdr:rowOff>28748</xdr:rowOff>
    </xdr:to>
    <xdr:pic>
      <xdr:nvPicPr>
        <xdr:cNvPr id="2" name="Imagen 1">
          <a:extLst>
            <a:ext uri="{FF2B5EF4-FFF2-40B4-BE49-F238E27FC236}">
              <a16:creationId xmlns:a16="http://schemas.microsoft.com/office/drawing/2014/main" id="{BE5BBEA6-4320-4579-B021-01D1C967427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674" y="7315201"/>
          <a:ext cx="1074420" cy="745027"/>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134471</xdr:rowOff>
    </xdr:from>
    <xdr:to>
      <xdr:col>9</xdr:col>
      <xdr:colOff>74747</xdr:colOff>
      <xdr:row>63</xdr:row>
      <xdr:rowOff>144056</xdr:rowOff>
    </xdr:to>
    <xdr:pic>
      <xdr:nvPicPr>
        <xdr:cNvPr id="2" name="Imagen 1">
          <a:extLst>
            <a:ext uri="{FF2B5EF4-FFF2-40B4-BE49-F238E27FC236}">
              <a16:creationId xmlns:a16="http://schemas.microsoft.com/office/drawing/2014/main" id="{27C9A0FF-FB38-4138-8771-3E1497EC5D00}"/>
            </a:ext>
          </a:extLst>
        </xdr:cNvPr>
        <xdr:cNvPicPr>
          <a:picLocks noChangeAspect="1"/>
        </xdr:cNvPicPr>
      </xdr:nvPicPr>
      <xdr:blipFill>
        <a:blip xmlns:r="http://schemas.openxmlformats.org/officeDocument/2006/relationships" r:embed="rId1"/>
        <a:stretch>
          <a:fillRect/>
        </a:stretch>
      </xdr:blipFill>
      <xdr:spPr>
        <a:xfrm>
          <a:off x="0" y="3872753"/>
          <a:ext cx="14265876" cy="7163421"/>
        </a:xfrm>
        <a:prstGeom prst="rect">
          <a:avLst/>
        </a:prstGeom>
      </xdr:spPr>
    </xdr:pic>
    <xdr:clientData/>
  </xdr:twoCellAnchor>
  <xdr:twoCellAnchor editAs="oneCell">
    <xdr:from>
      <xdr:col>9</xdr:col>
      <xdr:colOff>358141</xdr:colOff>
      <xdr:row>0</xdr:row>
      <xdr:rowOff>83820</xdr:rowOff>
    </xdr:from>
    <xdr:to>
      <xdr:col>17</xdr:col>
      <xdr:colOff>594361</xdr:colOff>
      <xdr:row>44</xdr:row>
      <xdr:rowOff>133721</xdr:rowOff>
    </xdr:to>
    <xdr:pic>
      <xdr:nvPicPr>
        <xdr:cNvPr id="3" name="Imagen 2">
          <a:extLst>
            <a:ext uri="{FF2B5EF4-FFF2-40B4-BE49-F238E27FC236}">
              <a16:creationId xmlns:a16="http://schemas.microsoft.com/office/drawing/2014/main" id="{674789AB-0CCE-4EB3-9A86-D7E18CB97227}"/>
            </a:ext>
          </a:extLst>
        </xdr:cNvPr>
        <xdr:cNvPicPr>
          <a:picLocks noChangeAspect="1"/>
        </xdr:cNvPicPr>
      </xdr:nvPicPr>
      <xdr:blipFill>
        <a:blip xmlns:r="http://schemas.openxmlformats.org/officeDocument/2006/relationships" r:embed="rId2"/>
        <a:stretch>
          <a:fillRect/>
        </a:stretch>
      </xdr:blipFill>
      <xdr:spPr>
        <a:xfrm>
          <a:off x="14546581" y="83820"/>
          <a:ext cx="6515100" cy="759370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754554</xdr:colOff>
      <xdr:row>42</xdr:row>
      <xdr:rowOff>121921</xdr:rowOff>
    </xdr:from>
    <xdr:to>
      <xdr:col>1</xdr:col>
      <xdr:colOff>1828974</xdr:colOff>
      <xdr:row>47</xdr:row>
      <xdr:rowOff>43988</xdr:rowOff>
    </xdr:to>
    <xdr:pic>
      <xdr:nvPicPr>
        <xdr:cNvPr id="2" name="Imagen 1">
          <a:extLst>
            <a:ext uri="{FF2B5EF4-FFF2-40B4-BE49-F238E27FC236}">
              <a16:creationId xmlns:a16="http://schemas.microsoft.com/office/drawing/2014/main" id="{B9A86621-A6BC-4727-A1C9-8C8C88E21C5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674" y="6316981"/>
          <a:ext cx="1074420" cy="760267"/>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754554</xdr:colOff>
      <xdr:row>33</xdr:row>
      <xdr:rowOff>121921</xdr:rowOff>
    </xdr:from>
    <xdr:to>
      <xdr:col>1</xdr:col>
      <xdr:colOff>1828974</xdr:colOff>
      <xdr:row>38</xdr:row>
      <xdr:rowOff>59228</xdr:rowOff>
    </xdr:to>
    <xdr:pic>
      <xdr:nvPicPr>
        <xdr:cNvPr id="2" name="Imagen 1">
          <a:extLst>
            <a:ext uri="{FF2B5EF4-FFF2-40B4-BE49-F238E27FC236}">
              <a16:creationId xmlns:a16="http://schemas.microsoft.com/office/drawing/2014/main" id="{513418DB-F3C7-4B2B-8CAE-959D34181A1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674" y="8503921"/>
          <a:ext cx="1074420" cy="775507"/>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754554</xdr:colOff>
      <xdr:row>36</xdr:row>
      <xdr:rowOff>121921</xdr:rowOff>
    </xdr:from>
    <xdr:to>
      <xdr:col>1</xdr:col>
      <xdr:colOff>1828974</xdr:colOff>
      <xdr:row>41</xdr:row>
      <xdr:rowOff>74468</xdr:rowOff>
    </xdr:to>
    <xdr:pic>
      <xdr:nvPicPr>
        <xdr:cNvPr id="2" name="Imagen 1">
          <a:extLst>
            <a:ext uri="{FF2B5EF4-FFF2-40B4-BE49-F238E27FC236}">
              <a16:creationId xmlns:a16="http://schemas.microsoft.com/office/drawing/2014/main" id="{94C97C73-0435-46A7-AE06-3C8D1098375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674" y="7391401"/>
          <a:ext cx="1074420" cy="790747"/>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754554</xdr:colOff>
      <xdr:row>42</xdr:row>
      <xdr:rowOff>121921</xdr:rowOff>
    </xdr:from>
    <xdr:to>
      <xdr:col>1</xdr:col>
      <xdr:colOff>1828974</xdr:colOff>
      <xdr:row>47</xdr:row>
      <xdr:rowOff>97328</xdr:rowOff>
    </xdr:to>
    <xdr:pic>
      <xdr:nvPicPr>
        <xdr:cNvPr id="2" name="Imagen 1">
          <a:extLst>
            <a:ext uri="{FF2B5EF4-FFF2-40B4-BE49-F238E27FC236}">
              <a16:creationId xmlns:a16="http://schemas.microsoft.com/office/drawing/2014/main" id="{77BF5B10-50F5-4141-A0E5-063D19CA527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674" y="7231381"/>
          <a:ext cx="1074420" cy="805987"/>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659304</xdr:colOff>
      <xdr:row>37</xdr:row>
      <xdr:rowOff>26671</xdr:rowOff>
    </xdr:from>
    <xdr:to>
      <xdr:col>1</xdr:col>
      <xdr:colOff>1733724</xdr:colOff>
      <xdr:row>42</xdr:row>
      <xdr:rowOff>17318</xdr:rowOff>
    </xdr:to>
    <xdr:pic>
      <xdr:nvPicPr>
        <xdr:cNvPr id="2" name="Imagen 1">
          <a:extLst>
            <a:ext uri="{FF2B5EF4-FFF2-40B4-BE49-F238E27FC236}">
              <a16:creationId xmlns:a16="http://schemas.microsoft.com/office/drawing/2014/main" id="{182CDDB1-849B-47AD-BC01-313EBC5F9DC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0329" y="8341996"/>
          <a:ext cx="1074420" cy="847897"/>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659304</xdr:colOff>
      <xdr:row>44</xdr:row>
      <xdr:rowOff>26671</xdr:rowOff>
    </xdr:from>
    <xdr:to>
      <xdr:col>1</xdr:col>
      <xdr:colOff>1733724</xdr:colOff>
      <xdr:row>49</xdr:row>
      <xdr:rowOff>24938</xdr:rowOff>
    </xdr:to>
    <xdr:pic>
      <xdr:nvPicPr>
        <xdr:cNvPr id="2" name="Imagen 1">
          <a:extLst>
            <a:ext uri="{FF2B5EF4-FFF2-40B4-BE49-F238E27FC236}">
              <a16:creationId xmlns:a16="http://schemas.microsoft.com/office/drawing/2014/main" id="{428E1080-81EA-46A5-A73E-36E2BF2DA09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424" y="8279131"/>
          <a:ext cx="1074420" cy="836467"/>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659304</xdr:colOff>
      <xdr:row>37</xdr:row>
      <xdr:rowOff>26671</xdr:rowOff>
    </xdr:from>
    <xdr:to>
      <xdr:col>1</xdr:col>
      <xdr:colOff>1733724</xdr:colOff>
      <xdr:row>42</xdr:row>
      <xdr:rowOff>40178</xdr:rowOff>
    </xdr:to>
    <xdr:pic>
      <xdr:nvPicPr>
        <xdr:cNvPr id="2" name="Imagen 1">
          <a:extLst>
            <a:ext uri="{FF2B5EF4-FFF2-40B4-BE49-F238E27FC236}">
              <a16:creationId xmlns:a16="http://schemas.microsoft.com/office/drawing/2014/main" id="{5BA3AA69-DA26-4BC7-841C-60E0E7F500D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424" y="9856471"/>
          <a:ext cx="1074420" cy="851707"/>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659304</xdr:colOff>
      <xdr:row>35</xdr:row>
      <xdr:rowOff>26671</xdr:rowOff>
    </xdr:from>
    <xdr:to>
      <xdr:col>1</xdr:col>
      <xdr:colOff>1733724</xdr:colOff>
      <xdr:row>40</xdr:row>
      <xdr:rowOff>55418</xdr:rowOff>
    </xdr:to>
    <xdr:pic>
      <xdr:nvPicPr>
        <xdr:cNvPr id="2" name="Imagen 1">
          <a:extLst>
            <a:ext uri="{FF2B5EF4-FFF2-40B4-BE49-F238E27FC236}">
              <a16:creationId xmlns:a16="http://schemas.microsoft.com/office/drawing/2014/main" id="{418CBFFD-7578-4628-942F-0C22ACB0957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424" y="7898131"/>
          <a:ext cx="1074420" cy="866947"/>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659304</xdr:colOff>
      <xdr:row>31</xdr:row>
      <xdr:rowOff>121921</xdr:rowOff>
    </xdr:from>
    <xdr:to>
      <xdr:col>1</xdr:col>
      <xdr:colOff>1733724</xdr:colOff>
      <xdr:row>37</xdr:row>
      <xdr:rowOff>3983</xdr:rowOff>
    </xdr:to>
    <xdr:pic>
      <xdr:nvPicPr>
        <xdr:cNvPr id="2" name="Imagen 1">
          <a:extLst>
            <a:ext uri="{FF2B5EF4-FFF2-40B4-BE49-F238E27FC236}">
              <a16:creationId xmlns:a16="http://schemas.microsoft.com/office/drawing/2014/main" id="{E70F86EC-8896-4F18-8975-06F2653C404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0329" y="6627496"/>
          <a:ext cx="1074420" cy="910762"/>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659304</xdr:colOff>
      <xdr:row>32</xdr:row>
      <xdr:rowOff>121921</xdr:rowOff>
    </xdr:from>
    <xdr:to>
      <xdr:col>1</xdr:col>
      <xdr:colOff>1733724</xdr:colOff>
      <xdr:row>38</xdr:row>
      <xdr:rowOff>19223</xdr:rowOff>
    </xdr:to>
    <xdr:pic>
      <xdr:nvPicPr>
        <xdr:cNvPr id="2" name="Imagen 1">
          <a:extLst>
            <a:ext uri="{FF2B5EF4-FFF2-40B4-BE49-F238E27FC236}">
              <a16:creationId xmlns:a16="http://schemas.microsoft.com/office/drawing/2014/main" id="{5740057C-BAD7-44B6-8DA0-F128136671C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424" y="6553201"/>
          <a:ext cx="1074420" cy="895522"/>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657399</xdr:colOff>
      <xdr:row>76</xdr:row>
      <xdr:rowOff>45721</xdr:rowOff>
    </xdr:from>
    <xdr:to>
      <xdr:col>1</xdr:col>
      <xdr:colOff>1731819</xdr:colOff>
      <xdr:row>79</xdr:row>
      <xdr:rowOff>116378</xdr:rowOff>
    </xdr:to>
    <xdr:pic>
      <xdr:nvPicPr>
        <xdr:cNvPr id="2" name="Imagen 1">
          <a:extLst>
            <a:ext uri="{FF2B5EF4-FFF2-40B4-BE49-F238E27FC236}">
              <a16:creationId xmlns:a16="http://schemas.microsoft.com/office/drawing/2014/main" id="{DCBD6ECD-D692-4EB3-8699-39FAFC7BC83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2719" y="14813281"/>
          <a:ext cx="1074420" cy="634537"/>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659304</xdr:colOff>
      <xdr:row>42</xdr:row>
      <xdr:rowOff>121921</xdr:rowOff>
    </xdr:from>
    <xdr:to>
      <xdr:col>1</xdr:col>
      <xdr:colOff>1733724</xdr:colOff>
      <xdr:row>48</xdr:row>
      <xdr:rowOff>34463</xdr:rowOff>
    </xdr:to>
    <xdr:pic>
      <xdr:nvPicPr>
        <xdr:cNvPr id="3" name="Imagen 2">
          <a:extLst>
            <a:ext uri="{FF2B5EF4-FFF2-40B4-BE49-F238E27FC236}">
              <a16:creationId xmlns:a16="http://schemas.microsoft.com/office/drawing/2014/main" id="{BDF7DA9F-C304-44BE-8BF8-3C15A66ED4B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424" y="7139941"/>
          <a:ext cx="1074420" cy="910762"/>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659304</xdr:colOff>
      <xdr:row>36</xdr:row>
      <xdr:rowOff>121921</xdr:rowOff>
    </xdr:from>
    <xdr:to>
      <xdr:col>1</xdr:col>
      <xdr:colOff>1733724</xdr:colOff>
      <xdr:row>42</xdr:row>
      <xdr:rowOff>49703</xdr:rowOff>
    </xdr:to>
    <xdr:pic>
      <xdr:nvPicPr>
        <xdr:cNvPr id="3" name="Imagen 2">
          <a:extLst>
            <a:ext uri="{FF2B5EF4-FFF2-40B4-BE49-F238E27FC236}">
              <a16:creationId xmlns:a16="http://schemas.microsoft.com/office/drawing/2014/main" id="{8E2D6FA7-FC60-4902-BFD8-46F79B8E3F4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424" y="9403081"/>
          <a:ext cx="1074420" cy="926002"/>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659304</xdr:colOff>
      <xdr:row>35</xdr:row>
      <xdr:rowOff>132522</xdr:rowOff>
    </xdr:from>
    <xdr:to>
      <xdr:col>1</xdr:col>
      <xdr:colOff>1378226</xdr:colOff>
      <xdr:row>38</xdr:row>
      <xdr:rowOff>64943</xdr:rowOff>
    </xdr:to>
    <xdr:pic>
      <xdr:nvPicPr>
        <xdr:cNvPr id="4" name="Imagen 3">
          <a:extLst>
            <a:ext uri="{FF2B5EF4-FFF2-40B4-BE49-F238E27FC236}">
              <a16:creationId xmlns:a16="http://schemas.microsoft.com/office/drawing/2014/main" id="{4928EA44-F06B-494E-90F9-13A9E6A20E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774" y="7381461"/>
          <a:ext cx="718922" cy="449256"/>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697404</xdr:colOff>
      <xdr:row>35</xdr:row>
      <xdr:rowOff>94422</xdr:rowOff>
    </xdr:from>
    <xdr:to>
      <xdr:col>1</xdr:col>
      <xdr:colOff>1416326</xdr:colOff>
      <xdr:row>38</xdr:row>
      <xdr:rowOff>49703</xdr:rowOff>
    </xdr:to>
    <xdr:pic>
      <xdr:nvPicPr>
        <xdr:cNvPr id="3" name="Imagen 2">
          <a:extLst>
            <a:ext uri="{FF2B5EF4-FFF2-40B4-BE49-F238E27FC236}">
              <a16:creationId xmlns:a16="http://schemas.microsoft.com/office/drawing/2014/main" id="{5791A2D3-7EB3-42A3-BEA0-531CB1D26B3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8429" y="7714422"/>
          <a:ext cx="718922" cy="469631"/>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697404</xdr:colOff>
      <xdr:row>32</xdr:row>
      <xdr:rowOff>94422</xdr:rowOff>
    </xdr:from>
    <xdr:to>
      <xdr:col>1</xdr:col>
      <xdr:colOff>1416326</xdr:colOff>
      <xdr:row>35</xdr:row>
      <xdr:rowOff>64943</xdr:rowOff>
    </xdr:to>
    <xdr:pic>
      <xdr:nvPicPr>
        <xdr:cNvPr id="3" name="Imagen 2">
          <a:extLst>
            <a:ext uri="{FF2B5EF4-FFF2-40B4-BE49-F238E27FC236}">
              <a16:creationId xmlns:a16="http://schemas.microsoft.com/office/drawing/2014/main" id="{F67F869C-CDC9-4795-9574-8C982532E5C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6524" y="7645842"/>
          <a:ext cx="718922" cy="465821"/>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697404</xdr:colOff>
      <xdr:row>32</xdr:row>
      <xdr:rowOff>56322</xdr:rowOff>
    </xdr:from>
    <xdr:to>
      <xdr:col>1</xdr:col>
      <xdr:colOff>1416326</xdr:colOff>
      <xdr:row>35</xdr:row>
      <xdr:rowOff>42083</xdr:rowOff>
    </xdr:to>
    <xdr:pic>
      <xdr:nvPicPr>
        <xdr:cNvPr id="3" name="Imagen 2">
          <a:extLst>
            <a:ext uri="{FF2B5EF4-FFF2-40B4-BE49-F238E27FC236}">
              <a16:creationId xmlns:a16="http://schemas.microsoft.com/office/drawing/2014/main" id="{FBE524E4-F2D0-43EA-BF64-47A5436C97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1604" y="6800022"/>
          <a:ext cx="718922" cy="493761"/>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697404</xdr:colOff>
      <xdr:row>29</xdr:row>
      <xdr:rowOff>56322</xdr:rowOff>
    </xdr:from>
    <xdr:to>
      <xdr:col>1</xdr:col>
      <xdr:colOff>1416326</xdr:colOff>
      <xdr:row>32</xdr:row>
      <xdr:rowOff>57323</xdr:rowOff>
    </xdr:to>
    <xdr:pic>
      <xdr:nvPicPr>
        <xdr:cNvPr id="3" name="Imagen 2">
          <a:extLst>
            <a:ext uri="{FF2B5EF4-FFF2-40B4-BE49-F238E27FC236}">
              <a16:creationId xmlns:a16="http://schemas.microsoft.com/office/drawing/2014/main" id="{8BE05202-F934-426B-9348-B38F26991D3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1604" y="6228522"/>
          <a:ext cx="718922" cy="509001"/>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799004</xdr:colOff>
      <xdr:row>29</xdr:row>
      <xdr:rowOff>145222</xdr:rowOff>
    </xdr:from>
    <xdr:to>
      <xdr:col>1</xdr:col>
      <xdr:colOff>1517926</xdr:colOff>
      <xdr:row>32</xdr:row>
      <xdr:rowOff>174163</xdr:rowOff>
    </xdr:to>
    <xdr:pic>
      <xdr:nvPicPr>
        <xdr:cNvPr id="3" name="Imagen 2">
          <a:extLst>
            <a:ext uri="{FF2B5EF4-FFF2-40B4-BE49-F238E27FC236}">
              <a16:creationId xmlns:a16="http://schemas.microsoft.com/office/drawing/2014/main" id="{BD2EBBE3-2548-4DD0-B02A-8A9A6CBD673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204" y="5898322"/>
          <a:ext cx="718922" cy="524241"/>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735504</xdr:colOff>
      <xdr:row>42</xdr:row>
      <xdr:rowOff>132522</xdr:rowOff>
    </xdr:from>
    <xdr:to>
      <xdr:col>1</xdr:col>
      <xdr:colOff>1454426</xdr:colOff>
      <xdr:row>45</xdr:row>
      <xdr:rowOff>176703</xdr:rowOff>
    </xdr:to>
    <xdr:pic>
      <xdr:nvPicPr>
        <xdr:cNvPr id="3" name="Imagen 2">
          <a:extLst>
            <a:ext uri="{FF2B5EF4-FFF2-40B4-BE49-F238E27FC236}">
              <a16:creationId xmlns:a16="http://schemas.microsoft.com/office/drawing/2014/main" id="{F574C8F3-0AF2-47E8-8F0B-672A2C9F754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704" y="8654222"/>
          <a:ext cx="718922" cy="539481"/>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748204</xdr:colOff>
      <xdr:row>31</xdr:row>
      <xdr:rowOff>94422</xdr:rowOff>
    </xdr:from>
    <xdr:to>
      <xdr:col>1</xdr:col>
      <xdr:colOff>1467126</xdr:colOff>
      <xdr:row>34</xdr:row>
      <xdr:rowOff>153843</xdr:rowOff>
    </xdr:to>
    <xdr:pic>
      <xdr:nvPicPr>
        <xdr:cNvPr id="3" name="Imagen 2">
          <a:extLst>
            <a:ext uri="{FF2B5EF4-FFF2-40B4-BE49-F238E27FC236}">
              <a16:creationId xmlns:a16="http://schemas.microsoft.com/office/drawing/2014/main" id="{70DF0A83-0E35-4A85-880E-42497CF3CDD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2404" y="6800022"/>
          <a:ext cx="718922" cy="554721"/>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146049</xdr:colOff>
      <xdr:row>10</xdr:row>
      <xdr:rowOff>136525</xdr:rowOff>
    </xdr:from>
    <xdr:to>
      <xdr:col>6</xdr:col>
      <xdr:colOff>635000</xdr:colOff>
      <xdr:row>26</xdr:row>
      <xdr:rowOff>63500</xdr:rowOff>
    </xdr:to>
    <xdr:graphicFrame macro="">
      <xdr:nvGraphicFramePr>
        <xdr:cNvPr id="2" name="Gráfico 1">
          <a:extLst>
            <a:ext uri="{FF2B5EF4-FFF2-40B4-BE49-F238E27FC236}">
              <a16:creationId xmlns:a16="http://schemas.microsoft.com/office/drawing/2014/main" id="{1C70AEAC-2B14-4EB3-A0C1-237F82DF5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697404</xdr:colOff>
      <xdr:row>33</xdr:row>
      <xdr:rowOff>5522</xdr:rowOff>
    </xdr:from>
    <xdr:to>
      <xdr:col>1</xdr:col>
      <xdr:colOff>1416326</xdr:colOff>
      <xdr:row>36</xdr:row>
      <xdr:rowOff>52243</xdr:rowOff>
    </xdr:to>
    <xdr:pic>
      <xdr:nvPicPr>
        <xdr:cNvPr id="3" name="Imagen 2">
          <a:extLst>
            <a:ext uri="{FF2B5EF4-FFF2-40B4-BE49-F238E27FC236}">
              <a16:creationId xmlns:a16="http://schemas.microsoft.com/office/drawing/2014/main" id="{02238FDE-BB6F-4AA5-88A6-80E62A42D46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1604" y="7092122"/>
          <a:ext cx="718922" cy="554721"/>
        </a:xfrm>
        <a:prstGeom prst="rect">
          <a:avLst/>
        </a:prstGeom>
        <a:noFill/>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697404</xdr:colOff>
      <xdr:row>28</xdr:row>
      <xdr:rowOff>18222</xdr:rowOff>
    </xdr:from>
    <xdr:to>
      <xdr:col>1</xdr:col>
      <xdr:colOff>1416326</xdr:colOff>
      <xdr:row>31</xdr:row>
      <xdr:rowOff>64943</xdr:rowOff>
    </xdr:to>
    <xdr:pic>
      <xdr:nvPicPr>
        <xdr:cNvPr id="3" name="Imagen 2">
          <a:extLst>
            <a:ext uri="{FF2B5EF4-FFF2-40B4-BE49-F238E27FC236}">
              <a16:creationId xmlns:a16="http://schemas.microsoft.com/office/drawing/2014/main" id="{95BE2BAF-766B-4747-8D7F-5BD7F9D4FAB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524" y="8842182"/>
          <a:ext cx="718922" cy="542021"/>
        </a:xfrm>
        <a:prstGeom prst="rect">
          <a:avLst/>
        </a:prstGeom>
        <a:noFill/>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697404</xdr:colOff>
      <xdr:row>29</xdr:row>
      <xdr:rowOff>18222</xdr:rowOff>
    </xdr:from>
    <xdr:to>
      <xdr:col>1</xdr:col>
      <xdr:colOff>1416326</xdr:colOff>
      <xdr:row>32</xdr:row>
      <xdr:rowOff>64943</xdr:rowOff>
    </xdr:to>
    <xdr:pic>
      <xdr:nvPicPr>
        <xdr:cNvPr id="3" name="Imagen 2">
          <a:extLst>
            <a:ext uri="{FF2B5EF4-FFF2-40B4-BE49-F238E27FC236}">
              <a16:creationId xmlns:a16="http://schemas.microsoft.com/office/drawing/2014/main" id="{1329C404-5DCC-4B5C-84CD-AF32D7E92EF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524" y="8842182"/>
          <a:ext cx="718922" cy="542021"/>
        </a:xfrm>
        <a:prstGeom prst="rect">
          <a:avLst/>
        </a:prstGeom>
        <a:noFill/>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697404</xdr:colOff>
      <xdr:row>32</xdr:row>
      <xdr:rowOff>18222</xdr:rowOff>
    </xdr:from>
    <xdr:to>
      <xdr:col>1</xdr:col>
      <xdr:colOff>1416326</xdr:colOff>
      <xdr:row>35</xdr:row>
      <xdr:rowOff>64943</xdr:rowOff>
    </xdr:to>
    <xdr:pic>
      <xdr:nvPicPr>
        <xdr:cNvPr id="3" name="Imagen 2">
          <a:extLst>
            <a:ext uri="{FF2B5EF4-FFF2-40B4-BE49-F238E27FC236}">
              <a16:creationId xmlns:a16="http://schemas.microsoft.com/office/drawing/2014/main" id="{833123E3-99EB-49DD-814A-572F6802048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524" y="8842182"/>
          <a:ext cx="718922" cy="542021"/>
        </a:xfrm>
        <a:prstGeom prst="rect">
          <a:avLst/>
        </a:prstGeom>
        <a:noFill/>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697404</xdr:colOff>
      <xdr:row>45</xdr:row>
      <xdr:rowOff>157370</xdr:rowOff>
    </xdr:from>
    <xdr:to>
      <xdr:col>1</xdr:col>
      <xdr:colOff>1416326</xdr:colOff>
      <xdr:row>49</xdr:row>
      <xdr:rowOff>38439</xdr:rowOff>
    </xdr:to>
    <xdr:pic>
      <xdr:nvPicPr>
        <xdr:cNvPr id="3" name="Imagen 2">
          <a:extLst>
            <a:ext uri="{FF2B5EF4-FFF2-40B4-BE49-F238E27FC236}">
              <a16:creationId xmlns:a16="http://schemas.microsoft.com/office/drawing/2014/main" id="{39D5C53A-52DB-400F-B770-6EB1395F7A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874" y="10149509"/>
          <a:ext cx="718922" cy="556930"/>
        </a:xfrm>
        <a:prstGeom prst="rect">
          <a:avLst/>
        </a:prstGeom>
        <a:noFill/>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723908</xdr:colOff>
      <xdr:row>38</xdr:row>
      <xdr:rowOff>117613</xdr:rowOff>
    </xdr:from>
    <xdr:to>
      <xdr:col>1</xdr:col>
      <xdr:colOff>1442830</xdr:colOff>
      <xdr:row>42</xdr:row>
      <xdr:rowOff>3237</xdr:rowOff>
    </xdr:to>
    <xdr:pic>
      <xdr:nvPicPr>
        <xdr:cNvPr id="3" name="Imagen 2">
          <a:extLst>
            <a:ext uri="{FF2B5EF4-FFF2-40B4-BE49-F238E27FC236}">
              <a16:creationId xmlns:a16="http://schemas.microsoft.com/office/drawing/2014/main" id="{10FD6652-A371-420E-8B41-14336FF8E33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0378" y="8201439"/>
          <a:ext cx="718922" cy="556930"/>
        </a:xfrm>
        <a:prstGeom prst="rect">
          <a:avLst/>
        </a:prstGeom>
        <a:noFill/>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697404</xdr:colOff>
      <xdr:row>31</xdr:row>
      <xdr:rowOff>18222</xdr:rowOff>
    </xdr:from>
    <xdr:to>
      <xdr:col>1</xdr:col>
      <xdr:colOff>1416326</xdr:colOff>
      <xdr:row>34</xdr:row>
      <xdr:rowOff>64943</xdr:rowOff>
    </xdr:to>
    <xdr:pic>
      <xdr:nvPicPr>
        <xdr:cNvPr id="3" name="Imagen 2">
          <a:extLst>
            <a:ext uri="{FF2B5EF4-FFF2-40B4-BE49-F238E27FC236}">
              <a16:creationId xmlns:a16="http://schemas.microsoft.com/office/drawing/2014/main" id="{AE509E93-06EE-40B7-AE03-7D5BBE6A3E8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524" y="8842182"/>
          <a:ext cx="718922" cy="542021"/>
        </a:xfrm>
        <a:prstGeom prst="rect">
          <a:avLst/>
        </a:prstGeom>
        <a:noFill/>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773604</xdr:colOff>
      <xdr:row>30</xdr:row>
      <xdr:rowOff>5522</xdr:rowOff>
    </xdr:from>
    <xdr:to>
      <xdr:col>1</xdr:col>
      <xdr:colOff>1492526</xdr:colOff>
      <xdr:row>33</xdr:row>
      <xdr:rowOff>52243</xdr:rowOff>
    </xdr:to>
    <xdr:pic>
      <xdr:nvPicPr>
        <xdr:cNvPr id="3" name="Imagen 2">
          <a:extLst>
            <a:ext uri="{FF2B5EF4-FFF2-40B4-BE49-F238E27FC236}">
              <a16:creationId xmlns:a16="http://schemas.microsoft.com/office/drawing/2014/main" id="{8D5B5FC5-7AAF-4B98-9E8E-22AB2875BCB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804" y="6736522"/>
          <a:ext cx="718922" cy="554721"/>
        </a:xfrm>
        <a:prstGeom prst="rect">
          <a:avLst/>
        </a:prstGeom>
        <a:noFill/>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697404</xdr:colOff>
      <xdr:row>36</xdr:row>
      <xdr:rowOff>18222</xdr:rowOff>
    </xdr:from>
    <xdr:to>
      <xdr:col>1</xdr:col>
      <xdr:colOff>1416326</xdr:colOff>
      <xdr:row>39</xdr:row>
      <xdr:rowOff>64943</xdr:rowOff>
    </xdr:to>
    <xdr:pic>
      <xdr:nvPicPr>
        <xdr:cNvPr id="3" name="Imagen 2">
          <a:extLst>
            <a:ext uri="{FF2B5EF4-FFF2-40B4-BE49-F238E27FC236}">
              <a16:creationId xmlns:a16="http://schemas.microsoft.com/office/drawing/2014/main" id="{1BF85561-27AB-4127-8DFC-4AC30E1C46F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524" y="8842182"/>
          <a:ext cx="718922" cy="542021"/>
        </a:xfrm>
        <a:prstGeom prst="rect">
          <a:avLst/>
        </a:prstGeom>
        <a:noFill/>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697404</xdr:colOff>
      <xdr:row>32</xdr:row>
      <xdr:rowOff>18222</xdr:rowOff>
    </xdr:from>
    <xdr:to>
      <xdr:col>1</xdr:col>
      <xdr:colOff>1416326</xdr:colOff>
      <xdr:row>35</xdr:row>
      <xdr:rowOff>64943</xdr:rowOff>
    </xdr:to>
    <xdr:pic>
      <xdr:nvPicPr>
        <xdr:cNvPr id="3" name="Imagen 2">
          <a:extLst>
            <a:ext uri="{FF2B5EF4-FFF2-40B4-BE49-F238E27FC236}">
              <a16:creationId xmlns:a16="http://schemas.microsoft.com/office/drawing/2014/main" id="{71FF07A0-5B02-46F3-A5FE-72280F2C566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524" y="8842182"/>
          <a:ext cx="718922" cy="542021"/>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1367790</xdr:colOff>
      <xdr:row>53</xdr:row>
      <xdr:rowOff>397510</xdr:rowOff>
    </xdr:to>
    <xdr:pic>
      <xdr:nvPicPr>
        <xdr:cNvPr id="2" name="1 Imagen">
          <a:extLst>
            <a:ext uri="{FF2B5EF4-FFF2-40B4-BE49-F238E27FC236}">
              <a16:creationId xmlns:a16="http://schemas.microsoft.com/office/drawing/2014/main" id="{85206087-DFCF-44D4-AD32-30219CCB513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b="8794"/>
        <a:stretch/>
      </xdr:blipFill>
      <xdr:spPr bwMode="auto">
        <a:xfrm>
          <a:off x="754380" y="11971020"/>
          <a:ext cx="1367790" cy="778510"/>
        </a:xfrm>
        <a:prstGeom prst="rect">
          <a:avLst/>
        </a:prstGeom>
        <a:ln>
          <a:noFill/>
        </a:ln>
        <a:extLst>
          <a:ext uri="{53640926-AAD7-44D8-BBD7-CCE9431645EC}">
            <a14:shadowObscured xmlns:a14="http://schemas.microsoft.com/office/drawing/2010/main"/>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810047</xdr:colOff>
      <xdr:row>34</xdr:row>
      <xdr:rowOff>137492</xdr:rowOff>
    </xdr:from>
    <xdr:to>
      <xdr:col>1</xdr:col>
      <xdr:colOff>1528969</xdr:colOff>
      <xdr:row>38</xdr:row>
      <xdr:rowOff>18560</xdr:rowOff>
    </xdr:to>
    <xdr:pic>
      <xdr:nvPicPr>
        <xdr:cNvPr id="3" name="Imagen 2">
          <a:extLst>
            <a:ext uri="{FF2B5EF4-FFF2-40B4-BE49-F238E27FC236}">
              <a16:creationId xmlns:a16="http://schemas.microsoft.com/office/drawing/2014/main" id="{9ADCC2C9-A338-4199-A781-F1DA1F623E7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6517" y="6955735"/>
          <a:ext cx="718922" cy="556929"/>
        </a:xfrm>
        <a:prstGeom prst="rect">
          <a:avLst/>
        </a:prstGeom>
        <a:noFill/>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810047</xdr:colOff>
      <xdr:row>41</xdr:row>
      <xdr:rowOff>137492</xdr:rowOff>
    </xdr:from>
    <xdr:to>
      <xdr:col>1</xdr:col>
      <xdr:colOff>1528969</xdr:colOff>
      <xdr:row>45</xdr:row>
      <xdr:rowOff>33800</xdr:rowOff>
    </xdr:to>
    <xdr:pic>
      <xdr:nvPicPr>
        <xdr:cNvPr id="3" name="Imagen 2">
          <a:extLst>
            <a:ext uri="{FF2B5EF4-FFF2-40B4-BE49-F238E27FC236}">
              <a16:creationId xmlns:a16="http://schemas.microsoft.com/office/drawing/2014/main" id="{85343550-6628-4C5B-9340-CE4CE6AD566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810047</xdr:colOff>
      <xdr:row>42</xdr:row>
      <xdr:rowOff>137492</xdr:rowOff>
    </xdr:from>
    <xdr:to>
      <xdr:col>1</xdr:col>
      <xdr:colOff>1528969</xdr:colOff>
      <xdr:row>46</xdr:row>
      <xdr:rowOff>33800</xdr:rowOff>
    </xdr:to>
    <xdr:pic>
      <xdr:nvPicPr>
        <xdr:cNvPr id="3" name="Imagen 2">
          <a:extLst>
            <a:ext uri="{FF2B5EF4-FFF2-40B4-BE49-F238E27FC236}">
              <a16:creationId xmlns:a16="http://schemas.microsoft.com/office/drawing/2014/main" id="{D12F2AE5-94FF-4DB9-B197-B7E9C3405AF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810047</xdr:colOff>
      <xdr:row>35</xdr:row>
      <xdr:rowOff>137492</xdr:rowOff>
    </xdr:from>
    <xdr:to>
      <xdr:col>1</xdr:col>
      <xdr:colOff>1528969</xdr:colOff>
      <xdr:row>39</xdr:row>
      <xdr:rowOff>33800</xdr:rowOff>
    </xdr:to>
    <xdr:pic>
      <xdr:nvPicPr>
        <xdr:cNvPr id="3" name="Imagen 2">
          <a:extLst>
            <a:ext uri="{FF2B5EF4-FFF2-40B4-BE49-F238E27FC236}">
              <a16:creationId xmlns:a16="http://schemas.microsoft.com/office/drawing/2014/main" id="{FB06DCBC-3895-4761-994F-5CFD09E6822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810047</xdr:colOff>
      <xdr:row>37</xdr:row>
      <xdr:rowOff>137492</xdr:rowOff>
    </xdr:from>
    <xdr:to>
      <xdr:col>1</xdr:col>
      <xdr:colOff>1528969</xdr:colOff>
      <xdr:row>41</xdr:row>
      <xdr:rowOff>33800</xdr:rowOff>
    </xdr:to>
    <xdr:pic>
      <xdr:nvPicPr>
        <xdr:cNvPr id="3" name="Imagen 2">
          <a:extLst>
            <a:ext uri="{FF2B5EF4-FFF2-40B4-BE49-F238E27FC236}">
              <a16:creationId xmlns:a16="http://schemas.microsoft.com/office/drawing/2014/main" id="{C4DCE51E-1599-4AC0-BF16-305277E558B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810047</xdr:colOff>
      <xdr:row>31</xdr:row>
      <xdr:rowOff>137492</xdr:rowOff>
    </xdr:from>
    <xdr:to>
      <xdr:col>1</xdr:col>
      <xdr:colOff>1528969</xdr:colOff>
      <xdr:row>35</xdr:row>
      <xdr:rowOff>33800</xdr:rowOff>
    </xdr:to>
    <xdr:pic>
      <xdr:nvPicPr>
        <xdr:cNvPr id="2" name="Imagen 1">
          <a:extLst>
            <a:ext uri="{FF2B5EF4-FFF2-40B4-BE49-F238E27FC236}">
              <a16:creationId xmlns:a16="http://schemas.microsoft.com/office/drawing/2014/main" id="{55320752-7E86-4A58-91F6-283E728FA3A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810047</xdr:colOff>
      <xdr:row>40</xdr:row>
      <xdr:rowOff>137492</xdr:rowOff>
    </xdr:from>
    <xdr:to>
      <xdr:col>1</xdr:col>
      <xdr:colOff>1528969</xdr:colOff>
      <xdr:row>44</xdr:row>
      <xdr:rowOff>33800</xdr:rowOff>
    </xdr:to>
    <xdr:pic>
      <xdr:nvPicPr>
        <xdr:cNvPr id="3" name="Imagen 2">
          <a:extLst>
            <a:ext uri="{FF2B5EF4-FFF2-40B4-BE49-F238E27FC236}">
              <a16:creationId xmlns:a16="http://schemas.microsoft.com/office/drawing/2014/main" id="{35AE4421-998F-4CF3-A19A-6FFEA33D3B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810047</xdr:colOff>
      <xdr:row>35</xdr:row>
      <xdr:rowOff>137492</xdr:rowOff>
    </xdr:from>
    <xdr:to>
      <xdr:col>1</xdr:col>
      <xdr:colOff>1528969</xdr:colOff>
      <xdr:row>39</xdr:row>
      <xdr:rowOff>33800</xdr:rowOff>
    </xdr:to>
    <xdr:pic>
      <xdr:nvPicPr>
        <xdr:cNvPr id="3" name="Imagen 2">
          <a:extLst>
            <a:ext uri="{FF2B5EF4-FFF2-40B4-BE49-F238E27FC236}">
              <a16:creationId xmlns:a16="http://schemas.microsoft.com/office/drawing/2014/main" id="{521086EC-2EDC-4E05-B302-1FFC9E82BB9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810047</xdr:colOff>
      <xdr:row>34</xdr:row>
      <xdr:rowOff>137492</xdr:rowOff>
    </xdr:from>
    <xdr:to>
      <xdr:col>1</xdr:col>
      <xdr:colOff>1528969</xdr:colOff>
      <xdr:row>38</xdr:row>
      <xdr:rowOff>33800</xdr:rowOff>
    </xdr:to>
    <xdr:pic>
      <xdr:nvPicPr>
        <xdr:cNvPr id="3" name="Imagen 2">
          <a:extLst>
            <a:ext uri="{FF2B5EF4-FFF2-40B4-BE49-F238E27FC236}">
              <a16:creationId xmlns:a16="http://schemas.microsoft.com/office/drawing/2014/main" id="{994E489D-C4BB-4D93-B363-841DF12ED57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810047</xdr:colOff>
      <xdr:row>41</xdr:row>
      <xdr:rowOff>137492</xdr:rowOff>
    </xdr:from>
    <xdr:to>
      <xdr:col>1</xdr:col>
      <xdr:colOff>1528969</xdr:colOff>
      <xdr:row>45</xdr:row>
      <xdr:rowOff>33800</xdr:rowOff>
    </xdr:to>
    <xdr:pic>
      <xdr:nvPicPr>
        <xdr:cNvPr id="3" name="Imagen 2">
          <a:extLst>
            <a:ext uri="{FF2B5EF4-FFF2-40B4-BE49-F238E27FC236}">
              <a16:creationId xmlns:a16="http://schemas.microsoft.com/office/drawing/2014/main" id="{3780B80D-349A-4203-B694-0B0D574B8BD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68581</xdr:colOff>
      <xdr:row>8</xdr:row>
      <xdr:rowOff>190500</xdr:rowOff>
    </xdr:from>
    <xdr:to>
      <xdr:col>1</xdr:col>
      <xdr:colOff>1143001</xdr:colOff>
      <xdr:row>9</xdr:row>
      <xdr:rowOff>38100</xdr:rowOff>
    </xdr:to>
    <xdr:pic>
      <xdr:nvPicPr>
        <xdr:cNvPr id="2" name="Imagen 1">
          <a:extLst>
            <a:ext uri="{FF2B5EF4-FFF2-40B4-BE49-F238E27FC236}">
              <a16:creationId xmlns:a16="http://schemas.microsoft.com/office/drawing/2014/main" id="{7DA66BA7-963D-4CB6-B164-86102C44D7C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0541" y="2202180"/>
          <a:ext cx="1074420" cy="601980"/>
        </a:xfrm>
        <a:prstGeom prst="rect">
          <a:avLst/>
        </a:prstGeom>
        <a:noFill/>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810047</xdr:colOff>
      <xdr:row>41</xdr:row>
      <xdr:rowOff>137492</xdr:rowOff>
    </xdr:from>
    <xdr:to>
      <xdr:col>1</xdr:col>
      <xdr:colOff>1528969</xdr:colOff>
      <xdr:row>45</xdr:row>
      <xdr:rowOff>33800</xdr:rowOff>
    </xdr:to>
    <xdr:pic>
      <xdr:nvPicPr>
        <xdr:cNvPr id="3" name="Imagen 2">
          <a:extLst>
            <a:ext uri="{FF2B5EF4-FFF2-40B4-BE49-F238E27FC236}">
              <a16:creationId xmlns:a16="http://schemas.microsoft.com/office/drawing/2014/main" id="{3DC15A6A-BD4A-4323-A7F6-CB8B0DCFDB4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810047</xdr:colOff>
      <xdr:row>35</xdr:row>
      <xdr:rowOff>137492</xdr:rowOff>
    </xdr:from>
    <xdr:to>
      <xdr:col>1</xdr:col>
      <xdr:colOff>1528969</xdr:colOff>
      <xdr:row>39</xdr:row>
      <xdr:rowOff>33800</xdr:rowOff>
    </xdr:to>
    <xdr:pic>
      <xdr:nvPicPr>
        <xdr:cNvPr id="3" name="Imagen 2">
          <a:extLst>
            <a:ext uri="{FF2B5EF4-FFF2-40B4-BE49-F238E27FC236}">
              <a16:creationId xmlns:a16="http://schemas.microsoft.com/office/drawing/2014/main" id="{44BF8A15-A96D-423B-8F7E-4D0BD004625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810047</xdr:colOff>
      <xdr:row>38</xdr:row>
      <xdr:rowOff>137492</xdr:rowOff>
    </xdr:from>
    <xdr:to>
      <xdr:col>1</xdr:col>
      <xdr:colOff>1528969</xdr:colOff>
      <xdr:row>42</xdr:row>
      <xdr:rowOff>33800</xdr:rowOff>
    </xdr:to>
    <xdr:pic>
      <xdr:nvPicPr>
        <xdr:cNvPr id="3" name="Imagen 2">
          <a:extLst>
            <a:ext uri="{FF2B5EF4-FFF2-40B4-BE49-F238E27FC236}">
              <a16:creationId xmlns:a16="http://schemas.microsoft.com/office/drawing/2014/main" id="{B7D473E8-36F1-4623-8739-CD3A1AB1161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810047</xdr:colOff>
      <xdr:row>31</xdr:row>
      <xdr:rowOff>137492</xdr:rowOff>
    </xdr:from>
    <xdr:to>
      <xdr:col>1</xdr:col>
      <xdr:colOff>1528969</xdr:colOff>
      <xdr:row>35</xdr:row>
      <xdr:rowOff>33800</xdr:rowOff>
    </xdr:to>
    <xdr:pic>
      <xdr:nvPicPr>
        <xdr:cNvPr id="3" name="Imagen 2">
          <a:extLst>
            <a:ext uri="{FF2B5EF4-FFF2-40B4-BE49-F238E27FC236}">
              <a16:creationId xmlns:a16="http://schemas.microsoft.com/office/drawing/2014/main" id="{8F7F4329-EF79-4504-92D9-31704EE7CE6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810047</xdr:colOff>
      <xdr:row>41</xdr:row>
      <xdr:rowOff>137492</xdr:rowOff>
    </xdr:from>
    <xdr:to>
      <xdr:col>1</xdr:col>
      <xdr:colOff>1528969</xdr:colOff>
      <xdr:row>45</xdr:row>
      <xdr:rowOff>33800</xdr:rowOff>
    </xdr:to>
    <xdr:pic>
      <xdr:nvPicPr>
        <xdr:cNvPr id="3" name="Imagen 2">
          <a:extLst>
            <a:ext uri="{FF2B5EF4-FFF2-40B4-BE49-F238E27FC236}">
              <a16:creationId xmlns:a16="http://schemas.microsoft.com/office/drawing/2014/main" id="{DC1F875A-3874-423B-B831-701ECC08ACC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810047</xdr:colOff>
      <xdr:row>35</xdr:row>
      <xdr:rowOff>137492</xdr:rowOff>
    </xdr:from>
    <xdr:to>
      <xdr:col>1</xdr:col>
      <xdr:colOff>1528969</xdr:colOff>
      <xdr:row>39</xdr:row>
      <xdr:rowOff>33800</xdr:rowOff>
    </xdr:to>
    <xdr:pic>
      <xdr:nvPicPr>
        <xdr:cNvPr id="3" name="Imagen 2">
          <a:extLst>
            <a:ext uri="{FF2B5EF4-FFF2-40B4-BE49-F238E27FC236}">
              <a16:creationId xmlns:a16="http://schemas.microsoft.com/office/drawing/2014/main" id="{A484D866-EFE7-4518-B62E-384558235F1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810047</xdr:colOff>
      <xdr:row>35</xdr:row>
      <xdr:rowOff>137492</xdr:rowOff>
    </xdr:from>
    <xdr:to>
      <xdr:col>1</xdr:col>
      <xdr:colOff>1528969</xdr:colOff>
      <xdr:row>39</xdr:row>
      <xdr:rowOff>33800</xdr:rowOff>
    </xdr:to>
    <xdr:pic>
      <xdr:nvPicPr>
        <xdr:cNvPr id="3" name="Imagen 2">
          <a:extLst>
            <a:ext uri="{FF2B5EF4-FFF2-40B4-BE49-F238E27FC236}">
              <a16:creationId xmlns:a16="http://schemas.microsoft.com/office/drawing/2014/main" id="{90B0D18B-D06E-4BCE-89C7-61B82598E7E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810047</xdr:colOff>
      <xdr:row>43</xdr:row>
      <xdr:rowOff>137492</xdr:rowOff>
    </xdr:from>
    <xdr:to>
      <xdr:col>1</xdr:col>
      <xdr:colOff>1528969</xdr:colOff>
      <xdr:row>47</xdr:row>
      <xdr:rowOff>33800</xdr:rowOff>
    </xdr:to>
    <xdr:pic>
      <xdr:nvPicPr>
        <xdr:cNvPr id="3" name="Imagen 2">
          <a:extLst>
            <a:ext uri="{FF2B5EF4-FFF2-40B4-BE49-F238E27FC236}">
              <a16:creationId xmlns:a16="http://schemas.microsoft.com/office/drawing/2014/main" id="{92D7CD7E-9EF1-47E5-A53E-83A1E4C1D1F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810047</xdr:colOff>
      <xdr:row>30</xdr:row>
      <xdr:rowOff>137492</xdr:rowOff>
    </xdr:from>
    <xdr:to>
      <xdr:col>1</xdr:col>
      <xdr:colOff>1528969</xdr:colOff>
      <xdr:row>34</xdr:row>
      <xdr:rowOff>33800</xdr:rowOff>
    </xdr:to>
    <xdr:pic>
      <xdr:nvPicPr>
        <xdr:cNvPr id="3" name="Imagen 2">
          <a:extLst>
            <a:ext uri="{FF2B5EF4-FFF2-40B4-BE49-F238E27FC236}">
              <a16:creationId xmlns:a16="http://schemas.microsoft.com/office/drawing/2014/main" id="{13FE1F8D-573B-455E-BDF2-A0CC619594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9167" y="6972632"/>
          <a:ext cx="718922" cy="559248"/>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426720</xdr:colOff>
      <xdr:row>0</xdr:row>
      <xdr:rowOff>106680</xdr:rowOff>
    </xdr:from>
    <xdr:to>
      <xdr:col>16</xdr:col>
      <xdr:colOff>640080</xdr:colOff>
      <xdr:row>13</xdr:row>
      <xdr:rowOff>109954</xdr:rowOff>
    </xdr:to>
    <xdr:pic>
      <xdr:nvPicPr>
        <xdr:cNvPr id="2" name="Imagen 1">
          <a:extLst>
            <a:ext uri="{FF2B5EF4-FFF2-40B4-BE49-F238E27FC236}">
              <a16:creationId xmlns:a16="http://schemas.microsoft.com/office/drawing/2014/main" id="{42E8656B-6066-4734-9B64-AABC9D78C467}"/>
            </a:ext>
          </a:extLst>
        </xdr:cNvPr>
        <xdr:cNvPicPr>
          <a:picLocks noChangeAspect="1"/>
        </xdr:cNvPicPr>
      </xdr:nvPicPr>
      <xdr:blipFill rotWithShape="1">
        <a:blip xmlns:r="http://schemas.openxmlformats.org/officeDocument/2006/relationships" r:embed="rId1"/>
        <a:srcRect l="27197" t="19963" r="30719" b="25060"/>
        <a:stretch/>
      </xdr:blipFill>
      <xdr:spPr>
        <a:xfrm>
          <a:off x="15636240" y="106680"/>
          <a:ext cx="4008120" cy="2725791"/>
        </a:xfrm>
        <a:prstGeom prst="rect">
          <a:avLst/>
        </a:prstGeom>
      </xdr:spPr>
    </xdr:pic>
    <xdr:clientData/>
  </xdr:twoCellAnchor>
  <xdr:twoCellAnchor editAs="oneCell">
    <xdr:from>
      <xdr:col>1</xdr:col>
      <xdr:colOff>0</xdr:colOff>
      <xdr:row>46</xdr:row>
      <xdr:rowOff>119742</xdr:rowOff>
    </xdr:from>
    <xdr:to>
      <xdr:col>1</xdr:col>
      <xdr:colOff>1023257</xdr:colOff>
      <xdr:row>47</xdr:row>
      <xdr:rowOff>25037</xdr:rowOff>
    </xdr:to>
    <xdr:pic>
      <xdr:nvPicPr>
        <xdr:cNvPr id="3" name="Imagen 2">
          <a:extLst>
            <a:ext uri="{FF2B5EF4-FFF2-40B4-BE49-F238E27FC236}">
              <a16:creationId xmlns:a16="http://schemas.microsoft.com/office/drawing/2014/main" id="{BFAE1BCA-ADBE-4AFD-B106-CE045D65C83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6741522"/>
          <a:ext cx="1023257" cy="476796"/>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626919</xdr:colOff>
      <xdr:row>43</xdr:row>
      <xdr:rowOff>60961</xdr:rowOff>
    </xdr:from>
    <xdr:to>
      <xdr:col>1</xdr:col>
      <xdr:colOff>1701339</xdr:colOff>
      <xdr:row>46</xdr:row>
      <xdr:rowOff>24938</xdr:rowOff>
    </xdr:to>
    <xdr:pic>
      <xdr:nvPicPr>
        <xdr:cNvPr id="2" name="Imagen 1">
          <a:extLst>
            <a:ext uri="{FF2B5EF4-FFF2-40B4-BE49-F238E27FC236}">
              <a16:creationId xmlns:a16="http://schemas.microsoft.com/office/drawing/2014/main" id="{2B19FD47-A2AD-435B-AF30-2D9A8DB3AD2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0779" y="9616441"/>
          <a:ext cx="1074420" cy="870757"/>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725979</xdr:colOff>
      <xdr:row>36</xdr:row>
      <xdr:rowOff>83821</xdr:rowOff>
    </xdr:from>
    <xdr:to>
      <xdr:col>1</xdr:col>
      <xdr:colOff>1800399</xdr:colOff>
      <xdr:row>40</xdr:row>
      <xdr:rowOff>40178</xdr:rowOff>
    </xdr:to>
    <xdr:pic>
      <xdr:nvPicPr>
        <xdr:cNvPr id="3" name="Imagen 2">
          <a:extLst>
            <a:ext uri="{FF2B5EF4-FFF2-40B4-BE49-F238E27FC236}">
              <a16:creationId xmlns:a16="http://schemas.microsoft.com/office/drawing/2014/main" id="{1A8326C3-246B-46C1-B9E4-351190B432A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0319" y="11772901"/>
          <a:ext cx="1074420" cy="626917"/>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copetrol-my.sharepoint.com/Users/Carlo%20Cardenas/Documents/CARLOS%20C.%20LOCAL/1%20IPSE/2024%20IPSE/12.%20EVIDENCIAS%20DICIEMBRE/PROYECTOS%20OXI%202025/4.%20TEORAMA/presupuesto/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001\c\WINDOWS\TEMP\MODELO-ACUEDUCTOXI.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planeacionnacional-my.sharepoint.com/AFE/Documents%20and%20Settings/lchait/My%20Documents/LC_CDrive/columbianupdate/Pincer180620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H:\2012\ANTIOQUIA\JERIC&#211;\01%20Presupuesto%2009-07-12\GP-469%20-%20Ppto%20Teatro%20Jerico%20V16%20-%20etapa%202.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ncqe-14\725%20gestion%20electrificacion%20rural\Jose%20L\ENERTOLIMA\2012\ELECTRIFICACION%20RURAL\PROYECTOS%20DE%20ELECTRIFICACION1\FAER\RADICADOS%20EN%20UPME\MURILLO%202012\REV2\METODOLO\USUARIO\ejemplo\PROG.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TICO\presupuestos%20aulas%20pareadas%20e%20individuales\Archivos%20Montes\Propuesta%20Distrito%20Colegios\Propuesta\PROPUESTA%20FINAL%20MAYO%2028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Users\adolfo\Desktop\PRESUPUESTO%20INGENIE.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ecopetrol-my.sharepoint.com/SERVIDOR/Public/Users/renec/Desktop/PROYECTOS%20BITER%2026/felipe%20biter%2026/PRESUP%20BATERIA%20LETICIA%20MAYO%2018.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SERVIDOR\Public\Users\renec\Desktop\PROYECTOS%20BITER%2026\felipe%20biter%2026\PRESUP%20BATERIA%20LETICIA%20MAYO%2018.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planeacionnacional-my.sharepoint.com/AFE/DBWKF/Budget%20and%20Finance/2008%20Budget/Models/20070930%20Prodeco%20Calenturitas%20Valuation%20Model%20v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planeacionnacional-my.sharepoint.com/AFE/Documents%20and%20Settings/CPhillips/Cerrejon/Models/Financial%20Model/Draft%208/Financial%20Model%20No%205%20-%2022MTPA-%20Rev%20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001\c\WINDOWS\TEMP\MODELOSANMARCOS-V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TRONCAL%2010\PRESUPUESTO\RECIBIDA\PRESUPUESTO\An&#225;lisis%20de%20precios%20unitarios\Datos%20b&#225;sico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planeacionnacional-my.sharepoint.com/robles/Etapa%208B/Presup%20Robles%208B%20(sandov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Listadoprecios20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92.168.0.2\ardco_compartida\Documents%20and%20Settings\lfuentes\Mis%20documentos\OBRAS%20CIVILES%20PRODECO%202004\mejoramiento%20y%20mantenimiento%20de%20vias\MANTENIMIENTO%20FUERZA%20TOTAL\Arreglo%20via%20LL-LJ.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G:\Informacion\Downloads\Documents%20and%20Settings\JAIRO%20MARTINEZ\MIS%20DOCUMENTOS%20JAIRO%20M\JAIRO%20MARTINEZ1\JOSO\EDIFICIO%20KALAIRA.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japarra\Familia%20Monsalvo%20Diaz\Equipo%20Anterior\Rossana\IDU%2050.19\An&#225;lisis%20de%20precios%20unitario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planeacionnacional-my.sharepoint.com/Informacion%20Comercial_Sucre/Sincelejo/Cortijo%20-%20Sincelejo.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planeacionnacional-my.sharepoint.com/AFE/TEMP/BUDGET%20FORM%20200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192.168.0.2\ardco_compartida\Documents%20and%20Settings\pcastro\Mis%20documentos\PRESUPUESTO%20CAL%20A&#209;O%202006\enrique\My%20Documents\geologia\costs%20and%20controls\Exploration%20Program%20Costs%20and%20meter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c6\d\Mis%20documentos\MPS%202005\Licitaciones\Presentadas\Bucarasica\Propuesta\Ppto-Bucarasica%20Mayo%203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Z:\BIIM\CAROLINA%20OLARTE\Consolidacion%20Territorial\Entregables\PROYECTOS%20UACT%20-%20Finales\7.%20Nechi\3.%20Presupuesto\Presupuesto%20Nechi%20(2Feb.201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92.168.0.2\ardco_compartida\JHIDALGO\UNIFORCE%20s.a.s\CEDENAR\CTO%202014--263-2014%20SDG-038-2014%20DISE&#209;OS%20MT\APU%20REMODELACION%20MT%20DIEGO.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aola\Mis%20documentos\Mis%20documentos\CONSULTORIA\EN%20EJECUCION\CARS\CORANTIOQUIA\PMAA%20PUEBLORRICO%202005\DISE&#209;O\Memorias\Alcantarillado\GUIA%20DISE&#209;O\ALCANTARILLADO%20LIBORINA\HOJA%20ALCANTARILLADO%20LIBORINA%20CON%20ALIVIADEROS.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is%20documentos\Monteria\Mis%20im&#225;genes\documentos\PAVSA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Letrina%20Unitario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Users\adolfo\Desktop\ING%20INGENIRIA%20S.A\B7A%20-Cancha%20750\3.%20Dise&#241;o%20Hidrosanitario\SABANA_PRESUPUESTO_CanchaMultiple_900_08sep2012.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planeacionnacional-my.sharepoint.com/Users/Gian%20Carlos/AppData/Local/Microsoft/Windows/Temporary%20Internet%20Files/Content.Outlook/KD237581/Estructura_APU_201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ncqe-14\725%20gestion%20electrificacion%20rural\Jose%20L\ENERTOLIMA\2012\ELECTRIFICACION%20RURAL\PROYECTOS%20DE%20ELECTRIFICACION1\FAER\RADICADOS%20EN%20UPME\MURILLO%202012\REV2\METODOLO\Usuario\ejemplo\EBI.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MaCaroCar\Documents\PERSONAL%20MACAROCAR\PPTO%20PRELIMINAR%20PPL\APU%20VOL%20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iii700\C\1581\Excel\Misc\equip%20database%20assumptions%20comparison.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planeacionnacional-my.sharepoint.com/AFE/Documents%20and%20Settings/jcampo/Configuraci&#243;n%20local/Archivos%20temporales%20de%20Internet/OLK43/Capital%20Costs%20-%20154016B%20Mine%20Study%20Option%203A%20-%20DRAFT%20REVISED%20(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aola\Mis%20documentos\CLAUDIA\DISE&#209;O%20ALCANTARILLADO%20LIBORINA%20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anearpc8\d\PROYECTOS\BUENOS%20AIRES\DISE&#209;O\Dise&#241;o%20hidraulico%20de%20componentes.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Sanear14\d\PROYECTOS\GUAJIRA\PROYECTOS\EL%20MOLINO\02%20FASE%20ANTEPROYECTO\MOLINO_AL_D_IN_02_GEN_A%20X%20Alcant(Antep)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planeacionnacional-my.sharepoint.com/AFE/Data/Work/Excel/Coal/Anglo%20View/MS%20Base%20Case%20intercor%201227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planeacionnacional-my.sharepoint.com/Documents%20and%20Settings/Kacero/Configuraci&#243;n%20local/Archivos%20temporales%20de%20Internet/OLK61/2008%20Capital%20Budget%20v1%208-14-0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ecopetrol-my.sharepoint.com/Users/ASUS/Downloads/DA_PROCESO_13-15-1546237_124002002_7696585.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Users\ASUS\Downloads\DA_PROCESO_13-15-1546237_124002002_7696585.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saenz\Documents%20and%20Settings\NUBIA\Escritorio\Users\rodrel\AppData\Local\Microsoft\Windows\Temporary%20Internet%20Files\Content.IE5\90ZIF8WU\Cantidade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sistente\c\Juan%20Diego\2004-17%20Puente%20El%20salado\Dise&#241;o\Memorias\Memoria%20de%20Conexiones\BARRA%20DE%20OJO.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Encqe-14\725%20gestion%20electrificacion%20rural\Jose%20L\ENERTOLIMA\2012\ELECTRIFICACION%20RURAL\PROYECTOS%20DE%20ELECTRIFICACION1\FAER\RADICADOS%20EN%20UPME\MURILLO%202012\REV2\METODOLO\USUARIO\ejemplo\EV_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G:\Documents%20and%20Settings\MANUEL%20RICARDO%20GOMEZ\I.D.U\KM%205%20V&#237;a%20la%20Calera\PROCESO%20PRECONTRACUTUAL\presupuestos\Construcci&#243;n\EJEMPLOS\Copia%20de%20PRESUPUESTO%20PUENTE%20TRANSVERSAL%2045%20-%20V.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Pc1\Mis%20documentos\Datos\K1\03%20Grupo%2005\02%20Dise&#241;os\01%20Ahorcado\02%20Memorias\02%20Hojas\Cantidades%20de%20Obra\02%20VILLAHERMOSA.Chalo\01%20Dis_AC_VH_02111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planeacionnacional-my.sharepoint.com/Informacion%20Comercial_Sucre/Sincelejo/Las%20Delicias%20-%20Sincelejo.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Volumes\DPS\GT%20Infraestructura%20y%20Habitat\MODIFICABLES\Area%20de%20Infraestructura\Coordinacion%20Tecnica%20I&amp;H\Dise&#241;os%20Tipo\B12F-VESTIER%20CLIMA%20FRIO\5.%20Presupuesto\B12F_Presupuesto_Zalta\PRESUPUESTO%20BASE%20COLEGIOS%202.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planeacionnacional-my.sharepoint.com/AFE/Documents%20and%20Settings/jcampo/Mis%20documentos/FINANCE/Models/Glencore%20Rail/Rail%20Model%20ver11%2024Mar06.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192.168.0.2\ardco_compartida\Documents%20and%20Settings\pcastro\Mis%20documentos\PRESUPUESTO%20CAL%20A&#209;O%202006\PRESUPUESTO%202006%20VERSION_0.xls" TargetMode="External"/></Relationships>
</file>

<file path=xl/externalLinks/_rels/externalLink149.xml.rels><?xml version="1.0" encoding="UTF-8" standalone="yes"?>
<Relationships xmlns="http://schemas.openxmlformats.org/package/2006/relationships"><Relationship Id="rId2" Type="http://schemas.microsoft.com/office/2019/04/relationships/externalLinkLongPath" Target="file:///G:\Informacion\Downloads\0%20-%20Contratos\Canales\2%20-%20Precontractual\Alkaldia\00-Drenaje%20Los%20Colores\Estudios%20y%20Dise&#241;os\CVS%20Montelibano\copia%20equipo%20pavilion\Mis%20documentos\MONICA\CVS\canal%20La%20granja\PROPUESTA%20ECOGESTAR%202.xls?697655D5" TargetMode="External"/><Relationship Id="rId1" Type="http://schemas.openxmlformats.org/officeDocument/2006/relationships/externalLinkPath" Target="file:///\\697655D5\PROPUESTA%20ECOGESTAR%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resupuesto%20T\TIERRA%20BUENA%20FACTIBILIDAD%2010.09.2004%2040%20CASAS%20264%20APARTAMENTOS%20(CD%2015.09.20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Documents%20and%20Settings\cmcarden1\Mis%20documentos\MARIA%20CAROLINA\PRESUPUESTO\CONSTRUCCI&#211;N\CALI%20TUNA%20BAJA\1.%20PRESUPUESTO%20CALI%20TUNA%20BAJA%20FIN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H:\METODOLO\SISTEMA\PROYECTS\prog.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Volumes\DPS\GT%20Infraestructura%20y%20Habitat\MODIFICABLES\Area%20de%20Infraestructura\Coordinacion%20Tecnica%20I&amp;H\Dise&#241;os%20Tipo\B12F-VESTIER%20CLIMA%20FRIO\5.%20Presupuesto\B12F_Presupuesto_Zalta\B12F_Cantidades_Z.ALTA%20(AB).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F:\Users\jhonatanmauricio\Downloads\F:\VILLA%20TAKOA\Presupuesto\APUS%20VILLA%20TAKOA.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planeacionnacional-my.sharepoint.com/Users/Gian%20Carlos/Documents/Puente%20el%20Embrujo/Apus/Estructura_APU_201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saenz\Documents%20and%20Settings\NUBIA\Escritorio\Users\JorgeF\Documents\amv%20grupo%203%20boyaca%202009\PRECIOS%20UNITARIOS\corregidos\2011\LICITACIONES%20AGOSTO%202011\apus%20boyaca%20VIA%20chiquinquira%20-%20TUNJA.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92.168.0.2\ardco_compartida\2006\L-193-06%20DISE&#209;O%20Y%20FABRICACI&#211;N%20%20AMPLIACI&#211;N%20DE%20PLANTA%20-%20BUENAVENTURA%20INGS\Presupuesto\Rev0\Presupuesto%20L-193-06%20revC.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F:\Users\INGABU%20SAS\Desktop\ING%20INGENIRIA%20S.A\1.%20GRUPO%20A\A01M-AULA%20MADERA\7.%20Presupuesto\A01M-AULA%20MADERA21112012.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planeacionnacional-my.sharepoint.com/Users/Usuario/AppData/Local/Temp/Rar$DI05.444/APU%20-%20Inv..GRUPO%20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laneacionnacional-my.sharepoint.com/AFE/AFEDatabase%20v5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92.168.0.2\ardco_compartida\JHIDALGO\UNIFORCE%20s.a.s\CEDENAR\CTO%202014--263-2014%20SDG-038-2014%20DISE&#209;OS%20MT\DIMENSI&#211;N%20PROYECTO-1.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planeacionnacional-my.sharepoint.com/Documents%20and%20Settings/Administrador/Configuraci&#243;n%20local/Archivos%20temporales%20de%20Internet/Content.IE5/EVZQXGNY/SISTEMA%20VIAL%20URBANO%20DEL%20RIO/ENTREGA/MEMORIAS/C&#225;lculorede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Encqe-14\725%20gestion%20electrificacion%20rural\Jose%20L\ENERTOLIMA\2012\ELECTRIFICACION%20RURAL\PROYECTOS%20DE%20ELECTRIFICACION1\FAER\RADICADOS%20EN%20UPME\MURILLO%202012\REV2\METODOLO\USUARIO\ejemplo\EVAL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vidor\servidor\Dise&#241;os%20y%20Construcciones\An&#225;lisis%20de%20precios%20unitarios%20de%20Bajo%20Grande.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192.168.0.2\ardco_compartida\GERENCIA\Compartidos\OCAD%20DE%20LA%20PAZ\OCAD%20PAZ%20PIZARRO\PRESUPUESTO\Presupuesto%20Corregido%20(2).xlsm"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G:\Escritorio\PP\PP%20no%20usados\1&#186;%20de%20Mayo%20con%2049C.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dicomosascomco-my.sharepoint.com/INVIAS-FA/Puentes%20Mochilero%20Quebradon/TCC%20Obra%20definitivos/AIU%20Mochilero%20Quebradon.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INVIAS-FA\Puentes%20Mochilero%20Quebradon\TCC%20Obra%20definitivos\AIU%20Mochilero%20Quebradon.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planeacionnacional-my.sharepoint.com/Documents%20and%20Settings/jcampo/My%20Documents/FINANCE/Models/Equipment%20Selection/Newco%20scenario%20for%20mining%20equipment%20purchases%20v7.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Estacion2\d\DOCUME~1\USER05~1\CONFIG~1\TEMP\ADMINISTRACION%20VIAL%20G2\PRESUPUESTOS\Presupuesto%20remoci&#243;n%20de%20derrumb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planeacionnacional-my.sharepoint.com/Users/Gian%20Carlos/Documents/Puente%20el%20Embrujo/Documents%20and%20Settings/Gerencia%20Financiera/Mis%20documentos/Cuadros%20Sr.%20Oscar/Flujo-07-11%20(Operacion%20Calenturitas)-VALORACION.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Teatreesvr\mineconsult\ActiveJobs\2180_CAl%20&amp;%20CDJ%20Equipment\XL\EcMod\Option%2030_EX3600_789\Option%2030_Mixed_EcMod_EX3600_5500_ver0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osenit2\oscar%20mauricio\Users\GAS%20NATURAL\Tarifas\2006\200603\Tarifas2006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planeacionnacional-my.sharepoint.com/Users/dell/AppData/Local/Temp/Rar$DIa0.128/AMVB%2009/Inf.%20Accidentalidad/ADMON/GRUPO5/PRESUP~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Users\jmperez\Documents\TECNICA\DEPORTE%20Y%20RECREACION\02%20ESTANDARIZADO%20POLIDEPORTIVO\05%20HOJA%20CALCULO%20ESTANDARIZADO\PRESUPUESTO%20DEL%20POLIDEPORTIVO%20COMPLETO.xls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92.168.0.2\ardco_compartida\enrique\My%20Documents\geologia\costs%20and%20controls\Exploration%20Program%20Costs%20and%20meters.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ecopetrol-my.sharepoint.com/Users/Carlo%20Cardenas/Documents/CARLOS%20C.%20LOCAL/1%20IPSE/1%20PROYECTOS/AJUSTADOS/44.%20MAICAO/PPTO%20MAICAO.%20LA%20GUAJIRA.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C:\Users\Carlo%20Cardenas\Documents\CARLOS%20C.%20LOCAL\1%20IPSE\1%20PROYECTOS\AJUSTADOS\44.%20MAICAO\PPTO%20MAICAO.%20LA%20GUAJIRA.xls" TargetMode="External"/></Relationships>
</file>

<file path=xl/externalLinks/_rels/externalLink177.xml.rels><?xml version="1.0" encoding="UTF-8" standalone="yes"?>
<Relationships xmlns="http://schemas.openxmlformats.org/package/2006/relationships"><Relationship Id="rId2" Type="http://schemas.microsoft.com/office/2019/04/relationships/externalLinkLongPath" Target="https://planeacionnacional-my.sharepoint.com/Documents%20and%20Settings/jcampo/Local%20Settings/Temporary%20Internet%20Files/OLK34/Macintosh%20HDUsers/darrenbowden/Data/Work%20OTML/2005_Budget/Model/Planning%20Model%20OTML%20Month%20CY05%20V2.xls?4DF4E1CD" TargetMode="External"/><Relationship Id="rId1" Type="http://schemas.openxmlformats.org/officeDocument/2006/relationships/externalLinkPath" Target="file:///\\4DF4E1CD\Planning%20Model%20OTML%20Month%20CY05%20V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planeacionnacional-my.sharepoint.com/AFE/Documents%20and%20Settings/jcampo/Local%20Settings/Temporary%20Internet%20Files/OLK34/2297_Opt46_La%20Jag_MARC_Evaluation%20ver01-ADJUSTED%20SCHED.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Business%20Development\Contract%20Administration\Hovensa\Contract%20Renewal%206-2005\Worksheets\Business%20Development\Contract%20Administration\Valero%20-%20Aruba%20-%20Economics\CAR%20Economics\Maintenance%20Cost%20Breakdow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PC%20VIEJO\D\Richi\Negocios\Cesar%20Villegas\An&#225;lisisAPU.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planeacionnacional-my.sharepoint.com/AFE/Documents%20and%20Settings/jcampo/Configuraci&#243;n%20local/Archivos%20temporales%20de%20Internet/OLK43/AFE-MOER%20Register%20(27).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192.168.0.2\ardco_compartida\LICITACI\BASE\PRESUPUESTO-BASE-2006%20(Guatemala).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92.168.0.2\ardco_compartida\LICITACI\BASE\PRESUPUESTO-BASE-2005%20(peru).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92.168.0.2\ardco_compartida\JHIDALGO\UNIFORCE%20s.a.s\CEDENAR\CTO%202014--263-2014%20SDG-038-2014%20DISE&#209;OS%20MT\EJEMPLO%20PLANO\PRESUPUESTO%20TUQUERRES%20FINAL%20-%20copia.xlsx"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japarra\Trab\PROP\47L8%20Siemens%20FCS%20Mexico\47L80080.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92.168.0.2\ardco_compartida\14A1799A\precios%20unitarios.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L:\USB%20MARCOS\DOCUMENTOS%20EXCEL\My%20Documents\CONTRATOS%20VIGENTES\Malla%20Vial%20Distrital\CALLE%2080B\Mis%20documentos\INF.BIMENSUAL\INFORME%20BIMENSUAL%20JUL-AGO-200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planeacionnacional-my.sharepoint.com/AFE/Mining/Admin/Template%20Models/Blank%20270.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Albeiro\unidad%20d\Documents%20and%20Settings\SANEAMBIENTE\GENERALES\MVMT\Dise&#241;o_ALL_AR_030328.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planeacionnacional-my.sharepoint.com/AFE/Documents%20and%20Settings/Kacero/Configuraci&#243;n%20local/Archivos%20temporales%20de%20Internet/OLK61/MIGUE/Flujo%20de%20Caja%20-%20Compras/FLUJO%202222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sistente\c\Juan%20Diego\2004-17%20Puente%20El%20salado\Dise&#241;o\Memorias\Memoria%20de%20Conexiones\Memoria%20de%20Conexiones\14-01Placa%20de%20base%20mala.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Mapeco\mapeco_vol1.mapeco_ltda\USUARIOS\Licita\SUBTEC\CARMEN\TARIFA.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Principal\cund%20grupo%201\TECNICO\INFORMES%20TRIMESTRALES\INFORME%20TRIMESTRAL%20OCTUBRE%20DE%202009\Documents%20and%20Settings\Administrador\Escritorio\JULIO%20SEPTIEMBRE\Documents%20and%20Settings\Compaq_Propietari"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00-ACTUAL\0-Carrizal%202003\Presupuesto%20y%20A.P.U..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C:\Users\gonte\Downloads\PPTO%20MAICAO.%20LA%20GUAJIRA%20(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ecopetrol-my.sharepoint.com/Users/gonte/Downloads/PPTO%20MAICAO.%20LA%20GUAJIRA%20(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F:\ADM%20VIAL%2003%20-%20CORDOBA\ESTADO%20DE%20RED\2103mar%20.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F:\Users\adolfo\Downloads\1409-2012_Presupuesto_750(1)............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Informacion\Downloads\PROCESOS%20DE%20CONTRATACION%202008\ACTAS%202008\ACTA%20PARCIAL%20CRISTIAN%20LONDO&#209;O\PARCIAL_N..V.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arlo%20Cardenas\Documents\CARLOS%20C.%20LOCAL\1%20IPSE\2024%20IPSE\12.%20EVIDENCIAS%20DICIEMBRE\PROYECTOS%20OXI%202025\4.%20TEORAMA\presupuesto\RESUM96"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laneacionnacional-my.sharepoint.com/AFE/Documents%20and%20Settings/RAUL%20ENDARA/My%20Documents/HLISA/LICITACI/1999/L-003-99/NEGOCIA/UNIT0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Z:\2016\PROYECTA-BIIM\PROYECTO\PROYECTO\Proyecto%20Tipacoqu&#233;%20ALC\13.%20Presupuesto%20Y%20APU&#180;S\PRESUPUESTO%20Y%20APU&#180;s%20TIPACOQUE%20%20%2006-10-2014.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Z:\Users\USUARIO\Desktop\ESPB\1.%20PROYECTOS\MUNICIPIOS\MACRO%20PARA%20PRESUPUESTO\APU'S%20GOBERNACION%202013%20GENERAL%20-%20CABETO.xlsm"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ecopetrol-my.sharepoint.com/Users/Usuario/Documents/AEROPUERTO%20BUCARAMANGA/ACTAS/Recibo%20de%20obra/Acta%20de%20obra%20No.%2025%2014-abr-18.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C:\Users\Usuario\Documents\AEROPUERTO%20BUCARAMANGA\ACTAS\Recibo%20de%20obra\Acta%20de%20obra%20No.%2025%2014-abr-18.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Cosenit3\Modelo%20de%20tarifas%20de%20transporte%20de%20Gas\Consultoria%20Energetica\DATOS\PROYECCION%20PRECIOS%20FUEL%20OIL%20Y%20GAS%20NATURAL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ecopetrol-my.sharepoint.com/Users/DISE&#209;O/Downloads/PPTO%20CENTRO%20DE%20VIDA.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Users\DISE&#209;O\Downloads\PPTO%20CENTRO%20DE%20VIDA.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https://planeacionnacional-my.sharepoint.com/SECRETARIA%20DE%20PLANEACION%202014/PAVIMENTOS%20DPS/PAVIMENTO%20SAN%20LUIS%20JULIO2013/PRESUPUESTO%20VIA%20SAN%20LUIS%20JULIO%20-%20modificado.xlsx"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planeacionnacional-my.sharepoint.com/Documents%20and%20Settings/jcampo/Local%20Settings/Temporary%20Internet%20Files/OLK34/portada%20nueva.xls" TargetMode="External"/></Relationships>
</file>

<file path=xl/externalLinks/_rels/externalLink209.xml.rels><?xml version="1.0" encoding="UTF-8" standalone="yes"?>
<Relationships xmlns="http://schemas.openxmlformats.org/package/2006/relationships"><Relationship Id="rId2" Type="http://schemas.microsoft.com/office/2019/04/relationships/externalLinkLongPath" Target="https://planeacionnacional-my.sharepoint.com/Users/Harold/Documents/DEVIMED/DEVIMED%202008/REVISION%20NUEVOS%20PRECIOS/Users/Subtecnica.PROCOPAL/Documents/MVM/DEVIMED%20S.A/San%20Vicente/HLOPEZA/GERONA/CANTIDADES%20REPOSICION/SUBCIRCUITO%207/REDES7.xls?FD3E996F" TargetMode="External"/><Relationship Id="rId1" Type="http://schemas.openxmlformats.org/officeDocument/2006/relationships/externalLinkPath" Target="file:///\\FD3E996F\REDES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planeacionnacional-my.sharepoint.com/AFE/AFEDatabase%20v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Mis%20documentos\Monteria\Mis%20im&#225;genes\MSOFFICE\EXCEL\DEPORT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ecopetrol-my.sharepoint.com/Documents%20and%20Settings/Personal/Mis%20documentos/TRABAJO/PPTOS%20%20-%20CENS%20-%202005/Materiales%20-%20Matriz-1.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C:\Documents%20and%20Settings\Personal\Mis%20documentos\TRABAJO\PPTOS%20%20-%20CENS%20-%202005\Materiales%20-%20Matriz-1.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https://planeacionnacional-my.sharepoint.com/Documents%20and%20Settings/PTilston/Local%20Settings/Temporary%20Internet%20Files/OLK335/ARC_MINE%20PLANNING/BUDGET%202006/BUDGET%20OCT02/Base%20Datos%20C_Andes%20Bug06%20OCT03%20(version%201).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Vias\natalia\PC%20VIEJO\D\Richi\Negocios\Cesar%20Villegas\An&#225;lisisAPU.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192.168.0.2\ardco_compartida\a%20%20aaInformaci&#243;n%20GRUPO%204\A%20MInformes%20Mensuales\Informe%20de%20estado%20vial%20ene\aCCIDENTES%20DE%201995%20-%201996.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planeacionnacional-my.sharepoint.com/AFE/Documents%20and%20Settings/jgerard/Local%20Settings/Temporary%20Internet%20Files/OLK139/Truck%20&amp;%20Rail%205mtpa.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F:\AMV-02-BOL\EST.V&#205;A%20CRIT.TECNICO%20AMB-BOL-02\DICIEMBRE-2008\EST.V&#205;A%20CRITERIO%20TECNICO%2090BLB.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F:\EST.V&#205;A%20CRITERIO%20TECNICO.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https://unaledu-my.sharepoint.com/MESING/Unidad%20C/00-2004/San%20Pedro/Lagunas/Linea%20de%20Impulsi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ecopetrol-my.sharepoint.com/Users/lENOVO/AppData/Local/Temp/Rar$DI31.444/2012_12_18_PRESUPUESTO_REDES_DEFINITIVO_v2.xlsx"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C:\Users\lENOVO\AppData\Local\Temp\Rar$DI31.444\2012_12_18_PRESUPUESTO_REDES_DEFINITIVO_v2.xlsx"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planeacionnacional-my.sharepoint.com/orlando/PROPUESTA%20PUENTE%20BOLIVAR%20MURO%20EN%20CONCRETO.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UNITARIOS.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Servidor\c\Mis%20documentos\presupuesto.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ecopetrol-my.sharepoint.com/Freddy/RAPH/Proyecto%20Remolino/Presupuesto%20y%20APU%20Remolinos%202.xlsx"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Freddy\RAPH\Proyecto%20Remolino\Presupuesto%20y%20APU%20Remolinos%202.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D:\Freddy\Dise&#241;os%20Varios\Dise&#241;o%20Salamanca\Dise&#241;o%20Ingeominas\Copia%20de%20APU%20raph.%20V%20FINAL%2000.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aparra\Documents%20and%20Settings\crendon.HMV\Local%20Settings\Temporary%20Internet%20Files\OLK3\8599.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92.168.0.2\ardco_compartida\GERENCIA\Compartidos\Users\UNIFORCE\Google%20Drive\2.%20Matriz\MATRIX%20V.1.xlsm"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192.168.0.2\ardco_compartida\GERENCIA\Compartidos\OCAD%20DE%20LA%20PAZ\OCAD%20PAZ%20PIZARRO\PRESUPUESTO\Presupuesto%20Actualizado.xlsm"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https://planeacionnacional-my.sharepoint.com/Documents%20and%20Settings/jmeneses/Configuraci&#243;n%20local/Archivos%20temporales%20de%20Internet/OLK27/Fuel%20Cupo%20LJP.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s://planeacionnacional-my.sharepoint.com/AFE/Corporate/Finance&amp;Admin/Botica/Annual%20Accounts/June%2000/Sponsors%20TB%20(BS)%20June%202000.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https://planeacionnacional-my.sharepoint.com/AFE/Corporate/Annual%20Reports/Annual%20Report%202000/MMH%20Consolidated%20TB.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C:\Users\luisl\Documents\2023\IPSE\PROYECTOS%20MPC-%20IPSE\INIRIDA%201\Presupuesto%20SSFVI%20Concentrado%20-%20P14%20-%20In&#237;rida%20(1)%20SINAP.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s://ecopetrol-my.sharepoint.com/Users/Karen%20Herrera/Downloads/Infraestructura%20SID/OCAD%20-%20Proyectos%20Aprobados%20I/KRA%2080D1%20DE%20SAN%20FERNANDO/CARRERA%2080D1%20SAN%20FERNANDO%20VB/PRESUPUESTOS/PROG.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C:\Users\Karen%20Herrera\Downloads\Infraestructura%20SID\OCAD%20-%20Proyectos%20Aprobados%20I\KRA%2080D1%20DE%20SAN%20FERNANDO\CARRERA%2080D1%20SAN%20FERNANDO%20VB\PRESUPUESTOS\PROG.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Servidor\Usuarios\Ingeniero\emartinez\medidores%20SANTA%20CECILIA.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Mis%20documentos\Monteria\Mis%20im&#225;genes\EXCEL\CONTRATO\ALCASA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aparra\usr\excel\COTIZACIONES\MIAMI\ELECONWIRE\Amir\Catalogo\MV_1.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planeacionnacional-my.sharepoint.com/AFE/Documents%20and%20Settings/jcampo/Configuraci&#243;n%20local/Archivos%20temporales%20de%20Internet/OLK43/Flujo%20de%20caja2%20(3).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s://planeacionnacional-my.sharepoint.com/Users/aescorcia/Desktop/APU/APU%202011/APU%20CON%20PARTICULARES%20OPA.xlsx"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s://planeacionnacional-my.sharepoint.com/AFE/Nueva%20carpeta/LOM%20Calagua/FORECAST/Marzo03--06/Documents%20and%20Settings/Alfonso%20Lopez/Mis%20documentos/LA%20JAGUA/TEMPO/Alfonso/BUGJET_2005%20LJ%20REV%20ABRIL.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192.168.0.2\ardco_compartida\Archivos%20de%20Dise&#241;o%20Acero\19-01Conexion%20corte%20excentrica%20y%20tensi&#243;n%20(I-I).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Servidor\archivo%20ofertas\Aforos%20Tanques%20UEN%20Mayorista.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https://ecopetrol-my.sharepoint.com/Users/Carlo%20Cardenas/Documents/CARLOS%20C.%20LOCAL/1%20IPSE/2024%20IPSE/EVIDENCIAS%20JUNIO%202024/SANTA%20ROSALIA%20VICHADA/B.%20T&#233;cnico/7.%20Ppto%20Est%20Merc/Estudio%20de%20Insumos%20V16.xlsx"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C:\Users\Carlo%20Cardenas\Documents\CARLOS%20C.%20LOCAL\1%20IPSE\2024%20IPSE\EVIDENCIAS%20JUNIO%202024\SANTA%20ROSALIA%20VICHADA\B.%20T&#233;cnico\7.%20Ppto%20Est%20Merc\Estudio%20de%20Insumos%20V16.xlsx"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https://ecopetrol-my.sharepoint.com/Users/USER/Downloads/AIU%20OBRA%20-%20%20CUADRO%202025%20-%20INTERV.%20CONSULTORIA%20GRP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92.168.0.2\ardco_compartida\GERENCIA\Compartidos\Users\User\Desktop\Municipio%20de%20SALAHONDA\5.%20Presupuesto%20General%20del%20Proyecto\Presupuesto%20-%20Cronograma\PRESUPUESTO%20GENERAL%20ACTUALIZADO.xlsx"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A:\Mis%20documentos\Monteria\PROP%20PARAISO%20ori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ESING\Carlos%20(C)\00-VALENCIA\Matadero\Definitivo\Lagunas%20Matadero.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japarra\BACKP%2008062011\MIS%20DOCUMENTOS\varios\Nueva%20carpeta\Presupuesto\APUS\09-04-16%20APUs%20Volumen%201%20REV%207\APU%20nuevo%20formato.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https://planeacionnacional-my.sharepoint.com/Documents%20and%20Settings/dbowden/My%20Documents/Prodeco%20Wk%20File/Budget%20and%20Finance/2008%20Budget/Models/20070920%20Prodeco%20La%20Jagua%20Valuation%20Model%20v4.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192.168.0.2\ardco_compartida\PRODECO\CF%20sep17-06.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s://planeacionnacional-my.sharepoint.com/AFE/DOCUME~1/LDIEPPA/LOCALS~1/Temp/notes5D4CD5/FOrmato%20nec%20entto%202007.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s://planeacionnacional-my.sharepoint.com/Documents%20and%20Settings/Kacero/Configuraci&#243;n%20local/Archivos%20temporales%20de%20Internet/OLK61/MIGUE/Flujo%20de%20Caja%20-%20Compras/FLUJO%2022222.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192.168.0.2\ardco_compartida\LEVANT.%20RED%20TRENZADA\FORMATO%20LEVANTAMIENTOS.xlsx"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dsaenz\Documents%20and%20Settings\NUBIA\Escritorio\MANTENIMIENTO%20RUTA%201001_MARZO%20DE%202008\Documents%20and%20Settings\PEDRO%20GARCIA%20REALPE\Mis%20documentos\AMV_G1_2006_TUMACO\Actas%20AMV_G1_Tumaco\a%20%20aaInformaci&#243;n"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D:\Freddy\Archivos%202020\Proyecto%20Pers%20Final\Proyecto%20Faer%20Pers\3.%20Capitulo%20T&#233;cnico%20Pers%20Faer\Presupuesto%20y%20APU\Presupuesto%20Arboledas.xlsx"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https://planeacionnacional-my.sharepoint.com/AFE/unzipped/ULANVA~6/ULAN%20valuation%20(3%20Nov%20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MVMEDMAIL\Propuestas\Trab\personal\Lista%20de%20precios%20para%20gabinetes%20de%20control%20y%20protecci&#243;n.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https://planeacionnacional-my.sharepoint.com/AFE/Corporate%20Finance/Projects/MINARA/Models/2007/MM%20LOM%20v2.56%20(180907)_GIAG%20Aug07%20forecast.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https://planeacionnacional-my.sharepoint.com/AFE/Data/capital/ARRIENDO%20PRODECO.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G:\50%20Vivienda\RNC%20Carvajal\para%20quemar\dvd\lo%20del%206\ROBERT\Via%20Jiguales\Analisis%20precios%20Gobernacion%202006.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planeacionnacional-my.sharepoint.com/AFE/Budgets/Budget%202006/Returned%20Spreadsheets/CapitalBudget6MthsToDec05.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https://planeacionnacional-my.sharepoint.com/MONO/Documentos/Consultorias/Presupuestos%20Basicos/Presupuesto%20Amparo%20-%20Portal/Electricas/APUS%20Y%20PRESUPUESTO%20REDES%20ELECTRICAS%20AMPARO%20GALLO.xlk"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192.168.0.2\ardco_compartida\GERENCIA\Compartidos\Final%20Bajo%20Mira\AJUSTES%20-%20UPME%202019\Presupuesto\PRESUPUESTO%20GENERAL.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https://planeacionnacional-my.sharepoint.com/AFE/Corporate/Finance&amp;Admin/Botica/Ex%20Robo/Steve%20Robinson/A%20backup%20disk/Management%20tools/Business%20frameworks/A%20framework%20for%20business%20analysis.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A:\PRES%20IGLESIA%20JAIRO.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https://planeacionnacional-my.sharepoint.com/Documents%20and%20Settings/ptilston/Local%20Settings/Temporary%20Internet%20Files/OLKE6/johnny/2297_Opt46_LaJagFleet_ver01-%20ADJUSTED%20SCHED.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Users\INGABU%20SAS\Desktop\ING%20INGENIRIA%20S.A\1.%20GRUPO%20A\A01C-AULAS%20EDUCATIVAS%20CLIMA%20CALIDO\7.%20Presupuesto\Zona_AltaClima_Calido\A01_CLIMA_CALIDO_1AULA\21112012_Calido_1_Aula_ZAlta-AB_CD_E.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https://planeacionnacional-my.sharepoint.com/Documents%20and%20Settings/afigueroa.CYT/Configuraci&#243;n%20local/Archivos%20temporales%20de%20Internet/Content.IE5/KD8PUB8J/ModPptoOperaEquiposVerEyC.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planeacionnacional-my.sharepoint.com/Users/Harold/Documents/DEVIMED/DEVIMED%202008/REVISION%20NUEVOS%20PRECIOS/Users/Subtecnica.PROCOPAL/Documents/MVM/DEVIMED%20S.A/PAVICOL/MSOFFICE/LICITAR/analisis%20del%20AIU/AIU.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planeacionnacional-my.sharepoint.com/AFE/WINNT/Temporary%20Internet%20Files/OLK3/ANO%20TB-BS%20Dec%202000.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A:\RCA1A1.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Ambiental\D\ALO\Palos%20Verdes\CERRO%20MATOSO\Presupuesto\Presupuesto%20Definitivo.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HP16768160492\Jairo%20Q\CERRO%20MATOSO%20SACRIFICIO\Copia%20de%20presupuesto%20final.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F:\Documents%20and%20Settings\leonidas.uzcategui\My%20Documents\MECOR\OFERTAS%20MECOR%20COLOMBIA\VALE%20COAL\ING%20BASICA%20SISTEMA%20DE%20TRITURACION%201500%20TNH\ESTIMADO%20DE%20COSTOS\ESTIMADO-VALE%20TRITURACION%201500%20TONS.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192.168.0.2\ardco_compartida\MSOFFICE\Excel\SIACE\EXCEL\PPTO98\JAGUA\JAGUA1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idor\publica\Documents%20and%20Settings\Ingenieria3\Escritorio\copia%20equipo%20pavilion\Mis%20documentos\MONICA\CVS\canal%20La%20granja\PROPUESTA%20ECOGESTAR%202.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Preobra\ModeloPresupuesto.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C:\Users\luisl\Downloads\Presupuesto%20Civil%20Inirida.xlsm"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C:\Users\APRENDIZ\Pictures\PRESUPUESTO%20CONSOLIDADO%20SACAMA\6.%20PPTO%20EDITABLE%20Consolidado%20V4.xlsx" TargetMode="External"/></Relationships>
</file>

<file path=xl/externalLinks/_rels/externalLink283.xml.rels><?xml version="1.0" encoding="UTF-8" standalone="yes"?>
<Relationships xmlns="http://schemas.openxmlformats.org/package/2006/relationships"><Relationship Id="rId2" Type="http://schemas.microsoft.com/office/2019/04/relationships/externalLinkLongPath" Target="https://planeacionnacional-my.sharepoint.com/Users/Gian%20Carlos/Documents/Puente%20el%20Embrujo/Documents%20and%20Settings/dbowden/Local%20Settings/Temporary%20Internet%20Files/OLKA0/Flujo-07-11%20(Operacion%20Calenturitas)-VALORACION(2).xls?8509D113" TargetMode="External"/><Relationship Id="rId1" Type="http://schemas.openxmlformats.org/officeDocument/2006/relationships/externalLinkPath" Target="file:///\\8509D113\Flujo-07-11%20(Operacion%20Calenturitas)-VALORACION(2).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https://www.contratos.gov.co/Mis%20documentos/contratos-en-ejecuci&#243;n/contratos-inv&#237;as-2002/consulv&#237;as-advial/WINDOWS/TEMP/TD_0025.DIR/NOV-%20DIC-2002/oficina/accidentes%20le%20NOV-02-1.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https://ecopetrol-my.sharepoint.com/Users/Carlo%20Cardenas/Documents/CARLOS%20C.%20LOCAL/1%20IPSE/2024%20IPSE/12.%20EVIDENCIAS%20DICIEMBRE/PROYECTOS%20OXI%202025/4.%20TEORAMA/presupuesto/MATRIZ%20PARA%20EL%20CALCULO%20DEL%20AIU%202009.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C:\Users\Carlo%20Cardenas\Documents\CARLOS%20C.%20LOCAL\1%20IPSE\2024%20IPSE\12.%20EVIDENCIAS%20DICIEMBRE\PROYECTOS%20OXI%202025\4.%20TEORAMA\presupuesto\MATRIZ%20PARA%20EL%20CALCULO%20DEL%20AIU%202009.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A:\Ligia%20Esther\Aula%20Multiple%20Ayapel\ACTAS\COPIA%201\LIGIA\ALCANT.%20TUCHIN\PROP%20OSWALDO\unitarios%20.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C:\Users\USER\Downloads\file:\E:\MIJ\NL%20Costeos\Costeo%20Consultoria%20Bancol.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Z:\MIJ\NL%20Costeos\Costeo%20Consultoria%20Banco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adolfo\Desktop\ING%20INGENIRIA%20S.A\3.%20GRUPO%20B\B06A-CUBIERTA%20DEPORTIVA%20750m\7.%20Presupuesto\09112012_Versi&#243;n_03\Z_Alta_750M&#178;\0911-2012_Presupuesto_750%20_Alta_Suelo%20AB_V03.xlsx"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C:\Users\Carlo%20Cardenas\Documents\CARLOS%20C.%20LOCAL\1%20IPSE\2024%20IPSE\12.%20EVIDENCIAS%20DICIEMBRE\PROYECTOS%20OXI%202025\4.%20TEORAMA\presupuesto\Copia%20de%20Presupuesto%20PGS%20Teorama%202025.xlsx"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C:\Users\luisl\Documents\2023\IPSE\PROYECTOS%20OXI\BECERRIL,%20CESAR\Presupuesto%20y%20APU%20SISFV%20Municipio%20Becerril%20-%20Cesar%20-%20OxI.xlsx" TargetMode="External"/></Relationships>
</file>

<file path=xl/externalLinks/_rels/externalLink292.xml.rels><?xml version="1.0" encoding="UTF-8" standalone="yes"?>
<Relationships xmlns="http://schemas.openxmlformats.org/package/2006/relationships"><Relationship Id="rId3" Type="http://schemas.openxmlformats.org/officeDocument/2006/relationships/externalLinkPath" Target="https://ecopetrol-my.sharepoint.com/personal/aldo_gonzalez_cenit-transporte_com/Documents/Documentos/01_OXI/20250214000111%20TEORAMA/00%20VERSI&#211;N%20FINAL%202025/08%20PRESUPUESTO/PPTO.%20SSFV%20con%20michi%205-10%20y%2015%20Civil%20OK%202025%20v2.xlsx" TargetMode="External"/><Relationship Id="rId2" Type="http://schemas.microsoft.com/office/2019/04/relationships/externalLinkLongPath" Target="https://ecopetrol-my.sharepoint.com/personal/aldo_gonzalez_cenit-transporte_com/Documents/Documentos/01_OXI/20250214000111%20TEORAMA/00%20VERSI&#211;N%20FINAL%202025/08%20PRESUPUESTO/PPTO.%20SSFV%20con%20michi%205-10%20y%2015%20Civil%20OK%202025%20v2.xlsx?79EFCF21" TargetMode="External"/><Relationship Id="rId1" Type="http://schemas.openxmlformats.org/officeDocument/2006/relationships/externalLinkPath" Target="file:///\\79EFCF21\PPTO.%20SSFV%20con%20michi%205-10%20y%2015%20Civil%20OK%202025%20v2.xlsx"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C:\Users\Acer\Documents\ipse\Norte%201\Norte%201\CAPEX%20Norte%201%20V3.xlsm"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C:\Users\luisl\Documents\2023\IPSE\PROYECTOS%20MPC-%20IPSE\BARRANCOMINAS\PPTO.%20BARRANCOMINAS%20GUAINIA.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192.168.0.2\DESKTOP-5A3KFOJ\Compartidos\Jairo\jairo\ANDENES%20AV%20COLOMBIA\ACTAS\Documents%20and%20Settings\Administrador.PLAN-0ADFC0248A\Mis%20documentos\jfviteri\SUPERVISIONOBRAS\andenesBrice&#241;o\_DOCUM\ACTAS\2002\Miraflores-cra1\_PRE?09B29250" TargetMode="External"/><Relationship Id="rId1" Type="http://schemas.openxmlformats.org/officeDocument/2006/relationships/externalLinkPath" Target="file:///\\09B29250\_PRE"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saenz\Documents%20and%20Settings\NUBIA\Escritorio\a%20%20aaInformaci&#243;n%20GRUPO%204\A%20MInformes%20Mensuales\Informe%20de%20estado%20vial%20ene\aCCIDENTES%20DE%201995%20-%2019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esktop\Proyectos\8.%20Guachucal\PRESUPUESTO%20GUACHUCAL.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Users\ADOLFO%20ALONSO%20BUITRA\Documents\ADOLFO\Documentos_General_2010-2011\Obras_2010\Francisco_Calderon\Federacion_Cafeteros\Presupuesto_Federacion\PRESUPUESTO%20Y%20APUS%20608-MONIQUIRAMARZO.LXS.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Informacion\Downloads\Propuestas%201112\LP-004-2012-Barcazas\Propuestas\2011\Puerto%20E\Prop-Nando-LP-1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Mis%20documentos\Monteria\Mis%20im&#225;genes\documentos\PLANTA%20PUERT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203\usr%20andres\USR%20FELIZZOLA\ARGOS\FORMULARIO%20PRECIOS%20CIVIL%20ARGOS%20REVLTM%20rev2\Formulario%20de%20Precios%20V2\Sub-Juan%20de%20Acosta\QUARK%20UP\101-OFR\Cospique\formularios\ECOPETROL%20FORMULARIO%20DE%20OBRAS%20CIVIL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OSCAR%20SILGADO\ASOREC\MUNICIPIOS\MARIA%20LA%20BAJA\2015\PARQUE\PROPUESTA%20PMI\PRUEBA1.xlsx" TargetMode="External"/></Relationships>
</file>

<file path=xl/externalLinks/_rels/externalLink37.xml.rels><?xml version="1.0" encoding="UTF-8" standalone="yes"?>
<Relationships xmlns="http://schemas.openxmlformats.org/package/2006/relationships"><Relationship Id="rId2" Type="http://schemas.microsoft.com/office/2019/04/relationships/externalLinkLongPath" Target="file:///\\Encqe-14\725%20gestion%20electrificacion%20rural\Jose%20L\ENERTOLIMA\2012\ELECTRIFICACION%20RURAL\PROYECTOS%20DE%20ELECTRIFICACION1\FAER\RADICADOS%20EN%20UPME\MURILLO%202012\REV2\METODOLO\Usuario\PROYECTO%20DE%20ELECTRIFICACION%20RURAL\PE_01.xls?3B33EFB1" TargetMode="External"/><Relationship Id="rId1" Type="http://schemas.openxmlformats.org/officeDocument/2006/relationships/externalLinkPath" Target="file:///\\3B33EFB1\PE_01.xls" TargetMode="External"/></Relationships>
</file>

<file path=xl/externalLinks/_rels/externalLink38.xml.rels><?xml version="1.0" encoding="UTF-8" standalone="yes"?>
<Relationships xmlns="http://schemas.openxmlformats.org/package/2006/relationships"><Relationship Id="rId2" Type="http://schemas.microsoft.com/office/2019/04/relationships/externalLinkLongPath" Target="file:///\\Encqe-14\725%20gestion%20electrificacion%20rural\Jose%20L\ENERTOLIMA\2012\ELECTRIFICACION%20RURAL\PROYECTOS%20DE%20ELECTRIFICACION1\FAER\RADICADOS%20EN%20UPME\MURILLO%202012\REV2\METODOLO\Usuario\PROYECTO%20DE%20ELECTRIFICACION%20RURAL\IDEN.XLS?3B33EFB1" TargetMode="External"/><Relationship Id="rId1" Type="http://schemas.openxmlformats.org/officeDocument/2006/relationships/externalLinkPath" Target="file:///\\3B33EFB1\IDE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www.contratos.gov.co/Mis%20documentos/contratos-en-ejecuci&#243;n/contratos-inv&#237;as-2002/consulv&#237;as-advial/WINDOWS/TEMP/TD_0025.DIR/NOV-%20DIC-2002/INF%20NOV-DIC_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Angel%202006\PROCESOS_LIC_PAV_LOC\LICITACION_PPL_4_GRUPOS\PRESUPUESTOS_26_06_06\PRESUP_DEFINITIVOS_4G\PRESUP_PRECIOS_UNIFICADOS_OK\PRESUPUESTO%205-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Informacion\Downloads\Users\carolina\Desktop\CONTRATOS%20ESCOOBY%202009\LICITACION\LP%20002%202009%20CONSTRUCCION%20DE%20CUATRO%20AULAS%20QUEBRADA%20DE%20YUCA\PRESUPUESTO%20AULA%20CONSTRUCCION%20DE%20CUATRO%20AULAS%20QUEBRADA%20DE%20YUC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luisl\Documents\2023\IPSE\PROYECTOS%20OXI\RIOACHA%20GUAJIRA\AJUSTE%20CON%20E.M.%20IPSE\PPTO%20RIOHACHA.%20LA%20GUAJIR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Carlo%20Cardenas\Documents\CARLOS%20C.%20LOCAL\1%20IPSE\2024%20IPSE\12.%20EVIDENCIAS%20DICIEMBRE\PROYECTOS%20CTO%20101%20AJUTADOS\SAN%20CARLOS\PRESUPUESTO%20sabanalarga%202010kw.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copetrol-my.sharepoint.com/Users/luisl/Documents/2023/IPSE/PROYECTOS%20156/ZONA%204/SOLAR/CASANARE/TAMARA/6.%20PPTO%20Consolidado%20TAMARA%20V4.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luisl\Documents\2023\IPSE\PROYECTOS%20156\ZONA%204\SOLAR\CASANARE\TAMARA\6.%20PPTO%20Consolidado%20TAMARA%20V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www.contratos.gov.co/INFORMES%20TRIMESTRAL/INFORME%20FINAL/DIC-05-FEB-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saenz\Documents%20and%20Settings\NUBIA\Escritorio\ZXPREPLIEGOS%20PUENTE%20ARMADA\PRESUP\ZPREPLIEGOS%20PUENTE%20ARMADA\OBRAS%20PUENTE%20ARMADA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www.contratos.gov.co/invmeta/INFORMES/infabr9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Mis%20documentos\Advial-Jul-01-jul-03\formatos\FORMATOS%20UTILES\APU.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Dise&#241;os%20Tipo\A01C-AULA%2040%20NI&#209;OS%20CLIMA%20CALIDO\A01C-AULA%201%20MOD_%20C\5.%20Presupuesto\A1F-(2_Aula_Alta(AB)_CF).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ecopetrol-my.sharepoint.com/Users/Carlo%20Cardenas/Documents/CARLOS%20C.%20LOCAL/1%20IPSE/2024%20IPSE/12.%20EVIDENCIAS%20DICIEMBRE/PROYECTOS%20OXI%202025/4.%20TEORAMA/presupuesto/Presupuesto%20Construcci&#243;n%20Puente%20Peatonal%20Manitas.xls?FA1D6273" TargetMode="External"/><Relationship Id="rId1" Type="http://schemas.openxmlformats.org/officeDocument/2006/relationships/externalLinkPath" Target="file:///\\FA1D6273\Presupuesto%20Construcci&#243;n%20Puente%20Peatonal%20Manita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planeacionnacional-my.sharepoint.com/AFE/La%20Jagua%202009%20Budge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Desktop\Gualmat&#225;n\PRESUPUESTO%20GUALMATAN%20V.2.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presupuesto%20idu\CANTIDADES%20OBRA\comunicaciones\PTTO%20COMUNICACIONES%2014-ABR-0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Familia%20Monsalvo%20D&#237;az\Equipo%20Anterior\Rossana\CONSULTORIA\2009\Insumos%20200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Cunetas%20en%20el%20barrio%20la%20Granja\DNP\LETRINA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Informacion\Downloads\Propuestas%201112\LP-004-2012-Barcazas\Documents%20and%20Settings\123\Mis%20documentos\MEMORIA\Memoria%201\Cerete-02\Pliegos\Mis%20documentos\Licitaciones\BOCCI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Langulomend\transfer%20lucho\Mis%20documentos\ANDES3\mayo%204-01\Mis%20documentos\AiuApoSaraBrut20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Lucho\transfer%20lucho\Mis%20documentos\ANDES3\mayo%204-01\Mis%20documentos\AiuApoSaraBrut20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arlo%20Cardenas\Documents\CARLOS%20C.%20LOCAL\1%20IPSE\2024%20IPSE\12.%20EVIDENCIAS%20DICIEMBRE\PROYECTOS%20OXI%202025\4.%20TEORAMA\presupuesto\Presupuesto%20Construcci&#243;n%20Puente%20Peatonal%20Manit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Langulomend\transfer%20lucho\Mis%20documentos\AiuApoSaraBrut200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Lucho\transfer%20lucho\Mis%20documentos\AiuApoSaraBrut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WINDOWS\TEMP\TD_0025.DIR\NOV-%20DIC-2002\INF%20NOV-DIC_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cjparrao1\Desktop\Presupuesto\IDU%20-%20copia\Componentes%20enTrabajo\Presupuesto%20Por%20Tramo\Tramo%203\Presupuesto%20Tramo%203.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INGENIERA%20CIVIL\OBRAS\META\CN569-2010%20ACAPULCO1\AVANCE%20DE%20OBRA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a%20%20aaInformaci&#243;n%20GRUPO%204\A%20MInformes%20Mensuales\Informe%20de%20estado%20vial%20ene\aCCIDENTES%20DE%201995%20-%20199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stacion3\d\Mis%20documentos\CASA%20DE%20LA%20MUJER%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luisl\Documents\2023\IPSE\PROYECTOS%20OXI\PUERTO%20ASIS\Presupuesto%20SSFVI%20-%20P8%20-%20Puerto%20As&#237;s.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luisl\Documents\2023\IPSE\PROYECTOS%20157\SAN%20MIGUEL\Presupuesto%20SSFVI%20-%20P10%20-%20San%20Miguel%20(version%201).xlsb.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copetrol-my.sharepoint.com/Mis%20documentos/MPS%202005/Licitaciones/Presentadas/Bucarasica/Propuesta/Ppto-Bucarasica%20Mayo%203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ecopetrol-my.sharepoint.com/Users/luisl/Documents/2023/IPSE/PROYECTOS%20OXI/PUERTO%20ASIS/Presupuesto%20SSFVI%20-%20P8%20-%20Puerto%20As&#237;s.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unaledu-my.sharepoint.com/HP/Documentos/MSOFFICE/Excel/SIACE/EXCEL/PPTO98/JAGUA/JAGUA19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280C58CC\a%20%20aaInformaci&#243;n%20GRUPO"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USER\Downloads\AIU%20OBRA%20-%20%20CUADRO%202025%20-%20INTERV.%20CONSULTORIA%20GRP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planeacionnacional-my.sharepoint.com/Users/lfuentes/AppData/Local/Temp/Rar$DI00.215/Calenturitas%202009%20budget-Meeting%2011-28-08.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ZCSERVER1\TECNICO\PLANMIN\PLANES\PLANSEM\2000\TRIMES02\SEM23-00.XLS" TargetMode="External"/></Relationships>
</file>

<file path=xl/externalLinks/_rels/externalLink77.xml.rels><?xml version="1.0" encoding="UTF-8" standalone="yes"?>
<Relationships xmlns="http://schemas.openxmlformats.org/package/2006/relationships"><Relationship Id="rId2" Type="http://schemas.microsoft.com/office/2019/04/relationships/externalLinkLongPath" Target="https://planeacionnacional-my.sharepoint.com/Documents%20and%20Settings/jcampo/Local%20Settings/Temporary%20Internet%20Files/Content.Outlook/VPM0S3T2/Calenturitas/recvd/2007-10-30%20Recvd%20from%20CIP%20as%20the%20latest%20version/2153_Cal_Model%202_ecmod_11_ver21%2023-July-07.xls?F9A66DA0" TargetMode="External"/><Relationship Id="rId1" Type="http://schemas.openxmlformats.org/officeDocument/2006/relationships/externalLinkPath" Target="file:///\\F9A66DA0\2153_Cal_Model%202_ecmod_11_ver21%2023-July-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PLANMIN\PLANES\PLANSEM\2001\Trimes02\Sem17-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ZCSERVER1\TECNICO\PLANMIN\PLANES\PLANSEM\2000\TRIMES02\SEM25-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PS%202005\Licitaciones\Presentadas\Bucarasica\Propuesta\Ppto-Bucarasica%20Mayo%203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planeacionnacional-my.sharepoint.com/AFE/Documents%20and%20Settings/PTilston/Local%20Settings/Temporary%20Internet%20Files/OLK335/ARC_MINE%20PLANNING/BUDGET%202006/BUDGET%20OCT02/Base%20Datos%20C_Andes%20Bug06%20OCT03%20(version%20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Carlo%20Cardenas\Documents\CARLOS%20C.%20LOCAL\1%20IPSE\2024%20IPSE\12.%20EVIDENCIAS%20DICIEMBRE\PROYECTOS%20OXI%202025\4.%20TEORAMA\presupuesto\PRESUPUESTO%20OBR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Carlo%20Cardenas\Documents\CARLOS%20C.%20LOCAL\1%20IPSE\2024%20IPSE\12.%20EVIDENCIAS%20DICIEMBRE\PROYECTOS%20OXI%202025\4.%20TEORAMA\presupuesto\PRESUPUESTO%20FINA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ecopetrol-my.sharepoint.com/Users/Carlo%20Cardenas/Documents/CARLOS%20C.%20LOCAL/1%20IPSE/2024%20IPSE/12.%20EVIDENCIAS%20DICIEMBRE/PROYECTOS%20OXI%202025/4.%20TEORAMA/presupuesto/PRESUPUESTO%20OBR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ecopetrol-my.sharepoint.com/Users/AlvaroMolina/Downloads/PROYECTO%20DEL%20DPS/PROYECTO%20DPS%20BARRANCAS/CANCHA%20MULTIFUNCIONAL%20750%20,%20INTERMEDIA/MGA/Cantidades_750%20_Intermedia_Suelo%20AB%20(1).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AlvaroMolina\Downloads\PROYECTO%20DEL%20DPS\PROYECTO%20DPS%20BARRANCAS\CANCHA%20MULTIFUNCIONAL%20750%20,%20INTERMEDIA\MGA\Cantidades_750%20_Intermedia_Suelo%20AB%20(1).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japarra\usr\excel\COTIZACIONES\MIAMI\ELECONWIRE\CATALOGO\BAJA%20TENSION\B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planeacionnacional-my.sharepoint.com/AFE/Documents%20and%20Settings/Alfonso%20Lopez/Mis%20documentos/LA%20JAGUA/TEMPO/Alfonso/BUGJET_2005%20LJ%20REV%20ABRI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planeacionnacional-my.sharepoint.com/AFE/Documents%20and%20Settings/gespitia/Configuraci&#243;n%20local/Archivos%20temporales%20de%20Internet/OLK1E/PSM%20AFE%20Cost%20Control%2007-31-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www.contratos.gov.co/Mis%20documentos/contratos-en-ejecuci&#243;n/contratos-inv&#237;as-2002/consulv&#237;as-advial/Mis%20documentos/Advial-Jul-01-jul-03/formatos/FORMATOS%20UTILES/APU.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planeacionnacional-my.sharepoint.com/AFE/Documents%20and%20Settings/Administrator/Desktop/2180_CAl%20&amp;%20CDJ%20Equipment/XL/EcMod/Option%2040_EX3600_789_LaJag/2153_Model%20100_LJ%20LOM_Ecmod_ver0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planeacionnacional-my.sharepoint.com/AFE/DOCUME~1/jcampo/LOCALS~1/Temp/Temporary%20Directory%201%20for%202153_Cal_Model%202_ecmod_11_ver20%2023-July-07.zip/2153_Cal_Model%202_ecmod_11_ver20%2023-July-0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planeacionnacional-my.sharepoint.com/AFE/Documents%20and%20Settings/rschmidt.CDJPRO/Local%20Settings/Temporary%20Internet%20Files/OLK1B4/CDJ%20Prodeco%20rail%20access%20Feb06%20ver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ecopetrol-my.sharepoint.com/Users/79604108/Desktop/HALLAZGOS%20INMUEBLES/14000163/copia%20balance%20de%20obra%20con%20formato%20gbien%2014000163%20(3).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s\79604108\Desktop\HALLAZGOS%20INMUEBLES\14000163\copia%20balance%20de%20obra%20con%20formato%20gbien%2014000163%20(3).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USER\Downloads\file:\E:\LANDRADE\OFICINA\Contrato%20GO2010056\informacion%202008\COSTEO%20DE%20A.I.U.%20Y%20FACTOR%20MULTIPLICADOR%20PARA%20PROYECTAR%20A&#209;O%20200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Z:\LANDRADE\OFICINA\Contrato%20GO2010056\informacion%202008\COSTEO%20DE%20A.I.U.%20Y%20FACTOR%20MULTIPLICADOR%20PARA%20PROYECTAR%20A&#209;O%20200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Informacion\Downloads\Documents%20and%20Settings\123\Mis%20documentos\MEMORIA\Cerete\Documents%20and%20Settings\123\Escritorio\ING.%20ELIONETH%20VARGAS\gradas%20san%20bernar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BASE DE DATOS"/>
      <sheetName val="DEMANDA"/>
      <sheetName val="TARIFAS"/>
      <sheetName val="CAPACIDADPAGO"/>
      <sheetName val="FACTURACIÓN"/>
      <sheetName val="FINAN.C.D CONEXIÓN"/>
      <sheetName val="SUBSIDIOS"/>
      <sheetName val="GASTOS FINANCIEROS"/>
      <sheetName val="FLUJO DE CAJA"/>
      <sheetName val="DEMANDABASE"/>
      <sheetName val="DEM.ALCANTARILLADO"/>
      <sheetName val="ALCANTARILLADO RAS"/>
      <sheetName val="ALCANTARILLADO AENE"/>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 Summary Page"/>
      <sheetName val="Log"/>
      <sheetName val="Drivers"/>
      <sheetName val="Inputs_28kt"/>
      <sheetName val="Inputs_28upID"/>
      <sheetName val="Inputs_32t"/>
      <sheetName val="Inputs_37kt"/>
      <sheetName val="Inputs-SUMMARY"/>
      <sheetName val="Toggles"/>
      <sheetName val="Workings"/>
      <sheetName val="Output"/>
      <sheetName val="DBOutput"/>
      <sheetName val="Core"/>
      <sheetName val="Core_real"/>
      <sheetName val="Tax"/>
      <sheetName val="Royalties"/>
      <sheetName val="Finan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pto completo"/>
      <sheetName val="Ppto Et1"/>
      <sheetName val="Ppto Et2"/>
      <sheetName val="AIU"/>
      <sheetName val="apu"/>
      <sheetName val="Auxiliares"/>
      <sheetName val="Insumos"/>
      <sheetName val="CO Teatro"/>
      <sheetName val="Ref Teatro"/>
      <sheetName val="CO MUROS NIVEL 1"/>
      <sheetName val="CO MUROS NIVEL 2"/>
      <sheetName val="CO MUROS CUARTO PROYECCION"/>
      <sheetName val="ELE-PPTO"/>
      <sheetName val="ELE-APU"/>
      <sheetName val="HID-PPTO"/>
      <sheetName val="HID-AP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dice"/>
      <sheetName val="PR-01"/>
      <sheetName val="PR-02"/>
      <sheetName val="PR-03"/>
      <sheetName val="PR-04"/>
      <sheetName val="Control"/>
      <sheetName val="Indicadores de Ciencia"/>
      <sheetName val="Indicadores de Empleo"/>
      <sheetName val="Indicadores de Eficiencia"/>
      <sheetName val="Unidades"/>
      <sheetName val="Indicadores de Producto"/>
      <sheetName val="Indicadores de Impacto"/>
      <sheetName val="Indicadores Gestión"/>
      <sheetName val="List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
      <sheetName val="B"/>
      <sheetName val="B DOT"/>
      <sheetName val="HJB"/>
      <sheetName val="HJB DOT"/>
      <sheetName val="GBP ST"/>
      <sheetName val="GBPR ST1"/>
      <sheetName val="GBP DOT"/>
      <sheetName val="FPS"/>
      <sheetName val="FPS 1"/>
      <sheetName val="FPS DOT"/>
      <sheetName val="PAR"/>
      <sheetName val="PAR DOT"/>
      <sheetName val="SB"/>
      <sheetName val="SB DOT"/>
      <sheetName val="IM"/>
      <sheetName val="IM DOT"/>
      <sheetName val="KN"/>
      <sheetName val="KN DOT"/>
      <sheetName val="Equipo"/>
      <sheetName val="Materiales SOLO IMPRE"/>
      <sheetName val="Materiales"/>
      <sheetName val="Básicos"/>
      <sheetName val="cuadrillas"/>
      <sheetName val="1,02DOT FPS "/>
      <sheetName val="1,01DOT FPS"/>
      <sheetName val="1,01DOT B"/>
      <sheetName val="1,02DOT B"/>
      <sheetName val="1,03DOT B"/>
      <sheetName val="1DOT"/>
      <sheetName val="2DOT"/>
      <sheetName val="3DOT"/>
      <sheetName val="4DOT"/>
      <sheetName val="5DOT"/>
      <sheetName val="6DOT "/>
      <sheetName val="7DOT"/>
      <sheetName val="8DOT"/>
      <sheetName val="9DOT "/>
      <sheetName val="10DOT"/>
      <sheetName val="11DOT "/>
      <sheetName val="1.1IM"/>
      <sheetName val="1.2IM"/>
      <sheetName val="1.3IM"/>
      <sheetName val="3,5IM"/>
      <sheetName val="3,6IM"/>
      <sheetName val="8,1IM"/>
      <sheetName val="8,2IM"/>
      <sheetName val="10,3IM"/>
      <sheetName val="10,4IM"/>
      <sheetName val="11,1IM"/>
      <sheetName val="11,2IM"/>
      <sheetName val="11,3IM"/>
      <sheetName val="16,1IM"/>
      <sheetName val="16,2IM"/>
      <sheetName val="16,3IM"/>
      <sheetName val="4,2KN"/>
      <sheetName val="4,3KN "/>
      <sheetName val="1.1SB"/>
      <sheetName val="1.2SB"/>
      <sheetName val="1.14SB"/>
      <sheetName val="1.15SB "/>
      <sheetName val="1.16SB "/>
      <sheetName val="1.17SB"/>
      <sheetName val="7,4SB"/>
      <sheetName val="8,3SB"/>
      <sheetName val="8,4SB "/>
      <sheetName val="8,5SB"/>
      <sheetName val="10,1SB"/>
      <sheetName val="10,2SB"/>
      <sheetName val="10,4SB"/>
      <sheetName val="10,5SB"/>
      <sheetName val="10,8SB"/>
      <sheetName val="10,9SB"/>
      <sheetName val="13,3SB"/>
      <sheetName val="14,2SB"/>
      <sheetName val="16,1SB"/>
      <sheetName val="1.1PAR"/>
      <sheetName val="1.2PAR "/>
      <sheetName val="1,3PAR"/>
      <sheetName val="1.4PAR"/>
      <sheetName val="1.5PAR "/>
      <sheetName val="1.6PAR "/>
      <sheetName val="1.7PAR"/>
      <sheetName val="1.8PAR "/>
      <sheetName val="1.9PAR"/>
      <sheetName val="1.10PAR"/>
      <sheetName val="1,11PAR "/>
      <sheetName val="1,12PAR "/>
      <sheetName val="1.13PAR"/>
      <sheetName val="1.14PAR "/>
      <sheetName val="1.15PAR"/>
      <sheetName val="0 PAR"/>
      <sheetName val="00PAR"/>
      <sheetName val="2.1PAR"/>
      <sheetName val="2.2PAR "/>
      <sheetName val="2.3PAR "/>
      <sheetName val="2.4PAR"/>
      <sheetName val="2.5PAR"/>
      <sheetName val="2.6PAR"/>
      <sheetName val="3.1PAR"/>
      <sheetName val="3,2PAR"/>
      <sheetName val="3,3PAR"/>
      <sheetName val="3,4PAR"/>
      <sheetName val="3,5PAR "/>
      <sheetName val="3,6PAR"/>
      <sheetName val="3,7PAR"/>
      <sheetName val="3,8PAR "/>
      <sheetName val="3,9PAR  "/>
      <sheetName val="3,10PAR "/>
      <sheetName val="3,11PAR"/>
      <sheetName val="3,12PAR"/>
      <sheetName val="3,13PAR"/>
      <sheetName val="3,14PAR"/>
      <sheetName val="4,1PAR"/>
      <sheetName val="4,2PAR"/>
      <sheetName val="4,3PAR"/>
      <sheetName val="4,4PAR"/>
      <sheetName val="4,5PAR"/>
      <sheetName val="4,6PAR"/>
      <sheetName val="4,7PAR"/>
      <sheetName val="4,8PAR "/>
      <sheetName val="4,9PAR"/>
      <sheetName val="5,1PAR"/>
      <sheetName val="5,2PAR"/>
      <sheetName val="5,3PAR"/>
      <sheetName val="5,4PAR"/>
      <sheetName val="5,5PAR"/>
      <sheetName val="5,6PAR"/>
      <sheetName val="5,7PAR"/>
      <sheetName val="5,8PAR"/>
      <sheetName val="5,9PAR"/>
      <sheetName val="5,10PAR"/>
      <sheetName val="5,11PAR"/>
      <sheetName val="5.1BPAR"/>
      <sheetName val="5.2BPAR "/>
      <sheetName val="5.3BPAR"/>
      <sheetName val="5,4BPAR"/>
      <sheetName val="5,5BPAR"/>
      <sheetName val="5,6BPAR"/>
      <sheetName val="5,7BPAR"/>
      <sheetName val="5,8BPAR "/>
      <sheetName val="5,9BPAR"/>
      <sheetName val="5,10BPAR"/>
      <sheetName val="5,11BPAR "/>
      <sheetName val="6,1PAR"/>
      <sheetName val="6,2PAR"/>
      <sheetName val="6,3PAR"/>
      <sheetName val="6,4PAR"/>
      <sheetName val="6,5PAR"/>
      <sheetName val="6,6PAR"/>
      <sheetName val="6,7PAR"/>
      <sheetName val="6,8PAR"/>
      <sheetName val="6,9PAR"/>
      <sheetName val="6,10PAR"/>
      <sheetName val="6,11PAR "/>
      <sheetName val="7,1PAR"/>
      <sheetName val="7,2PAR"/>
      <sheetName val="7,3PAR "/>
      <sheetName val="7,4PAR"/>
      <sheetName val="7,5PAR"/>
      <sheetName val="7,6PAR"/>
      <sheetName val="7,7PAR "/>
      <sheetName val="7,8PAR"/>
      <sheetName val="7,9PAR"/>
      <sheetName val="7,10PAR"/>
      <sheetName val="7,11PAR "/>
      <sheetName val="8,1PAR"/>
      <sheetName val="8,2PAR"/>
      <sheetName val="8,3PAR"/>
      <sheetName val="8,4PAR"/>
      <sheetName val="8,5PAR"/>
      <sheetName val="9,1PAR "/>
      <sheetName val="10,1PAR"/>
      <sheetName val="10,2PAR "/>
      <sheetName val="10,3PAR"/>
      <sheetName val="10,4PAR"/>
      <sheetName val="10,5PAR"/>
      <sheetName val="10,6PAR"/>
      <sheetName val="10,7PAR"/>
      <sheetName val="10,8PAR"/>
      <sheetName val="10,9PAR"/>
      <sheetName val="10,11PAR"/>
      <sheetName val="11,1PAR"/>
      <sheetName val="11,2PAR"/>
      <sheetName val="11,3PAR"/>
      <sheetName val="11,4PAR"/>
      <sheetName val="11,5PAR"/>
      <sheetName val="11,6PAR"/>
      <sheetName val="11,7PAR"/>
      <sheetName val="11,8PAR "/>
      <sheetName val="12,1PAR"/>
      <sheetName val="12,2PAR"/>
      <sheetName val="12,3PAR"/>
      <sheetName val="12,4PAR"/>
      <sheetName val="12,5PAR"/>
      <sheetName val="12,6PAR "/>
      <sheetName val="12,7PAR"/>
      <sheetName val="13,1PAR"/>
      <sheetName val="13,2PAR"/>
      <sheetName val="13,3PAR "/>
      <sheetName val="13,4PAR "/>
      <sheetName val="13,5PAR"/>
      <sheetName val="13,6PAR"/>
      <sheetName val="13,7PAR"/>
      <sheetName val="14,1PAR"/>
      <sheetName val="14,3PAR"/>
      <sheetName val="15PAR"/>
      <sheetName val="16PAR"/>
      <sheetName val="1.1.1"/>
      <sheetName val="1.1.2"/>
      <sheetName val="1.1.3"/>
      <sheetName val="1.1.4"/>
      <sheetName val="1.1.5"/>
      <sheetName val="1.1.6"/>
      <sheetName val="1.1.7"/>
      <sheetName val="1.1.8"/>
      <sheetName val="1.2.1"/>
      <sheetName val="1.2.2"/>
      <sheetName val="2.1.1"/>
      <sheetName val="2.1.2"/>
      <sheetName val="2.1.1A"/>
      <sheetName val="2.1.2 A"/>
      <sheetName val="3,1"/>
      <sheetName val="3,2"/>
      <sheetName val="3,3"/>
      <sheetName val="3,4"/>
      <sheetName val="3,5"/>
      <sheetName val="3,6"/>
      <sheetName val="3,7"/>
      <sheetName val="4,1"/>
      <sheetName val="4,2"/>
      <sheetName val="5,1"/>
      <sheetName val="5,2"/>
      <sheetName val="5,3"/>
      <sheetName val="5,4"/>
      <sheetName val="5,6"/>
      <sheetName val="5,7"/>
      <sheetName val="5,8"/>
      <sheetName val="5,9"/>
      <sheetName val="5,1A"/>
      <sheetName val="6,1"/>
      <sheetName val="6,2"/>
      <sheetName val="6,3"/>
      <sheetName val="6,4"/>
      <sheetName val="6,5"/>
      <sheetName val="6,6"/>
      <sheetName val="7,1"/>
      <sheetName val="8,1"/>
      <sheetName val="8,2"/>
      <sheetName val="8,3"/>
      <sheetName val="8,4"/>
      <sheetName val="8,5"/>
      <sheetName val="8,6"/>
      <sheetName val="9,1"/>
      <sheetName val="9,2"/>
      <sheetName val="9,3"/>
      <sheetName val="9,4"/>
      <sheetName val="9,5"/>
      <sheetName val="9,6"/>
      <sheetName val="10,1,1"/>
      <sheetName val="10,1,2"/>
      <sheetName val="10,2,1"/>
      <sheetName val="10,2,2"/>
      <sheetName val="11,1"/>
      <sheetName val="11,2"/>
      <sheetName val="11,3"/>
      <sheetName val="11,4"/>
      <sheetName val="11,5"/>
      <sheetName val="11,6"/>
      <sheetName val="11,7"/>
      <sheetName val="11,8"/>
      <sheetName val="11,9"/>
      <sheetName val="11,10"/>
      <sheetName val="11,12"/>
      <sheetName val="11,13"/>
      <sheetName val="11,14"/>
      <sheetName val="11,15"/>
      <sheetName val="12.1"/>
      <sheetName val="13,1"/>
      <sheetName val="13,2"/>
      <sheetName val="13,3"/>
      <sheetName val="13,4"/>
      <sheetName val="13,5"/>
      <sheetName val="13,6"/>
      <sheetName val="13,7"/>
      <sheetName val="13,8"/>
      <sheetName val="13,9"/>
      <sheetName val="14,1"/>
      <sheetName val="14,2"/>
      <sheetName val="14,3"/>
      <sheetName val="14,4"/>
      <sheetName val="15,1"/>
      <sheetName val="3,4ST"/>
      <sheetName val="3,5 ST"/>
      <sheetName val="3,6ST1"/>
      <sheetName val="9,2 ST"/>
      <sheetName val="9,3 ST"/>
      <sheetName val="14,1 ST"/>
      <sheetName val="14,2 ST"/>
      <sheetName val="9,5ST1"/>
      <sheetName val="1.1.1  FPS"/>
      <sheetName val="1.1,2 FPS"/>
      <sheetName val="1.5FPS "/>
      <sheetName val="1.3 FPS1"/>
      <sheetName val="1.4 FPS1"/>
      <sheetName val="1.5 FPS1 "/>
      <sheetName val="1.6 FPS1"/>
      <sheetName val="2,1 FPS1"/>
      <sheetName val="3,2FPS1 "/>
      <sheetName val="5,1 FPS1"/>
      <sheetName val="3,1 FPS1 "/>
      <sheetName val="8,1 FPS1"/>
      <sheetName val="8,2 FPS1 "/>
      <sheetName val="9,1 FPS1"/>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9.4"/>
      <sheetName val="AIU"/>
      <sheetName val="PRESUPUESTO"/>
      <sheetName val="ANÁL MERCADO"/>
      <sheetName val="Equipos"/>
      <sheetName val="Transporte"/>
      <sheetName val="APU"/>
      <sheetName val="ANALISIS MERCA"/>
      <sheetName val="1,1"/>
      <sheetName val="2,01"/>
      <sheetName val="2,02"/>
      <sheetName val="2,03"/>
      <sheetName val="2,04"/>
      <sheetName val="2,05"/>
      <sheetName val="2,06"/>
      <sheetName val="2,07"/>
      <sheetName val="2,08"/>
      <sheetName val="2,09"/>
      <sheetName val="2,10"/>
      <sheetName val="2,11"/>
      <sheetName val="3,1,01"/>
      <sheetName val="3,1,02"/>
      <sheetName val="3,1,03"/>
      <sheetName val="3,1,04"/>
      <sheetName val="3,1,05"/>
      <sheetName val="3,1,06"/>
      <sheetName val="4,1,01"/>
      <sheetName val="4,1,02"/>
      <sheetName val="4,1,03"/>
      <sheetName val="4,1,04"/>
      <sheetName val="4,1,05"/>
      <sheetName val="4,1,06"/>
      <sheetName val="4,1,07"/>
      <sheetName val="4,2,01"/>
      <sheetName val="4,2,02"/>
      <sheetName val="4,2,03"/>
      <sheetName val="4,2,04"/>
      <sheetName val="4,2,05"/>
      <sheetName val="5,1,01"/>
      <sheetName val="5,1,02"/>
      <sheetName val="5,1,03"/>
      <sheetName val="5,1,04"/>
      <sheetName val="5,1,05"/>
      <sheetName val="5,1,06"/>
      <sheetName val="5,1,07"/>
      <sheetName val="5,2,01"/>
      <sheetName val="5,2,02"/>
      <sheetName val="5,2,03"/>
      <sheetName val="5,2,04"/>
      <sheetName val="5,2,05"/>
      <sheetName val="5,2,06"/>
      <sheetName val="6,1,01"/>
      <sheetName val="6,1,02"/>
      <sheetName val="6,1,03"/>
      <sheetName val="6,1,04"/>
      <sheetName val="6,1,05"/>
      <sheetName val="6,1,06"/>
      <sheetName val="6,2,01"/>
      <sheetName val="6,2,02"/>
      <sheetName val="6,2,03"/>
      <sheetName val="7,1,1,01"/>
      <sheetName val="7,1,1,02"/>
      <sheetName val="7,1,1,03"/>
      <sheetName val="7,1,1,04"/>
      <sheetName val="7,1,1,05"/>
      <sheetName val="7,1,2,01"/>
      <sheetName val="7,1,2,02"/>
      <sheetName val="7,1,2,03"/>
      <sheetName val="7,1,2,04"/>
      <sheetName val="7,1,2,05"/>
      <sheetName val="7,1,2,06"/>
      <sheetName val="7,1,2,07"/>
      <sheetName val="7,1,2,08"/>
      <sheetName val="7,1,2,09"/>
      <sheetName val="7,1,2,10"/>
      <sheetName val="7,1,3,01"/>
      <sheetName val="7,2,1,01"/>
      <sheetName val="7,2,1,02"/>
      <sheetName val="7,2,1,03"/>
      <sheetName val="7,2,1,04"/>
      <sheetName val="7,2,2,01"/>
      <sheetName val="7,2,2,02"/>
      <sheetName val="8,1,01"/>
      <sheetName val="8,1,02"/>
      <sheetName val="A. P. U."/>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 actividades Zona 1 "/>
      <sheetName val="Cuadro Comparativo "/>
      <sheetName val="Presupuesto"/>
      <sheetName val="A.P.U"/>
      <sheetName val="Insumos"/>
      <sheetName val="Cuadrilla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s>
    <sheetDataSet>
      <sheetData sheetId="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s>
    <sheetDataSet>
      <sheetData sheetId="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ty Returns"/>
      <sheetName val="Balance Sheet"/>
      <sheetName val="Dividends"/>
      <sheetName val="Equipment Assumptions"/>
      <sheetName val="Budget Assumptions"/>
      <sheetName val="Material Assumptions"/>
      <sheetName val="Cash Costs"/>
      <sheetName val="Loading Type RH200W - hours"/>
      <sheetName val="Loading Type EX3600 - hours"/>
      <sheetName val="Loading Type RH120W - hours"/>
      <sheetName val="Loading Type OtherW - hours"/>
      <sheetName val="Loading Type RH40C - hours"/>
      <sheetName val="Loading Type 992C - hours"/>
      <sheetName val="Drill&amp;Blast"/>
      <sheetName val="Mine Hours"/>
      <sheetName val="MARC Rates"/>
      <sheetName val="MineSupportCostsandContractors"/>
      <sheetName val="MineEquipmentCosts"/>
      <sheetName val="EquipDeprnReplmt~"/>
      <sheetName val="Opex~"/>
      <sheetName val="Operations CAL"/>
      <sheetName val="Maintenance CAL"/>
      <sheetName val="Dates &amp; Flags"/>
      <sheetName val="Cuentas"/>
      <sheetName val="CtaGeneral-A"/>
      <sheetName val="Hoja3"/>
      <sheetName val="Hoja2"/>
      <sheetName val="Hoja1"/>
      <sheetName val="Fixed Asset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ASSUMPTIONS"/>
      <sheetName val="Input EcModel"/>
      <sheetName val="New Template"/>
      <sheetName val="INPUT_TEMP"/>
      <sheetName val="W_REV"/>
      <sheetName val="NOM_IS&amp;BS_PESO"/>
      <sheetName val="W_OPEX"/>
      <sheetName val="W_CAPEX"/>
      <sheetName val="W_FUND"/>
      <sheetName val="W_EQUITY"/>
      <sheetName val="W_TAX_DEP"/>
      <sheetName val="W_TAX"/>
      <sheetName val="NOMINAL_CF_PESO"/>
      <sheetName val="NOM_IS&amp;BS_US$"/>
      <sheetName val="NOM_CF_US$"/>
      <sheetName val="REAL_CF_US$"/>
      <sheetName val="SUMMARY"/>
      <sheetName val="PresentationJan02"/>
      <sheetName val="Chart - Real cashflow"/>
      <sheetName val="Chart_Direct_per_BCM"/>
      <sheetName val="Chart_Indiect_BCM"/>
      <sheetName val="Chart_Cost_per_ton"/>
      <sheetName val="Manpower"/>
      <sheetName val="Chart_Staff_prod"/>
      <sheetName val="Funding Sens"/>
      <sheetName val="NAME_R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BS.DATOS"/>
      <sheetName val="DEMANDA"/>
      <sheetName val="ALCANTARILLADO RAS"/>
      <sheetName val="ALCANTARILLADO AENE"/>
      <sheetName val="Recursos Ley 60"/>
      <sheetName val="Subsidio por bienes aportados"/>
      <sheetName val="TARIFAS"/>
      <sheetName val="SUBS_CONTRIB"/>
      <sheetName val="CMI"/>
      <sheetName val="TRANSICIONTARIFA"/>
      <sheetName val="FINAN.C.D CONEXIÓN"/>
      <sheetName val="FACTURACIÓN ESP"/>
      <sheetName val="F.CAJA ESP"/>
      <sheetName val="GTOS.ADMON"/>
      <sheetName val="RESUMEN"/>
      <sheetName val="FyU"/>
      <sheetName val="NEGOCIACIÓN"/>
      <sheetName val="INFORME"/>
      <sheetName val="power"/>
      <sheetName val="OUTPUTS"/>
      <sheetName val="R.EJECUTIVO"/>
      <sheetName val="F. CAJA COSTOS"/>
      <sheetName val="RESUMEN POI "/>
      <sheetName val="CALCULO POI"/>
      <sheetName val="CALCULO COSTOS DE OPERACIÓN"/>
      <sheetName val="INFORMACIÓN REFERENCIA"/>
      <sheetName val="BD COSTOS UNIDAD CONSTRUCTIVA"/>
      <sheetName val="REFERENCIAS"/>
      <sheetName val="DEMANDABASEAND"/>
      <sheetName val="Tablas Documento Financiero"/>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sheetData sheetId="3"/>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sheetName val="PRESUP"/>
      <sheetName val="Informe"/>
      <sheetName val="Cantidades"/>
    </sheetNames>
    <sheetDataSet>
      <sheetData sheetId="0"/>
      <sheetData sheetId="1"/>
      <sheetData sheetId="2"/>
      <sheetData sheetId="3"/>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MPIEZA"/>
      <sheetName val="DESCAPOTE"/>
      <sheetName val="CAMPAMENT"/>
      <sheetName val="CERRZINC"/>
      <sheetName val="Trazado y loc."/>
      <sheetName val="Excavación común"/>
      <sheetName val="Excavación Humeda"/>
      <sheetName val="Relleno mat. Sitio"/>
      <sheetName val="Relleno mat. selecc."/>
      <sheetName val="Base Suelo Cemento 1;20"/>
      <sheetName val="SOLADO"/>
      <sheetName val="RELL. PIEDRA CICLOPEA"/>
      <sheetName val="ENROCADO"/>
      <sheetName val="CICLOPEO"/>
      <sheetName val="CICLOPEO (2)"/>
      <sheetName val="Concreto  2500 psi "/>
      <sheetName val="Concreto zapata 3000 psi"/>
      <sheetName val="Concreto zapata 3500 psi "/>
      <sheetName val="Concreto zapata 4000 psi "/>
      <sheetName val="ZAPATA 1.2x1.2x0.3"/>
      <sheetName val="ZAPATA 80x80x0.3 "/>
      <sheetName val="ZAPATA 60x60x0.3 "/>
      <sheetName val="ZAPATA 40x40x0.4"/>
      <sheetName val="Viga  Cim  "/>
      <sheetName val="RETIROMAT"/>
      <sheetName val="RETIROMAT (2)"/>
      <sheetName val="Concreto columna  3000psi"/>
      <sheetName val="Concreto columna  4000psi "/>
      <sheetName val="Concreto vigas sup -  nervios"/>
      <sheetName val="Placa mesón  e=0.10m "/>
      <sheetName val="Placa de  cubierta e=0.10m"/>
      <sheetName val="Placa de  cubierta e=0,15m "/>
      <sheetName val="Placa de  cubierta e=0,20m"/>
      <sheetName val="Placa de  cubierta 4000"/>
      <sheetName val="Placa de  cubierta 3000 "/>
      <sheetName val="Concreto Escalera 3000 "/>
      <sheetName val="Concreto  Muro  3000 "/>
      <sheetName val="Concreto  Muro  3500 "/>
      <sheetName val="Acero de refuerzo"/>
      <sheetName val="Canaleta  90"/>
      <sheetName val="CUBIERTA  ASB.  CEMENTO"/>
      <sheetName val="CABALLETE   A.C."/>
      <sheetName val="TECHPALM"/>
      <sheetName val="Levante block No 4 "/>
      <sheetName val="Elem.  Prefab. 1.8"/>
      <sheetName val="Elem.  Prefab. 0.8 "/>
      <sheetName val="Calados  25x25"/>
      <sheetName val="Calados  25x25 "/>
      <sheetName val="Alfajia"/>
      <sheetName val="Dintel"/>
      <sheetName val="Graniplast"/>
      <sheetName val="Estuco"/>
      <sheetName val="Pañete 1a4  e=0.02"/>
      <sheetName val="Pañete 1a4  e=0.02 imp"/>
      <sheetName val="Juntas  Ext"/>
      <sheetName val="REDOBLON "/>
      <sheetName val="Imper. Vigacanal"/>
      <sheetName val="Imper. Losa"/>
      <sheetName val="CIELO RASO"/>
      <sheetName val="Levante No 6"/>
      <sheetName val="Levante No 6 relleno"/>
      <sheetName val="Levante No 6 relleno (2)"/>
      <sheetName val="Levante No 8 "/>
      <sheetName val="Levante No 8 relleno"/>
      <sheetName val="Vigas Entre pisos 30x40"/>
      <sheetName val="Placa Inferior e=0.10"/>
      <sheetName val="Placa Inferior e=0.10 sr"/>
      <sheetName val="Pintura acrílica"/>
      <sheetName val="Cornisa en concreto"/>
      <sheetName val=" AdoVh"/>
      <sheetName val=" AdoP"/>
      <sheetName val="Relleno  Arenoso"/>
      <sheetName val="Machón  15x20"/>
      <sheetName val="Columna  15x20"/>
      <sheetName val="Columna  20x20"/>
      <sheetName val="Columna  25x25 "/>
      <sheetName val="Columna  30x30 "/>
      <sheetName val="Columna  30x30  (2)"/>
      <sheetName val="Columna  35x35"/>
      <sheetName val="Sobrecimiento block No4"/>
      <sheetName val="Imper. Sobrecimiento"/>
      <sheetName val="Cim.Cicl30x30"/>
      <sheetName val="Cim.Cicl30x40 "/>
      <sheetName val="Cim.Cicl40x40"/>
      <sheetName val="Viga  Cim.  20x20"/>
      <sheetName val="Viga  Cim.  15x20 "/>
      <sheetName val="Viga cim. 20x30 "/>
      <sheetName val="Viga cim. 30x30"/>
      <sheetName val="Viga  Sup. 30x25"/>
      <sheetName val="Viga  Sup. 10x10"/>
      <sheetName val="Viga  Sup. 10x20"/>
      <sheetName val="Viga  Sup. 10x20 (2)"/>
      <sheetName val="Viga  Sup. 15x10"/>
      <sheetName val="Viga  Sup. 15x20"/>
      <sheetName val="Viga  Sup. 15x20 (2)"/>
      <sheetName val="Viga  Sup. 20x25 "/>
      <sheetName val="Viga  Sup. 15x25 (3)"/>
      <sheetName val="Viga  Sup. 15x25 (2)"/>
      <sheetName val="Viga  Sup. 15x25 (4)"/>
      <sheetName val="Viga  Sup. 15x25"/>
      <sheetName val="Viga  Sup. 20x20 "/>
      <sheetName val="Viga  Inf. 15x25 "/>
      <sheetName val="Viga  Inf. 20x25  "/>
      <sheetName val="BORDILLO"/>
      <sheetName val="Plantilla  e = 0.075m "/>
      <sheetName val="Anden e=0.070"/>
      <sheetName val="Plantilla  e = 0.07m"/>
      <sheetName val="Plantilla  e = 0.05m "/>
      <sheetName val="Plantilla  e = 0.05m imp."/>
      <sheetName val="Plantilla  Afinada  Coloreada"/>
      <sheetName val="Pta  Triplex 70x205"/>
      <sheetName val="Pta  Triplex 80x205"/>
      <sheetName val="Pta  Triplex 90x205 "/>
      <sheetName val="Sum. Instal. pta. ceiba"/>
      <sheetName val="Sum. Inst. Cta hierro "/>
      <sheetName val="Sum. Instal. pta. hierro"/>
      <sheetName val="Ventaneria de aluminio"/>
      <sheetName val="Zocalos"/>
      <sheetName val="Enchape  20.5x20.5"/>
      <sheetName val="Piso  Decorpiso"/>
      <sheetName val="Piso  Baldosa"/>
      <sheetName val="Piso Tablón-China"/>
      <sheetName val="Piso Tablón"/>
      <sheetName val="Pañete 1a4  e=0.025 (placa)"/>
      <sheetName val="Pintura  Promical"/>
      <sheetName val="Vinilo a dos manos"/>
      <sheetName val="Vinilo, placa sup."/>
      <sheetName val="Pintura Esmalte"/>
      <sheetName val="Pintura  Zocalo"/>
      <sheetName val="Piso ladrillo vitrificado"/>
      <sheetName val="Piso en granito lavado"/>
      <sheetName val="Banca en concreto y bloque"/>
      <sheetName val="MURO  JARDINERAS"/>
      <sheetName val="Arena blanca"/>
      <sheetName val="Lámpara DJK 250 W"/>
      <sheetName val="Fotocelda"/>
      <sheetName val="Juego Madera M-8"/>
      <sheetName val="Juego Madera M-10"/>
      <sheetName val="Juego Madera M-19"/>
      <sheetName val="Tobogán"/>
      <sheetName val="Tierra negra"/>
      <sheetName val="Laureles h=2.0"/>
      <sheetName val="Gramilla"/>
      <sheetName val="Punto  Aguas  LLuvias"/>
      <sheetName val="Tubería  ALCANT.  Ø 8&quot;  (2)"/>
      <sheetName val="Tubería  Sanitaria  Ø 8&quot; "/>
      <sheetName val="Tubería  Sanitaria  Ø 6&quot;"/>
      <sheetName val="Tubería  Sanitaria  Ø 4&quot;"/>
      <sheetName val="Tubería  Sanitaria  Ø 2&quot; "/>
      <sheetName val="Tubería  Ventilación  Ø 4&quot;"/>
      <sheetName val="Tubería  Ventilación  Ø 3&quot;"/>
      <sheetName val="Tubería  Hidraul  Ø 4&quot; "/>
      <sheetName val="Tubería  Hid. Ø1.5&quot;"/>
      <sheetName val="Tubería  Hid. 1.25&quot;"/>
      <sheetName val="Tubería   Hid.  0.75&quot;"/>
      <sheetName val="Tubería   Hid.  0.5&quot;"/>
      <sheetName val="Valvula  Comp. 0.75&quot;"/>
      <sheetName val="Valvula  Cheque  1.5 &quot; "/>
      <sheetName val="Valvula  Cheque  0.5&quot;  "/>
      <sheetName val="Medidor  0.5&quot;"/>
      <sheetName val="Tanque  1000 Lts"/>
      <sheetName val="Tanque  500 Lts "/>
      <sheetName val="Tanque  250 Lts  "/>
      <sheetName val="Conexión  a  Tanque"/>
      <sheetName val="Punto  Sanitario "/>
      <sheetName val="Punto Hidráulico"/>
      <sheetName val="Presupuesto"/>
      <sheetName val="AUI"/>
      <sheetName val="Cronograma"/>
      <sheetName val="Malla ciclón 2&quot;"/>
      <sheetName val="Malla ciclón 2&quot; (2)"/>
      <sheetName val="Malla ciclón 2&quot; (3)"/>
      <sheetName val="Cerram.  Tubo"/>
      <sheetName val="Tubo para malla"/>
      <sheetName val="Platina para malla"/>
      <sheetName val="Demolición Piso"/>
      <sheetName val="Demolición Redoblón"/>
      <sheetName val="Demolición muro  "/>
      <sheetName val="Demolición muro   (2)"/>
      <sheetName val="Desmonte  de Canaleta"/>
      <sheetName val="Desmonte  de Cubierta"/>
      <sheetName val="Reinstalación  de Cubierta "/>
      <sheetName val="Desmonte  de Ventanas"/>
      <sheetName val="Desmonte  de Puertas"/>
      <sheetName val="Desmonte  Lavamanos"/>
      <sheetName val="Desmonte  Sanitarios"/>
      <sheetName val="Demolición pisos"/>
      <sheetName val="Demolición Placa"/>
      <sheetName val="Picada  Enchape"/>
      <sheetName val="Desmonte  Malla Ciclón"/>
      <sheetName val="Desmonte  Cielo  Raso"/>
      <sheetName val="Demolición viga 0.15 x 0.35"/>
      <sheetName val="Salida  Para  Teléfono"/>
      <sheetName val="Acometida"/>
      <sheetName val="Salida Tomacorrientes  110V"/>
      <sheetName val="Salida  Luces  110V"/>
      <sheetName val="Tabero Monof. de  18 CTC"/>
      <sheetName val="Salida  Abanico  110V"/>
      <sheetName val="Sum. Inst . Sanitario"/>
      <sheetName val="Sum. Inst . Lavamanos"/>
      <sheetName val="Sum. Inst. Orinal"/>
      <sheetName val="Sum. Inst. LavP. S"/>
      <sheetName val="Sum. Inst. LavP D"/>
      <sheetName val="Registro Dom 60x60"/>
      <sheetName val="Registro  Dom. 60x60"/>
      <sheetName val="Registro  Sanit. 80x80 "/>
      <sheetName val="Tablero Mortero"/>
      <sheetName val="Duchas"/>
      <sheetName val="Rejilla"/>
      <sheetName val="Abanico"/>
      <sheetName val="Lamp. 2x48"/>
      <sheetName val="Lamp. red."/>
      <sheetName val="PRECIOS"/>
      <sheetName val="Cercha"/>
      <sheetName val="PRECIOS (2)"/>
      <sheetName val="Indicadores de Ciencia"/>
      <sheetName val="Indicadores de Empleo"/>
      <sheetName val="Indicadores Gestión"/>
      <sheetName val="Indicadores de Impacto"/>
      <sheetName val="PR-04"/>
      <sheetName val="Indicadores de Producto"/>
      <sheetName val="Sector"/>
      <sheetName val="Unida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 LL"/>
      <sheetName val="LJ PB"/>
      <sheetName val="resumen"/>
      <sheetName val="APU's"/>
      <sheetName val="cuadro de distancias"/>
      <sheetName val="PB LL (2)"/>
      <sheetName val="LJ PB (2)"/>
      <sheetName val="resumen (2)"/>
    </sheetNames>
    <sheetDataSet>
      <sheetData sheetId="0"/>
      <sheetData sheetId="1"/>
      <sheetData sheetId="2"/>
      <sheetData sheetId="3"/>
      <sheetData sheetId="4"/>
      <sheetData sheetId="5"/>
      <sheetData sheetId="6"/>
      <sheetData sheetId="7"/>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Básicos"/>
      <sheetName val="Precios"/>
      <sheetName val="PRESUPUESTO"/>
      <sheetName val="Costos Ind."/>
      <sheetName val="1.2 localiz. y rep."/>
      <sheetName val="1.1. Descapote"/>
      <sheetName val="2.1 excavacion"/>
      <sheetName val="1.4. Inst.prov.energ."/>
      <sheetName val="1.5 Inst. Prov. Agua"/>
      <sheetName val="2.2 mej suelo"/>
      <sheetName val="2.3 solado"/>
      <sheetName val="2.4 cimiento T y L"/>
      <sheetName val="2.7 Acero 60"/>
      <sheetName val="2.8 Acero 37"/>
      <sheetName val="2.5 Relleno Balasto"/>
      <sheetName val="2.6 Exc viga muros"/>
      <sheetName val="2.7 Viga cimientos muros"/>
      <sheetName val="3.1 Columnas 1 piso"/>
      <sheetName val="3.2 Viga 2 piso 0.3x0.3"/>
      <sheetName val="3.3 Viga 2 piso 0.2x0.3"/>
      <sheetName val="3.4 Viga 2 piso 0.15x0.3"/>
      <sheetName val="3.7 Acero 60"/>
      <sheetName val="3.8 Acero 37"/>
      <sheetName val="3.5 Instalación metal deck"/>
      <sheetName val="3.6 Placa 2 piso"/>
      <sheetName val="3.9 Col 2 piso"/>
      <sheetName val="3.10 Viga 3 piso 0.3x0.3"/>
      <sheetName val="3.11 Viga 3 piso 0.2x0.3"/>
      <sheetName val="3.12 Viga 3 piso 0.15x0.3"/>
      <sheetName val="3.13 Inst metal deck 3 piso "/>
      <sheetName val="3.14 Col 3 piso"/>
      <sheetName val="3.15 Viga cub 0.15x0.3"/>
      <sheetName val="3.16 Metal deck cub"/>
      <sheetName val="3.17 placa tanque"/>
      <sheetName val="3.18 Escalera"/>
      <sheetName val="3.19 Imper terraza"/>
      <sheetName val="4.1 Levante muro"/>
      <sheetName val="5.1 Cubierta canaleta 43"/>
      <sheetName val="5.2 Caballete"/>
      <sheetName val="6.1 Acometida PVC 1&quot;"/>
      <sheetName val="6.2 instalación electrobomba"/>
      <sheetName val="6.3 Tuberia 0.75 "/>
      <sheetName val="6.4 Tuberia 0.5"/>
      <sheetName val="6.5 Pto hidra 0.5"/>
      <sheetName val="6.6 Llave de paso 0.75"/>
      <sheetName val="6.7 Llave paso 0.5"/>
      <sheetName val="6.8 Contador"/>
      <sheetName val="6.9 Tanque subterraneo"/>
      <sheetName val="6.10 tanque sup"/>
      <sheetName val="7.1 Pto sanit 4&quot;"/>
      <sheetName val="7.2 Pto sanit 2&quot;"/>
      <sheetName val="7.3 Tuberia PVC 4&quot;"/>
      <sheetName val="7.4 Tuberia PVC 2&quot;"/>
      <sheetName val="7.5 Tuberia PVC 6&quot;"/>
      <sheetName val="7.6 Bajante 4&quot;"/>
      <sheetName val="7.7 Caja de registro"/>
      <sheetName val="7.8 Bajante lluvias 3&quot;"/>
      <sheetName val="7.9 Tuberia lluvia 4&quot;"/>
      <sheetName val="7.10 Caja registro lluvias"/>
      <sheetName val="8.Instalacion electrica"/>
      <sheetName val="9.2 Pañete muros 2 piso"/>
      <sheetName val="9.3 Pañete muros 3 piso"/>
      <sheetName val="9.4 Imper muros ext"/>
      <sheetName val="9.5 imper muros exte fachada"/>
      <sheetName val="9.7 Valdosin cocina"/>
      <sheetName val="9.6 Valdosin baño"/>
      <sheetName val="9.8 Moldura en yeso"/>
      <sheetName val="9.9 Cielo raso yeso"/>
      <sheetName val="10.1 Plantilla e=0.06"/>
      <sheetName val="9.10 Inst. barandas"/>
      <sheetName val="10,2 Piso en ceramica"/>
      <sheetName val="10.3 Guard escoba"/>
      <sheetName val="10,4 Piso terraza,pat,bal,ga"/>
      <sheetName val="10.5 Piso baño"/>
      <sheetName val="10,6 Adoquin parq"/>
      <sheetName val="11,1  Sanitario"/>
      <sheetName val="11,2 Lavamanos"/>
      <sheetName val="11,3 Rejilla"/>
      <sheetName val="12,1 Puertas de mad."/>
      <sheetName val="12,2 Puerta aluminio"/>
      <sheetName val="12,3 Ventanas cal 18"/>
      <sheetName val="12,4 Ventana fachada"/>
      <sheetName val="13,1 Pintur a murs inter"/>
      <sheetName val="13,2 pintura muros ext"/>
      <sheetName val="13,3 Pintura de marcosy p."/>
      <sheetName val="14.1 Aseo ob negra"/>
      <sheetName val="14,2 Aseo ob blanca"/>
      <sheetName val="14,3 Relleno tierra neg."/>
      <sheetName val="9.1 pañete muros 1 pi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BASICOS"/>
      <sheetName val="deuda"/>
      <sheetName val="consumo1"/>
      <sheetName val="ESTADO RED"/>
    </sheetNames>
    <sheetDataSet>
      <sheetData sheetId="0"/>
      <sheetData sheetId="1"/>
      <sheetData sheetId="2"/>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 FORMULARIO DE PRESUPUESTO"/>
      <sheetName val="B - FORM_DETALLES"/>
      <sheetName val="C - CENTROS DE COSTO Y GASTOS"/>
      <sheetName val="Download Adaytum "/>
    </sheet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Control"/>
      <sheetName val="New Acc Trans"/>
      <sheetName val="invoice control"/>
      <sheetName val=" mts drilled &amp; invoices"/>
      <sheetName val="details for unit price"/>
      <sheetName val="summary unit price"/>
      <sheetName val="for accounting"/>
      <sheetName val="cost codes"/>
      <sheetName val="Sheet1"/>
      <sheetName val="PEG Budget"/>
      <sheetName val="cost control"/>
      <sheetName val="cost control Extended"/>
      <sheetName val="LT contract"/>
      <sheetName val="Servipozos Contract"/>
      <sheetName val="Initial Budget Sector C"/>
      <sheetName val="for MBGs stage 1"/>
      <sheetName val="for MBGs stage 2"/>
      <sheetName val="for MBGs PEG"/>
      <sheetName val="for MBGs ALL"/>
      <sheetName val="core shed and century"/>
      <sheetName val="Peg Budget June 2000"/>
      <sheetName val="PEG cash flow"/>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mulación"/>
      <sheetName val="PPTO Villacaro"/>
      <sheetName val="Pto Bucarasica"/>
      <sheetName val="Cálculo del AIU"/>
      <sheetName val="Materiales"/>
      <sheetName val="1.1"/>
      <sheetName val="1.2"/>
      <sheetName val="1.3"/>
      <sheetName val="1.4"/>
      <sheetName val="1.5"/>
      <sheetName val="1.6"/>
      <sheetName val="1.7"/>
      <sheetName val="1.8"/>
      <sheetName val="1.9"/>
      <sheetName val="1.10"/>
      <sheetName val="1.11"/>
      <sheetName val="1.12"/>
      <sheetName val="1.13"/>
      <sheetName val="DATOS"/>
      <sheetName val="2.1"/>
      <sheetName val="2.2"/>
      <sheetName val="MAT"/>
      <sheetName val="Presupuesto"/>
      <sheetName val="Replanteo"/>
      <sheetName val="P103 34.5 kV"/>
      <sheetName val="P112 34.5 kV"/>
      <sheetName val="PH 213 34.5 kV"/>
      <sheetName val="RH 233 34.5 kV"/>
      <sheetName val="RH 240 34.5 kV"/>
      <sheetName val="RH 737 34.5 kV"/>
      <sheetName val="RH 730 34.5 kV"/>
      <sheetName val="ACSR 2"/>
      <sheetName val="Poda"/>
      <sheetName val="Tala"/>
      <sheetName val="Poste 8m 510"/>
      <sheetName val="Poste 8m 750"/>
      <sheetName val="Poste 8m 1050"/>
      <sheetName val="Poste 8m 1500"/>
      <sheetName val="Reinst Poste 8m"/>
      <sheetName val="Poste FV 8m 510"/>
      <sheetName val="Poste FV 8m 750"/>
      <sheetName val="Poste FV 8m 1050"/>
      <sheetName val="Poste FV 8m 1500"/>
      <sheetName val="Poste 12m 750"/>
      <sheetName val="Poste 12m 1050"/>
      <sheetName val="Poste 12m 1500"/>
      <sheetName val="Poste 12m 1500 DA"/>
      <sheetName val="Poste 14m 750"/>
      <sheetName val="Poste 14m 1050"/>
      <sheetName val="Poste 14m 1500"/>
      <sheetName val="Poste 14m 1050 DA"/>
      <sheetName val="Poste FV 12m 1050"/>
      <sheetName val="Poste FV 12m 1500"/>
      <sheetName val="Poste FV 14m 1050"/>
      <sheetName val="Poste FV 14m 1500"/>
      <sheetName val="Concreto 3000 psi"/>
      <sheetName val="Est Red Trenz BT"/>
      <sheetName val="Desm Acom"/>
      <sheetName val="RH 230 02"/>
      <sheetName val="RH 230 03"/>
      <sheetName val="RH 231 02"/>
      <sheetName val="RH 231 03"/>
      <sheetName val="RH 232 02"/>
      <sheetName val="RH 232 03"/>
      <sheetName val="RH 214"/>
      <sheetName val="730 02"/>
      <sheetName val="730 03"/>
      <sheetName val="560 02"/>
      <sheetName val="Percha 1P"/>
      <sheetName val="Percha 2P"/>
      <sheetName val="Percha 3P"/>
      <sheetName val="RH 280 03"/>
      <sheetName val="550 02"/>
      <sheetName val="560 03"/>
      <sheetName val="513 02"/>
      <sheetName val="513 03"/>
      <sheetName val="211 03"/>
      <sheetName val="202 02"/>
      <sheetName val="202 03"/>
      <sheetName val="514 02"/>
      <sheetName val="550 03"/>
      <sheetName val="Est Fin Linea BT"/>
      <sheetName val="Est Ret Trenz"/>
      <sheetName val="710"/>
      <sheetName val="711"/>
      <sheetName val="Terminal BT Bandit"/>
      <sheetName val="Temp BT"/>
      <sheetName val="Caja Dist."/>
      <sheetName val="PT BT"/>
      <sheetName val="Lum 60W"/>
      <sheetName val="Al Galv 10"/>
      <sheetName val="Al 8 Cu"/>
      <sheetName val="ACSR No.1-0"/>
      <sheetName val="ACSR No.2-0 S.A"/>
      <sheetName val="ACSR No.2-0"/>
      <sheetName val="Triplex 2"/>
      <sheetName val="Cuadruplex 2"/>
      <sheetName val="Triplex 4+2"/>
      <sheetName val="Cuadruplex 1-0"/>
      <sheetName val="Cuadruplex 2-0"/>
      <sheetName val="ACSR 3 No.266"/>
      <sheetName val="ACSR 3 No.336"/>
      <sheetName val="ACSR 3 No.266 SA"/>
      <sheetName val="ACSR 3 No.336 SA"/>
      <sheetName val="Cuadruplex 4"/>
      <sheetName val="Templete MT"/>
      <sheetName val="PT 12m"/>
      <sheetName val="PT 14m"/>
      <sheetName val="Reub Traf Monof"/>
      <sheetName val="Reub Eq Medida"/>
      <sheetName val="Reub Lumin AP"/>
      <sheetName val="Reinst ACSR"/>
      <sheetName val="Desh Poste BT"/>
      <sheetName val="Desh Poste MT"/>
      <sheetName val="Desh Poste Made BT"/>
      <sheetName val="Desinst Temp"/>
      <sheetName val="Traslado Poste 12m 510"/>
      <sheetName val="Relleno"/>
      <sheetName val="Ing. Detalle"/>
      <sheetName val="Ciment 12m Pantano"/>
      <sheetName val="Desm Est MT 3F"/>
      <sheetName val="Desm Est MT 2F"/>
      <sheetName val="Desm Est MT H 3F"/>
      <sheetName val="Desm Est MT H 2F"/>
      <sheetName val="Tras Est Term 3F"/>
      <sheetName val="Tras Est Term 2F"/>
      <sheetName val="Tras Est Term H 3F"/>
      <sheetName val="Tras Est Term H 2F"/>
      <sheetName val="Trasl Est Alin 3F"/>
      <sheetName val="Trasl Est Alin 2F"/>
      <sheetName val="Trasl Est Alin H 3F"/>
      <sheetName val="Trasl Est Alin H 2F"/>
      <sheetName val="Trasl Est Ret 3F"/>
      <sheetName val="Trasl Est Ret 2F"/>
      <sheetName val="Trasl Est Ret H 3F"/>
      <sheetName val="Trasl Est Ret H 2F"/>
      <sheetName val="Est Terminal 2F"/>
      <sheetName val="Est Terminal H 3F"/>
      <sheetName val="Est Terminal H 2F"/>
      <sheetName val="Est Ret 3F"/>
      <sheetName val="R 114"/>
      <sheetName val="R550"/>
      <sheetName val="Est Ret H 2F"/>
      <sheetName val="Desmonte Cond MT 3F"/>
      <sheetName val="Desmonte Cond MT 2F"/>
      <sheetName val="Trasl Cond MT 3F"/>
      <sheetName val="Trasl Cond MT 2F"/>
      <sheetName val="ACSR 3 No.2 MT"/>
      <sheetName val="ACSR 2 No.2 MT"/>
      <sheetName val="ACSR 3 No.1-0 MT"/>
      <sheetName val="ACSR 2 No.1-0 MT"/>
      <sheetName val="ACSR 2 No.2-0 MT"/>
      <sheetName val="ACSR 3No.2"/>
      <sheetName val="ACSR 2No.2"/>
      <sheetName val="Medidor Frontera"/>
      <sheetName val="Desm Est BT"/>
      <sheetName val="Trasl Est Term BT 4H"/>
      <sheetName val="Trasl Est Term BT 3H"/>
      <sheetName val="Trasl Est Term BT 2H"/>
      <sheetName val="Trasl Est Alin BT 4H"/>
      <sheetName val="Trasl Est Alin BT 3H"/>
      <sheetName val="Trasl Est Alin BT 2H"/>
      <sheetName val="Trasl Est Ret BT 4H"/>
      <sheetName val="Trasl Est Ret BT 3H"/>
      <sheetName val="Trasl Est Ret BT 2H"/>
      <sheetName val="Trasl Est Red Trenzada BT"/>
      <sheetName val="Est Terminal BT 3H"/>
      <sheetName val="Est Terminal BT 2H"/>
      <sheetName val="Est Ret BT 4H"/>
      <sheetName val="Est Ret BT 3H"/>
      <sheetName val="Est Ret BT 2H"/>
      <sheetName val="Desm Red BT 4H"/>
      <sheetName val="Desm Red BT 3H"/>
      <sheetName val="Desm Red BT 2H"/>
      <sheetName val="Desm Red Trenz."/>
      <sheetName val="Trasl Red BT 3H"/>
      <sheetName val="Trasl Red BT 2H"/>
      <sheetName val="Trasl Red Trenz BT"/>
      <sheetName val="Desm Temp BT"/>
      <sheetName val="Desm PT BT"/>
      <sheetName val="Desm. Traf Trif"/>
      <sheetName val="Desm Traf Monof"/>
      <sheetName val="Trasl Traf Trif"/>
      <sheetName val="T 5 Kva Monof"/>
      <sheetName val="T 10 Kva Monof"/>
      <sheetName val="T 15 Kva Monof"/>
      <sheetName val="T 25 Kva Monof"/>
      <sheetName val="T 37,5 Kva Monof"/>
      <sheetName val="T 50 Kva Monof"/>
      <sheetName val="T 75 Kva Monof"/>
      <sheetName val="T 15 Kva Trif"/>
      <sheetName val="T 30 Kva Trif"/>
      <sheetName val="T 45 Kva Trif "/>
      <sheetName val="T 75 Kva Trif"/>
      <sheetName val="Desm Est Traf 3F"/>
      <sheetName val="Desm Est Traf 2F"/>
      <sheetName val="Trasl Est Traf 3F"/>
      <sheetName val="Trasl Est Traf 2F"/>
      <sheetName val="Ciment BT"/>
      <sheetName val="Trasl Acom"/>
      <sheetName val="Acom 1F"/>
      <sheetName val="Triplex 4-0"/>
      <sheetName val="Cuadruplex 4-0"/>
      <sheetName val="Subt No.2"/>
      <sheetName val="T 3 Kva Monof"/>
      <sheetName val="Acom 2F"/>
      <sheetName val="Acom 3F"/>
      <sheetName val="Ing. OE Sub"/>
      <sheetName val="equipos y herramientas"/>
      <sheetName val="personal y transporte"/>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3"/>
      <sheetName val="TarifaMT (2)"/>
      <sheetName val="TarifaMT"/>
      <sheetName val="RESUMEN"/>
      <sheetName val="ANALISIS PREV"/>
      <sheetName val="CONSULTORÍA "/>
      <sheetName val="INTERVE."/>
      <sheetName val="SUPERV."/>
      <sheetName val="AIU"/>
      <sheetName val="COSTEO TOTAL OBRA"/>
      <sheetName val="Componente minimo"/>
      <sheetName val="IPC"/>
      <sheetName val="Ensayos Laboratorio"/>
      <sheetName val="proyecc desembol"/>
      <sheetName val="Top_Y_Batimetria"/>
      <sheetName val="PLAN.CAR-"/>
      <sheetName val="F.M. VIA"/>
      <sheetName val="TABLA Honorarios"/>
    </sheetNames>
    <sheetDataSet>
      <sheetData sheetId="0" refreshError="1"/>
      <sheetData sheetId="1" refreshError="1"/>
      <sheetData sheetId="2" refreshError="1"/>
      <sheetData sheetId="3" refreshError="1"/>
      <sheetData sheetId="4"/>
      <sheetData sheetId="5"/>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IDADES DE OBRA"/>
      <sheetName val="TABLA "/>
      <sheetName val="ESTRUCTURAS MT"/>
      <sheetName val="Lista de Materiales"/>
      <sheetName val="Discriminación Materiales"/>
      <sheetName val="MATERIALES POR ESTRUCURA"/>
    </sheetNames>
    <sheetDataSet>
      <sheetData sheetId="0"/>
      <sheetData sheetId="1"/>
      <sheetData sheetId="2"/>
      <sheetData sheetId="3"/>
      <sheetData sheetId="4"/>
      <sheetData sheetId="5"/>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iseño"/>
      <sheetName val="Design"/>
      <sheetName val="cotas "/>
      <sheetName val="resumen"/>
      <sheetName val="DATOS PERF"/>
      <sheetName val="Aliv BA9"/>
      <sheetName val="Aliv BA26"/>
      <sheetName val="Aliv BA29"/>
      <sheetName val="A CAÑUELA103"/>
      <sheetName val="A CAÑUELA61"/>
      <sheetName val="A CAÑUELA73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ILLAS"/>
      <sheetName val="PRECIOS"/>
    </sheetNames>
    <sheetDataSet>
      <sheetData sheetId="0" refreshError="1"/>
      <sheetData sheetId="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heetName val="lisprecios"/>
      <sheetName val="unitario"/>
      <sheetName val="PRESTACIONES SOCIALES"/>
      <sheetName val="PERSOPROPUESTA"/>
      <sheetName val="TRES PIEDRAS"/>
      <sheetName val="SAN JACINTO"/>
      <sheetName val="TRES BINDES"/>
      <sheetName val="TRES PALMAS"/>
      <sheetName val="Hoja1"/>
      <sheetName val="PRESU"/>
      <sheetName val="JARAQUIEL"/>
      <sheetName val="LETRILORICA"/>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INSUMOS"/>
      <sheetName val="XComponentes"/>
      <sheetName val="XActividades"/>
      <sheetName val="AIU Nuevo"/>
      <sheetName val="ANALISIS DE AIU"/>
      <sheetName val="Cuadro Resumen"/>
      <sheetName val="Resumen m2"/>
      <sheetName val="DOTACIÓN"/>
      <sheetName val="Datos entrada"/>
      <sheetName val="Salarios"/>
      <sheetName val="Cuadrillas"/>
      <sheetName val="Trans"/>
      <sheetName val="Equ"/>
      <sheetName val="Mat"/>
      <sheetName val="Hoja Base"/>
      <sheetName val="Mort 1-3"/>
      <sheetName val="Mort 1-3 Imper"/>
      <sheetName val="Mort 1-4"/>
      <sheetName val="Mort 1-4 Imper"/>
      <sheetName val="Mort 1-5"/>
      <sheetName val="Mort 1-7"/>
      <sheetName val="Concr 1,500"/>
      <sheetName val="Concr 2,000"/>
      <sheetName val="Concr 2,500"/>
      <sheetName val="Concr 3,000"/>
      <sheetName val="Concr 3,500"/>
      <sheetName val="Concr 4,000 "/>
      <sheetName val=" Acero 60000 Refuerzo "/>
      <sheetName val=" Malla Electrosoldada "/>
      <sheetName val="P Eléctrico"/>
      <sheetName val="P Agua Fria"/>
      <sheetName val="P Sanitario"/>
      <sheetName val="Granito pulido "/>
      <sheetName val="Marcos puerta"/>
      <sheetName val="Marcos ventana"/>
      <sheetName val="1,1,1 Campamt"/>
      <sheetName val="1,1,2 Alquiler Campameto"/>
      <sheetName val="1,1,3 Limpieza"/>
      <sheetName val="1,1,4 Localización y replanteo"/>
      <sheetName val="1,1,6 Cerramiento Lona"/>
      <sheetName val="1,1,7 Locali Manual"/>
      <sheetName val="1,2,1 Provicional agua"/>
      <sheetName val="1,2,2 Provicional luz"/>
      <sheetName val="1,3,1 Desmonte cubierta"/>
      <sheetName val="1,3,2 Demoliciòn muro"/>
      <sheetName val="1,3,3  Dm enchape"/>
      <sheetName val="1,3,4 Dm cimiento"/>
      <sheetName val="1,3,5 Dm Vig-colum"/>
      <sheetName val="1,3,6 Demolicion placa"/>
      <sheetName val="1,3,7  Dm Aparatos"/>
      <sheetName val="1,4,2 Traslado postes"/>
      <sheetName val="1,4,3 Arb 5"/>
      <sheetName val="1,4,4 Arb 10"/>
      <sheetName val="1,4,5 Arb 15"/>
      <sheetName val="1,4,6 Arb 20"/>
      <sheetName val="1,4,7 Arb +20"/>
      <sheetName val="1,4,8 Traslado Arb"/>
      <sheetName val="2,1,1 Exc Mec"/>
      <sheetName val="2,1,2 Exc Man"/>
      <sheetName val="2,1,3 Exc M Sub base"/>
      <sheetName val="2,1,5 Relleno M Común"/>
      <sheetName val="2,1,6  Rellenos M Selec"/>
      <sheetName val="2,1,7  Sub base Recebo "/>
      <sheetName val="2,1,8 Geotextil NT"/>
      <sheetName val="2,1,9 Geotextil Tejido"/>
      <sheetName val="2,1,10 Relleno Recebo"/>
      <sheetName val="2,2,1 Concr pobre"/>
      <sheetName val="2,2,2 Concr Ciclopeo"/>
      <sheetName val="2,2,3 Muros de contencion"/>
      <sheetName val="2,2,4 Concreto Zapatas"/>
      <sheetName val="2,2,5 Vigas de cimentación"/>
      <sheetName val="2,2,6,1 Pilotes 0,30"/>
      <sheetName val="2,2,6,2 Pilotes 0,40"/>
      <sheetName val="2,2,6,3 Pilotes 0,60"/>
      <sheetName val="2,2,6,4 Pilotes 0,80"/>
      <sheetName val="2,2,6,5 Pilotes 0,90 "/>
      <sheetName val="2,2,7 Dados en concreto"/>
      <sheetName val="2,2,8 Placa Flotante 0,60"/>
      <sheetName val="2,2,9 Placas cont= 0,1"/>
      <sheetName val="2,2,10 Placas cont= 0,125"/>
      <sheetName val="2,2,11 Placas cont= 0,15"/>
      <sheetName val="2,3,1 Acero 37000 "/>
      <sheetName val="2,3,2 Acero 60000 Refuerzo"/>
      <sheetName val="2,3,3 Malla Electrosoldada"/>
      <sheetName val="2,4,1 Gaviones"/>
      <sheetName val="2,4,2 Cajon aislamiento vigas"/>
      <sheetName val="2,4,3 Icopor Aislante ciment. "/>
      <sheetName val="2,4,4 Pañete Taludes "/>
      <sheetName val="3,1,1 Novafort A.LL. 4&quot; 110mm "/>
      <sheetName val="3,1,2 Novafort A.LL.6&quot; 160mm  "/>
      <sheetName val="3,1,3 Novafort A.LL 8&quot;200 mm   "/>
      <sheetName val="3,1,4 Novafort 10&quot;A.LL. 255mm "/>
      <sheetName val="3,1,5 Novafort A.LL.12&quot; 315mm  "/>
      <sheetName val="3,1,6  Acc. Novafort. A.LL"/>
      <sheetName val="3,2,1 Novafort A.N. 4&quot; 110 "/>
      <sheetName val="3,2,2 Novafort A.N.6&quot; 160m "/>
      <sheetName val="3,2,3 Novafort A.N. 8&quot;200 mm"/>
      <sheetName val="3,2,4 Novafort 10&quot;A.N. 255 mm"/>
      <sheetName val="3,2,5 Novafort A.N.12&quot; 315mm"/>
      <sheetName val="3,2,6  Acc. Novafort. A.N."/>
      <sheetName val="3,3,1 Tuberia drenaje PVC 4&quot;"/>
      <sheetName val="3,3,2 Tuberia drenaje PVC 4&quot;"/>
      <sheetName val="3,3,3 Accesorio drenaje PVC 3&quot;"/>
      <sheetName val="3,3,4 Accesorio drenaje PVC 4&quot;"/>
      <sheetName val="3,3,5 Filtros Escorrentias"/>
      <sheetName val="3,4,1 Caja inspección 0,60 "/>
      <sheetName val="3,4,2 Caja inspección 0,80"/>
      <sheetName val="3,4,3 Caja inspección 1,00"/>
      <sheetName val="3,4,6 Carcamo"/>
      <sheetName val="3,4,7 Trampa de grasas"/>
      <sheetName val="3,4,8 Pozo Septico"/>
      <sheetName val="3,5,1 Exc Man "/>
      <sheetName val="3,5,2 Exc en recebo comp."/>
      <sheetName val="3,5,3  Relleno M seleccionado"/>
      <sheetName val="3,5,4 Relleno M Común "/>
      <sheetName val="3,5,5 Retiro sobrantes"/>
      <sheetName val="3,3,6 POZO INFILTRACIÓN"/>
      <sheetName val="3,4,4 Caja Distribuciòn 0,40  "/>
      <sheetName val="3,4,9 Caja discipadora"/>
      <sheetName val="3,6,2 Cabezal descarga"/>
      <sheetName val="4,1,1 Columnas"/>
      <sheetName val="4,1,2 Pantalla en concreto"/>
      <sheetName val="4,1,3 Muros"/>
      <sheetName val="4,2,1 Vigas aéreas"/>
      <sheetName val="4,2,2 Viga canal"/>
      <sheetName val="4,2,3  Vigas Prefabricadas"/>
      <sheetName val="4,3,1 Placa alig. Caseton 60"/>
      <sheetName val="4,3,2 Caseton 50 cm"/>
      <sheetName val="4,3,3 Caseton 45 cm"/>
      <sheetName val="4,3,4 Caseton 40 cm "/>
      <sheetName val="4,3,6 Placa maciza 0,20"/>
      <sheetName val="4,3,7 Placa maciza 0,125"/>
      <sheetName val="4,3,8 Placa maciza 0,10"/>
      <sheetName val="4,3,9 Placa maciza 0,15"/>
      <sheetName val="4,4,1 Escalera"/>
      <sheetName val="4,4,2 Rampas"/>
      <sheetName val="4,4,3 POZO CONCRETO 20 M3"/>
      <sheetName val="4,4,4 POZO CONCRETO"/>
      <sheetName val="4,4,5 Graderias en concreto"/>
      <sheetName val="4,5,1 Acero 37000  "/>
      <sheetName val="4,5,2 Acero 60000 est"/>
      <sheetName val="4,5,3 Malla Electrosoldada est"/>
      <sheetName val="4,6,1,1 Est Cubierta"/>
      <sheetName val="4,6,2,3 Cerrchas  Metàlica"/>
      <sheetName val="4,6,2,4 Perfil "/>
      <sheetName val="4,6,2,5 Templete"/>
      <sheetName val="5,1,1 Bloq Conc Estruc 0,12"/>
      <sheetName val="5,1,2 Bloque concreto divisorio"/>
      <sheetName val="5,1,3 Bloq tipo piedra"/>
      <sheetName val="5,1,5  Calados en Concreto"/>
      <sheetName val="5,1,6 Bloq Conc Estruc 014"/>
      <sheetName val="5,1,7 Bloq Conc Estruc 019"/>
      <sheetName val="5,2,1 Ladrillo común"/>
      <sheetName val="5,2,2 Ladrillo estructural"/>
      <sheetName val="5,2,3 Ladrillo común sobrecimie"/>
      <sheetName val="5,2,4 Ladrillo Prensado portant"/>
      <sheetName val="5,2,6 Muro en bloque No 4"/>
      <sheetName val="5,3,1 Enchape ladrillo arcilla"/>
      <sheetName val="5,3,3 Alfagias ladrillo arcilla"/>
      <sheetName val="5,3,4 Remate ladrillo arcilla"/>
      <sheetName val="5,4,1 Grouting-Concreto fluido"/>
      <sheetName val="5,4,2 Remates"/>
      <sheetName val="5,5,1 Anclajes Epoxicos"/>
      <sheetName val="5,5,2 Acero 37000 mamp"/>
      <sheetName val="5,5,3 Malla Electrosoldada "/>
      <sheetName val="5,5,4 Grafiles 6 mm"/>
      <sheetName val="5,6,1 Instalaciòn carpint. Meta"/>
      <sheetName val="6,1,1 Alfajias"/>
      <sheetName val="6,1,2 Dinteles"/>
      <sheetName val="6,1,3 Remates sobre mamposteria"/>
      <sheetName val="6.1.8 Pergolas"/>
      <sheetName val="6.1.9 Gargolas"/>
      <sheetName val="6,1,10 Gradas en Concreto"/>
      <sheetName val="6,1,11 PLAQUETAS"/>
      <sheetName val="6,1,15 Bordillos ducha y aseo"/>
      <sheetName val="6,1,17 Carcamo"/>
      <sheetName val="6,1,18 Cañuela Per"/>
      <sheetName val="6,2,1 Mesones en concreto"/>
      <sheetName val="6,2,2 Mesones lavamanos"/>
      <sheetName val="6,2,3 Mesones laboratorios"/>
      <sheetName val="6,2,5 Bancas Concreto"/>
      <sheetName val="6,2,8 Alfajias 2"/>
      <sheetName val="7,1,1,1 Acometida PVC-P 2&quot;"/>
      <sheetName val="7,1,1,2 Accesorio PVC-P 2&quot; "/>
      <sheetName val="7,1,1,5 Bajantes A.N.  PVC 3&quot;"/>
      <sheetName val="7,1,1,6 Bajantes A.N 4&quot;"/>
      <sheetName val="7,1,2,1 Tuberia H.G. 1&quot;"/>
      <sheetName val="7,1,2,2  Accesorio H.G. 1&quot; "/>
      <sheetName val="7,1,2,3 Flotador 1"/>
      <sheetName val="7,1,2,4 Tanque Plastico"/>
      <sheetName val="7,1,3,1 Tuberia H.G. 1&quot;cuarto "/>
      <sheetName val="7,1,3,2  Accesorio H.G.1&quot;cuarto"/>
      <sheetName val="7,1,3,3  Registro R. W. 1&quot;"/>
      <sheetName val="7,1,3,4  Cheque Helber 1&quot;"/>
      <sheetName val="7,1,3,7  Tanque Subterrraneo"/>
      <sheetName val="7,1,4,1 Tuberia H.G. 1 1.2&quot;"/>
      <sheetName val="7,1,4,2  Accesorio H.G.1 1.2&quot;"/>
      <sheetName val="7,1,4,3  Registro R. W. 1. 1.2&quot;"/>
      <sheetName val="7,1,4,4  Cheque  Helber 1 1.2&quot;"/>
      <sheetName val="7,1,5,1 Registro 1.2&quot;"/>
      <sheetName val="7,1,5,2 Registro 3 4"/>
      <sheetName val="7,1,5,3 Registro 1 "/>
      <sheetName val="7,1,5,4 Registro 114"/>
      <sheetName val="7,1,5,5 Registro 1 12"/>
      <sheetName val="7,1,5,6 Registro 2 "/>
      <sheetName val="7,1,5,8 Caja registro "/>
      <sheetName val="7,1,6,1 Acometida media"/>
      <sheetName val="7,1,6,2 Acometida 1PL"/>
      <sheetName val="7,1,6,3 Registro PD media"/>
      <sheetName val="7,1,6,4 Acometida 1 14"/>
      <sheetName val="7,1,6,5 Tuberia 1 12"/>
      <sheetName val="7,1,6,6 Acometida 2"/>
      <sheetName val="7,1,6,7 Tubo UZ 2&quot;"/>
      <sheetName val="7,1,6,8 Acometida 1 12"/>
      <sheetName val="7,1,6,9 Tuberia UZ 3&quot;"/>
      <sheetName val="7,1,6,10 Accesorio UZ  2&quot;"/>
      <sheetName val="7,1,6,11 Accesorio UZ 3&quot;"/>
      <sheetName val="7,1,7,1 Tuberia H.G. 1.2&quot;"/>
      <sheetName val="7,1,7,2  Accesorio H.G.1.2&quot;"/>
      <sheetName val="7,1,7,3 Registro Corte 1.2&quot; "/>
      <sheetName val="7,1,7,4 Registro 1.2&quot;"/>
      <sheetName val="7,1,7,5 Caja para medidor"/>
      <sheetName val="7,1,8,1 P Agua Fria Lavamanos"/>
      <sheetName val="7,1,8,2 Punto  Agua Fria 1 1.2&quot;"/>
      <sheetName val="7,1,8,3 P Agua Fria Sanitarios"/>
      <sheetName val="7,1,8,4 P Agua Fria Orinales"/>
      <sheetName val="7,1,8,5 P Agua Fria pocetas lab"/>
      <sheetName val="7,1,8,6 P Agua Fria Ducha"/>
      <sheetName val="7,1,8,7 P Agua Fria Pocetas"/>
      <sheetName val="7,1,8,8 Llave  Manguera 1.2&quot;"/>
      <sheetName val="7,1,8,10  Tapòn H.G.1.2&quot;"/>
      <sheetName val="7,1,8,11  Tapòn P.V.C.1.2&quot; "/>
      <sheetName val="7,1,8,12  Camara aire H.G.1.2&quot;"/>
      <sheetName val="7,1,8,13  Camara aire P.V.C.P "/>
      <sheetName val="7,1,9,1 P Sanitario lavamanos"/>
      <sheetName val="7,1,9,3 P Sanitario Sanit"/>
      <sheetName val="7,1,9,4 P Sanitario Orinales"/>
      <sheetName val="7,1,9,5  P Sifòn PVC-S 4&quot;"/>
      <sheetName val="7,1,9,6  P Sifòn PVC-S 2&quot; "/>
      <sheetName val="7,1,9,7 P Sanitario Pocetas"/>
      <sheetName val="7,1,9,9 P Sanitario sifon"/>
      <sheetName val="7,1,10,1 Acomet sanit"/>
      <sheetName val="7,1,10,2 Pto 3&quot;"/>
      <sheetName val="7,1,10,2 Punto Vent 3&quot;"/>
      <sheetName val="7,1,10,3  Sanit 2"/>
      <sheetName val="6,1,19 Carcamo IDRD Tipo 5"/>
      <sheetName val="7,1,10,4 Sanit 3"/>
      <sheetName val="7,1,10,5 4pLG S"/>
      <sheetName val="7,1,11,1 Acomet lluvia"/>
      <sheetName val="7,1,11,2 Acomet lluvia 2"/>
      <sheetName val="7,1,11,3 3plg"/>
      <sheetName val="7,1,11,4&quot;"/>
      <sheetName val="7,1,11,5 Bajante PVC "/>
      <sheetName val="7,1,11,6 Accesorios PVC"/>
      <sheetName val="7,1,12,1 Instalaciòn Lavamanos"/>
      <sheetName val="7,1,12,2 Instalaciòn Sanitario "/>
      <sheetName val="7,1,12,8 Llave  Manguera 1.2 "/>
      <sheetName val="7,1,12,9 Acoflex lav.sant."/>
      <sheetName val="7,1,14 Lavado Tanque"/>
      <sheetName val="7,1,15 Desinfecciòn tanque"/>
      <sheetName val="7,1,16,2 Bomba"/>
      <sheetName val="7,2,1,1 Punto de gas"/>
      <sheetName val="7,2,1,2 Preinstalación gas"/>
      <sheetName val="7,2,1,3 Tuberia  tipo L 1.2&quot;"/>
      <sheetName val="7,2,1,4 Tuberia  tipo L 1&quot;"/>
      <sheetName val="7,2,1,5  Registro bola 1&quot; "/>
      <sheetName val="7,2,1,7  Rejilla vent. plastica"/>
      <sheetName val="8,1,1"/>
      <sheetName val="8,1,2"/>
      <sheetName val="8,1,3"/>
      <sheetName val="8,1,4"/>
      <sheetName val="8,2,1"/>
      <sheetName val="8,2,2"/>
      <sheetName val="8,2,3"/>
      <sheetName val="8,2,4"/>
      <sheetName val="8,3,1"/>
      <sheetName val="8,3,2"/>
      <sheetName val="8,3,3"/>
      <sheetName val="8,4,1"/>
      <sheetName val="8,5,1"/>
      <sheetName val="8,5,2"/>
      <sheetName val="8,5,3"/>
      <sheetName val="8,5,4"/>
      <sheetName val="8,5,5"/>
      <sheetName val="8,16"/>
      <sheetName val="8,17"/>
      <sheetName val="8,18"/>
      <sheetName val="8,21"/>
      <sheetName val="8,22"/>
      <sheetName val="8,23"/>
      <sheetName val="8,24"/>
      <sheetName val="8,25"/>
      <sheetName val="8,26"/>
      <sheetName val="8,27"/>
      <sheetName val="8,28"/>
      <sheetName val="8,29"/>
      <sheetName val="8,30"/>
      <sheetName val="8,31"/>
      <sheetName val="8,32"/>
      <sheetName val="8,33"/>
      <sheetName val="8,34"/>
      <sheetName val="8,35"/>
      <sheetName val="8,36"/>
      <sheetName val="8,37"/>
      <sheetName val="8,38"/>
      <sheetName val="8,39"/>
      <sheetName val="8,40"/>
      <sheetName val="8,41"/>
      <sheetName val="8,42"/>
      <sheetName val="8,43"/>
      <sheetName val="8,44"/>
      <sheetName val="8,45"/>
      <sheetName val="8,46"/>
      <sheetName val="8,47"/>
      <sheetName val="8,48"/>
      <sheetName val="8,49"/>
      <sheetName val="8,50"/>
      <sheetName val="8,51"/>
      <sheetName val="8,52"/>
      <sheetName val="8,53"/>
      <sheetName val="8,54"/>
      <sheetName val="8,55"/>
      <sheetName val="8,56"/>
      <sheetName val="8,57"/>
      <sheetName val="8,58"/>
      <sheetName val="8,59"/>
      <sheetName val="8,60"/>
      <sheetName val="8,61"/>
      <sheetName val="8,62"/>
      <sheetName val="8,63"/>
      <sheetName val="8,64"/>
      <sheetName val="8,65"/>
      <sheetName val="8,66"/>
      <sheetName val="8,67"/>
      <sheetName val="8,68"/>
      <sheetName val="8,69"/>
      <sheetName val="8,70"/>
      <sheetName val="8,71"/>
      <sheetName val="8,72"/>
      <sheetName val="8,73"/>
      <sheetName val="8,74"/>
      <sheetName val="8,75"/>
      <sheetName val="8,76"/>
      <sheetName val="8,77"/>
      <sheetName val="8,78"/>
      <sheetName val="8,79"/>
      <sheetName val="8,80"/>
      <sheetName val="8,81"/>
      <sheetName val="8,82"/>
      <sheetName val="8,83"/>
      <sheetName val="8,84"/>
      <sheetName val="8,85"/>
      <sheetName val="8,86"/>
      <sheetName val="8,87"/>
      <sheetName val="8,88"/>
      <sheetName val="8,89"/>
      <sheetName val="8,90"/>
      <sheetName val="8,91"/>
      <sheetName val="8,92"/>
      <sheetName val="8,93"/>
      <sheetName val="8,94"/>
      <sheetName val="9,1,1 Pañete impermeabilizado"/>
      <sheetName val="9,1,2 Pañete muros interiores"/>
      <sheetName val="9,1,3 Pañete Exteriores"/>
      <sheetName val="9,2,1 Pañete bajo placa"/>
      <sheetName val="10,1,1 base mueble concreto"/>
      <sheetName val="10,1,3 Alistado pisos"/>
      <sheetName val="10,1,4 Mortero afinado"/>
      <sheetName val="10,1,6 Acabado Escobeado"/>
      <sheetName val="10,2,1,3 Ceramica 0,20 x 0,20 "/>
      <sheetName val="10,2,2,3 Piso tablòn ges 0,30 "/>
      <sheetName val="10,2,4,1 Baldosin granito"/>
      <sheetName val="10,2,4,3 gravilla m2"/>
      <sheetName val="10,3,1,1 Tablòn cuarto 26"/>
      <sheetName val="10,3,2,1 Guardaescoba"/>
      <sheetName val="10,3,2,3 Media Caña"/>
      <sheetName val="10,3,2,5 Gravilla "/>
      <sheetName val="10,3,2,6 Granito"/>
      <sheetName val="10,4,2 Escalera en Granito"/>
      <sheetName val="10,5,3 Cenefas Gravilla "/>
      <sheetName val="11,1,1 Afinado Mortero"/>
      <sheetName val="11,1,2 Media Caña"/>
      <sheetName val="11,1,3 Afinado Viga canales"/>
      <sheetName val="11,1,4 foil aluminio"/>
      <sheetName val="11,2,2,1 Caballete"/>
      <sheetName val="11,2,2,2 remate"/>
      <sheetName val="11,2,3,1 Domo acrílico"/>
      <sheetName val="11,2,3,2 Acrilico transparente"/>
      <sheetName val="11,2,3,3 Teja trapezoidal Plast"/>
      <sheetName val="11,2,4,1  teja acero"/>
      <sheetName val="11,2,4,2 Tejaluz"/>
      <sheetName val="11,2,5,1 Teja Barro"/>
      <sheetName val="11,2,5,2 Limahoyas"/>
      <sheetName val="11,3,1 Canal Lámina"/>
      <sheetName val="11,3,2 Flashing"/>
      <sheetName val="11,3,3 Tragante 5x3"/>
      <sheetName val="11,3,4 Tragante 6x4"/>
      <sheetName val="11,3,5 Canal PVC"/>
      <sheetName val="12,1,1 Ventanas aluminio "/>
      <sheetName val="12,1,2 Ventanas aluminio reja"/>
      <sheetName val="12,1,3 Puerta aluminio sencillo"/>
      <sheetName val="12,1,4 Puert Alum dob reja"/>
      <sheetName val="12,1,5 Puerta aluminio doble"/>
      <sheetName val="12,1,6 Puert baños"/>
      <sheetName val="12,1,7 PERGOLAS ALUM"/>
      <sheetName val="12,1,8 Puertas discapacitados"/>
      <sheetName val="12,1,9 BARANDA EN ALUMINIO"/>
      <sheetName val="12,2,1,1 Marcos puerta"/>
      <sheetName val="12,2,1,2 Puerta Sencilla"/>
      <sheetName val="12,2,1,3 Ventana"/>
      <sheetName val="12,2,1,5 Puertas Emtamborada"/>
      <sheetName val="12,2,2,1 Pasamanos "/>
      <sheetName val="12,2,2,2 Pasamanos"/>
      <sheetName val="12,2,2,3 Baranda Malla"/>
      <sheetName val=" 12,2,2,4 Cerramiento acrílilco"/>
      <sheetName val="12,2,3,1 Rejas en varilla cuadr"/>
      <sheetName val="12,2,3,2 Rejas ventana"/>
      <sheetName val="12,2,3,3 Rejas Puerta baño"/>
      <sheetName val="12,2,3,4 Reja Ventilación"/>
      <sheetName val="12,2,4,1 CORTASOL"/>
      <sheetName val="12,2,4,4 Ventana Malla"/>
      <sheetName val="13,1,2"/>
      <sheetName val="13,1,5"/>
      <sheetName val="13,1,6"/>
      <sheetName val="13,4,1"/>
      <sheetName val=" 12,2,2,5 Baranda M80"/>
      <sheetName val="14,1,1 Ceramica 20 "/>
      <sheetName val="15,1,3 Lampara Fluorecente 2x32"/>
      <sheetName val="16,1,3 Sanitarios tanque"/>
      <sheetName val="16,1,4 Orinal "/>
      <sheetName val="16,1,5 Lavamanos Sobreponer"/>
      <sheetName val="16,1,7 Lavamanos de colgar"/>
      <sheetName val="16,1,8 Sanit Disc"/>
      <sheetName val="16,1,9 Duchas"/>
      <sheetName val="16,1,11 POCETA"/>
      <sheetName val="16,2,1 Pocetas Aseo"/>
      <sheetName val="16,2,5 Llave Terminal"/>
      <sheetName val="16,2,6 Incrustaciones"/>
      <sheetName val="16,2,7 Barras disc"/>
      <sheetName val="17,2,1 Puerta Vidrio"/>
      <sheetName val="17,2,2 Puerta PVC Baterias"/>
      <sheetName val="17,2,3 Divisiones 0,06"/>
      <sheetName val="17,2,4 Divisiones baños "/>
      <sheetName val="18,1,1 pintura koraza"/>
      <sheetName val="18,1,2 pintura plastica"/>
      <sheetName val="18,1,3 Vinilo con estuco"/>
      <sheetName val="18,1,4 Vinilo sin estuco "/>
      <sheetName val="18,1,5 Vinilo Cielos "/>
      <sheetName val="19,1,1 Cerraduras"/>
      <sheetName val="19,4,1 Espejo"/>
      <sheetName val="19,4,2 Vidrio Crudo"/>
      <sheetName val="20,1,2 Exc Man"/>
      <sheetName val="20,1,5 Subbase recebo"/>
      <sheetName val="20,2,1 Andenes"/>
      <sheetName val="20,2,2 Sardinel"/>
      <sheetName val="20,2,3"/>
      <sheetName val="20,2,4 Banca"/>
      <sheetName val="20,2,5 Adoquin"/>
      <sheetName val="20,3,1 Solado esp= 0,05"/>
      <sheetName val="20,3,2 Concreto Ciclopeo "/>
      <sheetName val="20,3,3 Vigas de Amarre"/>
      <sheetName val="20,3,5  Cerramiento Malla Esla"/>
      <sheetName val="20,3,6  Muros de contencion "/>
      <sheetName val="20,4,1 Mov Tierras"/>
      <sheetName val="20,2,13 Escalinatas"/>
      <sheetName val="20,2,6 Adoquin Arcilla"/>
      <sheetName val="20,2,7 Loseta A-50"/>
      <sheetName val="20,4,2 Pradización"/>
      <sheetName val="20.2.10 Bordillo A-80"/>
      <sheetName val="20,4,4 Arborización"/>
      <sheetName val="20,5,1 Gaviones en piedra"/>
      <sheetName val="20,5,2 PERGOLA  METALICA"/>
      <sheetName val="20,5,3  Acero 37000  Ext."/>
      <sheetName val="20,5,4 Acero 60000 psi"/>
      <sheetName val="20,5,5 Malla Electrosoldada  "/>
      <sheetName val="21,1,1 Lavada ladrillo "/>
      <sheetName val="21,1,3 Aseo"/>
      <sheetName val="21,1,4 Retiro Escombros"/>
      <sheetName val="Pasamanos "/>
      <sheetName val="Hoja1"/>
      <sheetName val="Hoja31"/>
      <sheetName val="Hoja3"/>
      <sheetName val="M.Med_Arq"/>
      <sheetName val="AIU"/>
      <sheetName val="Pres_cu;tural"/>
      <sheetName val="1_Preliminares"/>
      <sheetName val="2_Cimentación_Est.Met"/>
      <sheetName val="3_Mampost"/>
      <sheetName val="Apus_Pisos"/>
      <sheetName val="Apu Enchapes"/>
      <sheetName val="Apus_Elec Bloq A"/>
      <sheetName val="Apus_Elec Bloq B"/>
      <sheetName val="Apus_Cub_CM"/>
      <sheetName val="Apu_Hidro"/>
      <sheetName val="Apus_Dotación_Pintura"/>
      <sheetName val="Equipo_Trans "/>
      <sheetName val="M.Obra"/>
      <sheetName val="Pres_cultu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INDICE"/>
      <sheetName val="Materiales"/>
      <sheetName val="Equipo"/>
      <sheetName val="Otros"/>
      <sheetName val="Densidades"/>
      <sheetName val="200.1"/>
      <sheetName val="200.2"/>
      <sheetName val="201.7"/>
      <sheetName val="201.8"/>
      <sheetName val="201.9"/>
      <sheetName val="201.10"/>
      <sheetName val="201.11"/>
      <sheetName val="201.12"/>
      <sheetName val="201.14 (2)"/>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1"/>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comprada"/>
      <sheetName val="450.3"/>
      <sheetName val="450.3 COMPRADA"/>
      <sheetName val="450.4"/>
      <sheetName val="450.5"/>
      <sheetName val="450.6"/>
      <sheetName val="450.7"/>
      <sheetName val="450.8"/>
      <sheetName val="450.9"/>
      <sheetName val="451.1"/>
      <sheetName val="451.1 (2)"/>
      <sheetName val="451.1 COMPRADA"/>
      <sheetName val="451.2"/>
      <sheetName val="451.2 COMPRADA"/>
      <sheetName val="451.3"/>
      <sheetName val="451.3 COMPRADA "/>
      <sheetName val="451.4"/>
      <sheetName val="452.1"/>
      <sheetName val="452.1COMPRADA"/>
      <sheetName val="452.2"/>
      <sheetName val="452.2COMPRADA "/>
      <sheetName val="452.3"/>
      <sheetName val="452.3COMPRADA"/>
      <sheetName val="452.4"/>
      <sheetName val="452.4COMPRADA"/>
      <sheetName val="453,1"/>
      <sheetName val="460,1"/>
      <sheetName val="461.1"/>
      <sheetName val="461.2"/>
      <sheetName val="462.1"/>
      <sheetName val="462.2"/>
      <sheetName val="464,1"/>
      <sheetName val="464,2"/>
      <sheetName val="464,3"/>
      <sheetName val="464,4"/>
      <sheetName val="465,1"/>
      <sheetName val="466,1"/>
      <sheetName val="466,2"/>
      <sheetName val="680.2 "/>
      <sheetName val="680.3"/>
      <sheetName val="681"/>
      <sheetName val="682 "/>
      <sheetName val="690"/>
      <sheetName val="700.1 "/>
      <sheetName val="700.2 "/>
      <sheetName val="700.3"/>
      <sheetName val="700.4"/>
      <sheetName val="701"/>
      <sheetName val="710.1 "/>
      <sheetName val="710.2 "/>
      <sheetName val="710.3 "/>
      <sheetName val="710.4 "/>
      <sheetName val="710.5"/>
      <sheetName val="720.1"/>
      <sheetName val="500.1"/>
      <sheetName val="501.1"/>
      <sheetName val="510.1"/>
      <sheetName val="600.1"/>
      <sheetName val="600.2"/>
      <sheetName val="600.3"/>
      <sheetName val="600.4"/>
      <sheetName val="600.5"/>
      <sheetName val="610.1"/>
      <sheetName val="610.2"/>
      <sheetName val="620.1"/>
      <sheetName val="620.2"/>
      <sheetName val="620.3"/>
      <sheetName val="621.1"/>
      <sheetName val="621.1P7"/>
      <sheetName val="621.2"/>
      <sheetName val="621.3"/>
      <sheetName val="621.4"/>
      <sheetName val="621.5"/>
      <sheetName val="621.6"/>
      <sheetName val="622.1"/>
      <sheetName val="622.2"/>
      <sheetName val="622.3"/>
      <sheetName val="622.4"/>
      <sheetName val="622.5"/>
      <sheetName val="623.1"/>
      <sheetName val="623.2"/>
      <sheetName val="630.1"/>
      <sheetName val="630.2"/>
      <sheetName val="630.3"/>
      <sheetName val="630.5"/>
      <sheetName val="630.6"/>
      <sheetName val="630.6p"/>
      <sheetName val="630.7"/>
      <sheetName val="631.1"/>
      <sheetName val="632.1"/>
      <sheetName val="640.1"/>
      <sheetName val="640.2"/>
      <sheetName val="641.1"/>
      <sheetName val="641.2"/>
      <sheetName val="642.1"/>
      <sheetName val="642.2 JUNTA JEENE"/>
      <sheetName val="650.1"/>
      <sheetName val="650.2"/>
      <sheetName val="650.3 "/>
      <sheetName val="650.4 "/>
      <sheetName val="660.1"/>
      <sheetName val="660.2 "/>
      <sheetName val="660.3 "/>
      <sheetName val="661 TIPO 1"/>
      <sheetName val="661 TIPO2 "/>
      <sheetName val="661 OTRO "/>
      <sheetName val="662.1 "/>
      <sheetName val="662.2"/>
      <sheetName val="670.1"/>
      <sheetName val="670.2 "/>
      <sheetName val="671.1"/>
      <sheetName val="671.2 "/>
      <sheetName val="672.1"/>
      <sheetName val="673.1 "/>
      <sheetName val="673.2 "/>
      <sheetName val="673.2p"/>
      <sheetName val="673.3"/>
      <sheetName val="674.1"/>
      <sheetName val="674.2"/>
      <sheetName val="680.1 "/>
      <sheetName val="730.1"/>
      <sheetName val="730.2"/>
      <sheetName val="730.3"/>
      <sheetName val="731.1 "/>
      <sheetName val="740.1"/>
      <sheetName val="741.1P1 "/>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812.1"/>
      <sheetName val="900.1"/>
      <sheetName val="900.2"/>
      <sheetName val="900.3"/>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Área Afectada"/>
      <sheetName val="Características Demógraficas"/>
      <sheetName val="Área Beneficiada"/>
      <sheetName val="Ubicación Geógrafica"/>
      <sheetName val="Ingresos y Beneficios"/>
      <sheetName val="Fuentes de Financiación"/>
      <sheetName val="Flujo de Caja"/>
      <sheetName val="Resumen Evaluación"/>
      <sheetName val="Estado del Proyecto"/>
      <sheetName val="Componentes del Gasto"/>
      <sheetName val="Programación de Metas"/>
      <sheetName val="Viabilidad"/>
      <sheetName val="Listado"/>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PREACTA"/>
      <sheetName val="SEÑAL 1"/>
      <sheetName val="General"/>
      <sheetName val="Calc"/>
      <sheetName val="Pavement Data"/>
      <sheetName val="OCTUBRE"/>
      <sheetName val="AEA_944"/>
      <sheetName val="DUB_823"/>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ZNStudy"/>
      <sheetName val="CdelCOriginal"/>
      <sheetName val="CdelCNew"/>
      <sheetName val="NEW DATABASE"/>
    </sheetNames>
    <sheetDataSet>
      <sheetData sheetId="0" refreshError="1"/>
      <sheetData sheetId="1" refreshError="1"/>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ON Summary"/>
      <sheetName val="ABON Detail"/>
      <sheetName val="ABON Exclusions"/>
      <sheetName val="PREV.SHEET.LAST.PRINT"/>
      <sheetName val="Constants"/>
      <sheetName val="Macro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iseño"/>
      <sheetName val="Design"/>
      <sheetName val="cotas "/>
      <sheetName val="resumen"/>
    </sheetNames>
    <sheetDataSet>
      <sheetData sheetId="0" refreshError="1"/>
      <sheetData sheetId="1" refreshError="1"/>
      <sheetData sheetId="2" refreshError="1"/>
      <sheetData sheetId="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catoma"/>
      <sheetName val="Condución PVC"/>
      <sheetName val="Tanque"/>
      <sheetName val="PTO BOCA-COND"/>
      <sheetName val="PTO TANQ.DE ALM"/>
      <sheetName val="PTO REDES"/>
      <sheetName val="PTO REDES BA"/>
      <sheetName val="Inversión Acdto"/>
      <sheetName val="CANT OBRA "/>
      <sheetName val="APU "/>
      <sheetName val="Base de Diseño"/>
      <sheetName val="Hoja2"/>
      <sheetName val="VISC"/>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3.1(Bal Tramos)"/>
      <sheetName val="Anexo 2.1(Res tub)"/>
      <sheetName val="TABLA 3.2 Caract. tramos"/>
      <sheetName val="PARAMETROS"/>
      <sheetName val="Hoja2"/>
      <sheetName val="TABLA"/>
      <sheetName val="Base de Diseño"/>
      <sheetName val="ANTEPROYECTO"/>
      <sheetName val="CIMENTACIÓN"/>
      <sheetName val="PTO COLECTOR NORTE"/>
      <sheetName val="PTO COLECTOR SUR "/>
      <sheetName val="COLECTOR CENTRAL"/>
      <sheetName val="INTERCEPTOR"/>
      <sheetName val="REDES SECUNDARIAS"/>
      <sheetName val="PTO TOTAL"/>
      <sheetName val="Programa Mantenimi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ASSUMPTIONS"/>
      <sheetName val="INPUT_TEMP"/>
      <sheetName val="W_REV"/>
      <sheetName val="W_OPEX"/>
      <sheetName val="W_CAPEX"/>
      <sheetName val="W_FUND"/>
      <sheetName val="W_EQUITY"/>
      <sheetName val="W_TAX_DEP"/>
      <sheetName val="W_TAX"/>
      <sheetName val="NOMINAL_CF_PESO"/>
      <sheetName val="NOM_IS&amp;BS_PESO"/>
      <sheetName val="NOM_IS&amp;BS_US$"/>
      <sheetName val="NOM_CF_US$"/>
      <sheetName val="ACQUISTION COSTS"/>
      <sheetName val="REAL_CF_US$"/>
      <sheetName val="SUMMARY"/>
      <sheetName val="Presentation"/>
      <sheetName val="AllCharts"/>
      <sheetName val="Historical Exchange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 Capital Budget"/>
      <sheetName val="Sheet1"/>
      <sheetName val="REF - Listas"/>
    </sheetNames>
    <sheetDataSet>
      <sheetData sheetId="0"/>
      <sheetData sheetId="1"/>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EPENDENCIAS"/>
    </sheetNames>
    <sheetDataSet>
      <sheetData sheetId="0" refreshError="1"/>
      <sheetData sheetId="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EPENDENCIAS"/>
    </sheetNames>
    <sheetDataSet>
      <sheetData sheetId="0" refreshError="1"/>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
      <sheetName val="PERFIL_BORDE"/>
      <sheetName val="Hoja2"/>
      <sheetName val="Hoja3"/>
      <sheetName val="Hoja1"/>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sheetName val="Estandarizacion"/>
    </sheetNames>
    <sheetDataSet>
      <sheetData sheetId="0" refreshError="1"/>
      <sheetData sheetId="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Indice"/>
      <sheetName val="EV-01"/>
      <sheetName val="EV-02"/>
      <sheetName val="EV-03"/>
      <sheetName val="EV-04"/>
      <sheetName val="EV-05"/>
      <sheetName val="EV-06"/>
      <sheetName val="EV-07"/>
      <sheetName val="EV-08"/>
      <sheetName val="EV-09"/>
      <sheetName val="EV-10"/>
      <sheetName val="EV-11"/>
      <sheetName val="EV-12"/>
      <sheetName val="EV-13"/>
      <sheetName val="EV-14"/>
      <sheetName val="EV-15"/>
      <sheetName val="EV-16"/>
      <sheetName val="EV-17"/>
      <sheetName val="EV-18"/>
      <sheetName val="EV-19"/>
      <sheetName val="EV-20"/>
      <sheetName val="EV-21"/>
      <sheetName val="EV-22"/>
      <sheetName val="des_rps"/>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 val="Design"/>
      <sheetName val="Design (3)"/>
      <sheetName val="Resumen"/>
      <sheetName val="AREAS"/>
      <sheetName val="AREAS (2)"/>
      <sheetName val="Base de Diseño"/>
      <sheetName val="Design_(3)"/>
      <sheetName val="AREAS_(2)"/>
      <sheetName val="Base_de_Diseño"/>
      <sheetName val="Design_(3)2"/>
      <sheetName val="AREAS_(2)2"/>
      <sheetName val="Base_de_Diseño2"/>
      <sheetName val="Design_(3)1"/>
      <sheetName val="AREAS_(2)1"/>
      <sheetName val="Base_de_Diseñ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BASICOS"/>
      <sheetName val="deuda"/>
      <sheetName val="consumos"/>
    </sheetNames>
    <sheetDataSet>
      <sheetData sheetId="0" refreshError="1"/>
      <sheetData sheetId="1"/>
      <sheetData sheetId="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RESUMEN"/>
      <sheetName val="ITEMS"/>
      <sheetName val="AIU"/>
      <sheetName val="APU"/>
      <sheetName val="EQUIPOS"/>
      <sheetName val="TRANSPORTES"/>
      <sheetName val="MATERIALES"/>
      <sheetName val="personal"/>
      <sheetName val="SALARIOS"/>
      <sheetName val="DOTA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RIES"/>
      <sheetName val="NPV Summary All Options"/>
      <sheetName val="Capex &amp; Cost Summary"/>
      <sheetName val="Glencore Summary"/>
      <sheetName val="Cover"/>
      <sheetName val="Capex Payment Schedule"/>
      <sheetName val="GIAG Incremental NPV"/>
      <sheetName val="FENOCO Tariff Generator"/>
      <sheetName val="GIAG Incremental Tons"/>
      <sheetName val="GIAG Depreciation"/>
      <sheetName val="FENOCO Depreciation"/>
      <sheetName val="GIAG Finance Option"/>
      <sheetName val="FENOCO Finance Option"/>
      <sheetName val="SUMMARY CAPEX-OPEX"/>
      <sheetName val="DETAILED CAPEX GIAG PORT CAL"/>
      <sheetName val="DETAILED OPEX GIAG-FENO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ESEL"/>
      <sheetName val="Budget per Chapter"/>
      <sheetName val="Unit Rates Summary"/>
      <sheetName val="Budget"/>
      <sheetName val="Budget Unit Cost (detailed)"/>
      <sheetName val="DataBase"/>
      <sheetName val="Cost Codes"/>
      <sheetName val="SUPPORT INFO--------&gt;"/>
      <sheetName val="CALENT. E.E"/>
      <sheetName val="C.I. Prodeco Cost Center Matrix"/>
      <sheetName val="Cover"/>
      <sheetName val="landSufAmorINGEOMINAS"/>
      <sheetName val="CARACTERIZACION"/>
      <sheetName val="VEHICLES"/>
      <sheetName val="tyres"/>
      <sheetName val="Water Tanq"/>
      <sheetName val="gen set"/>
      <sheetName val="survey equipm"/>
      <sheetName val="Dewatering"/>
      <sheetName val="Haul Roads"/>
      <sheetName val="Sed PONDS"/>
      <sheetName val="Cranes"/>
      <sheetName val="Maintenance_Coal handling"/>
      <sheetName val="AMBIENTAL"/>
      <sheetName val="DOZER"/>
      <sheetName val="executives"/>
      <sheetName val="Mine Security 06"/>
      <sheetName val="TV"/>
      <sheetName val="fuel"/>
      <sheetName val="fuel_gerardo"/>
      <sheetName val="CONSUMOS GASOLINA_NOV"/>
      <sheetName val="CONSU_DIESEL_NOV"/>
      <sheetName val="PRODECOfuelReal"/>
      <sheetName val="ACPM POR EQUIPO PRODECO"/>
      <sheetName val="internet Acces"/>
      <sheetName val="Medical Expenses"/>
      <sheetName val="ProtectiveClothing"/>
      <sheetName val="Safety_elements"/>
      <sheetName val="Personal transport"/>
      <sheetName val="avances Suelo"/>
      <sheetName val="DEPRECIACION2005"/>
      <sheetName val="Depreciation2004"/>
      <sheetName val="food&amp;cleaning"/>
      <sheetName val="POWER"/>
      <sheetName val="LOCATIVAS"/>
      <sheetName val="Forecast"/>
      <sheetName val="GENERAL EXPENSES"/>
      <sheetName val="TRM2005"/>
      <sheetName val="PREMISAS"/>
      <sheetName val="Variable Expenses"/>
      <sheetName val="Fixed Expenses"/>
      <sheetName val="Expense Element Format"/>
      <sheetName val="RESPONSABLES"/>
      <sheetName val="CMOPWM61"/>
      <sheetName val="CMOPCM61"/>
      <sheetName val="CMOPMM61"/>
      <sheetName val="CMTSM52"/>
      <sheetName val="Directos"/>
      <sheetName val="Temporales"/>
      <sheetName val="CMOPMM50"/>
      <sheetName val="CMMAMCPB"/>
      <sheetName val="CMTESM52"/>
      <sheetName val="CMTESM54"/>
      <sheetName val="CMTESM53"/>
      <sheetName val="CMSASM55"/>
      <sheetName val="CMSASM44"/>
      <sheetName val="CMSASM70"/>
      <sheetName val="CMMASM48"/>
      <sheetName val="CMOPCM40"/>
      <sheetName val="CMADAM42"/>
      <sheetName val="CMADAHM04"/>
      <sheetName val="CMSEHM45"/>
      <sheetName val="CMSEHM67"/>
      <sheetName val="CTOPTB62"/>
      <sheetName val="CMOPSM63"/>
      <sheetName val="CMSSSM58"/>
      <sheetName val="CMSISM60"/>
      <sheetName val="CMFIHM43"/>
      <sheetName val="COST CENTER MINE"/>
      <sheetName val="Expense Element Format (2)"/>
      <sheetName val="Datos del mes"/>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GANIGRAMA"/>
      <sheetName val="FLUJO DE FONDOS"/>
      <sheetName val="CRONOGRAMA"/>
      <sheetName val="INSUMOS"/>
      <sheetName val="A.E.B"/>
      <sheetName val="PRESUPUESTO"/>
      <sheetName val="A.P.U (3)"/>
      <sheetName val="A.P.U (2)"/>
      <sheetName val="A.P.U"/>
      <sheetName val="P.S"/>
      <sheetName val="A.I.U"/>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APA 50 SMMLV"/>
      <sheetName val="PYG aptos"/>
      <sheetName val="67,15% APT Y 32,85% CASAS ACIDO"/>
      <sheetName val="PYG COMBINADO ACIDO"/>
      <sheetName val="67,15% APT Y 32,85% CASAS"/>
      <sheetName val="PYG COMBINADO"/>
      <sheetName val="FLUJO DE CAJA"/>
      <sheetName val="SUPUESTOS"/>
    </sheetNames>
    <sheetDataSet>
      <sheetData sheetId="0"/>
      <sheetData sheetId="1"/>
      <sheetData sheetId="2"/>
      <sheetData sheetId="3"/>
      <sheetData sheetId="4"/>
      <sheetData sheetId="5"/>
      <sheetData sheetId="6"/>
      <sheetData sheetId="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sheetData sheetId="4"/>
      <sheetData sheetId="5"/>
      <sheetData sheetId="6"/>
      <sheetData sheetId="7"/>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dice"/>
      <sheetName val="PR-01"/>
      <sheetName val="PR-02"/>
      <sheetName val="PR-03"/>
      <sheetName val="PR-04"/>
      <sheetName val="Control"/>
      <sheetName val="Indicadores de Ciencia"/>
      <sheetName val="Indicadores de Empleo"/>
      <sheetName val="Indicadores de Eficiencia"/>
      <sheetName val="Unidades"/>
      <sheetName val="Indicadores de Producto"/>
      <sheetName val="Indicadores de Impacto"/>
      <sheetName val="Indicadores Gestión"/>
      <sheetName val="Listado"/>
      <sheetName val="Entidades Financiadoras"/>
      <sheetName val="tipos_entidad"/>
      <sheetName val="tipo_recurso"/>
      <sheetName val="Hoja1"/>
      <sheetName val="PE-Indice"/>
      <sheetName val="PE-01"/>
      <sheetName val="PE-02"/>
      <sheetName val="PE-03"/>
      <sheetName val="PE-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General"/>
      <sheetName val="M.Med"/>
      <sheetName val="AIU"/>
      <sheetName val="Presup_Vestier"/>
      <sheetName val="1_Preliminares"/>
      <sheetName val="3_Cimentación_Est.Met"/>
      <sheetName val="5_Mamp"/>
      <sheetName val="6_Apus_Electr"/>
      <sheetName val="7_Pisos"/>
      <sheetName val="8_Cub_CM"/>
      <sheetName val="9_CMETALICA"/>
      <sheetName val="10_HS"/>
      <sheetName val="11_Enchapes"/>
      <sheetName val="12_Aparato"/>
      <sheetName val="13_PINTURA"/>
      <sheetName val="Insumos"/>
      <sheetName val="Equipo_Trans "/>
      <sheetName val="M.Ob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O"/>
      <sheetName val="MATERIAL"/>
      <sheetName val=" AdoVh"/>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INDICE"/>
      <sheetName val="Materiales"/>
      <sheetName val="Equipo"/>
      <sheetName val="Otros"/>
      <sheetName val="Densidades"/>
      <sheetName val="200.1 Descapote"/>
      <sheetName val="200.2"/>
      <sheetName val="201.7"/>
      <sheetName val="201.8"/>
      <sheetName val="201.9"/>
      <sheetName val="201.10"/>
      <sheetName val="201.11"/>
      <sheetName val="201.12"/>
      <sheetName val="201.14 (2)"/>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1"/>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comprada"/>
      <sheetName val="450.3"/>
      <sheetName val="450.3 COMPRADA"/>
      <sheetName val="450.4"/>
      <sheetName val="450.5"/>
      <sheetName val="450.6"/>
      <sheetName val="450.7"/>
      <sheetName val="450.8"/>
      <sheetName val="450.9"/>
      <sheetName val="451.1"/>
      <sheetName val="451.1 (2)"/>
      <sheetName val="451.1 COMPRADA"/>
      <sheetName val="451.2"/>
      <sheetName val="451.2 COMPRADA"/>
      <sheetName val="451.3"/>
      <sheetName val="451.3 COMPRADA "/>
      <sheetName val="451.4"/>
      <sheetName val="452.1"/>
      <sheetName val="452.1COMPRADA"/>
      <sheetName val="452.2"/>
      <sheetName val="452.2COMPRADA "/>
      <sheetName val="452.3"/>
      <sheetName val="452.3COMPRADA"/>
      <sheetName val="452.4"/>
      <sheetName val="452.4COMPRADA"/>
      <sheetName val="453,1"/>
      <sheetName val="460,1"/>
      <sheetName val="461.1"/>
      <sheetName val="461.2"/>
      <sheetName val="462.1"/>
      <sheetName val="462.2"/>
      <sheetName val="464,1"/>
      <sheetName val="464,2"/>
      <sheetName val="464,3"/>
      <sheetName val="464,4"/>
      <sheetName val="465,1"/>
      <sheetName val="466,1"/>
      <sheetName val="466,2"/>
      <sheetName val="680.2 "/>
      <sheetName val="680.3"/>
      <sheetName val="681"/>
      <sheetName val="682 "/>
      <sheetName val="690"/>
      <sheetName val="700.1 "/>
      <sheetName val="700.2 "/>
      <sheetName val="700.3"/>
      <sheetName val="700.4"/>
      <sheetName val="701"/>
      <sheetName val="710.1 "/>
      <sheetName val="710.2 "/>
      <sheetName val="710.3 "/>
      <sheetName val="710.4 "/>
      <sheetName val="710.5"/>
      <sheetName val="720.1"/>
      <sheetName val="500.1"/>
      <sheetName val="501.1"/>
      <sheetName val="510.1"/>
      <sheetName val="600.1"/>
      <sheetName val="600.2"/>
      <sheetName val="600.3"/>
      <sheetName val="600.4"/>
      <sheetName val="600.5"/>
      <sheetName val="610.1"/>
      <sheetName val="610.2"/>
      <sheetName val="620.1"/>
      <sheetName val="620.2"/>
      <sheetName val="620.3"/>
      <sheetName val="621.1"/>
      <sheetName val="621.1P7"/>
      <sheetName val="621.2"/>
      <sheetName val="621.3"/>
      <sheetName val="621.4"/>
      <sheetName val="621.5"/>
      <sheetName val="621.6"/>
      <sheetName val="622.1"/>
      <sheetName val="622.2"/>
      <sheetName val="622.3"/>
      <sheetName val="622.4"/>
      <sheetName val="622.5"/>
      <sheetName val="623.1"/>
      <sheetName val="623.2"/>
      <sheetName val="630.1"/>
      <sheetName val="630.2"/>
      <sheetName val="630.3"/>
      <sheetName val="630.4"/>
      <sheetName val="630.5"/>
      <sheetName val="630.6"/>
      <sheetName val="630.6p"/>
      <sheetName val="630.7"/>
      <sheetName val="631.1"/>
      <sheetName val="632.1"/>
      <sheetName val="640.1"/>
      <sheetName val="640.2"/>
      <sheetName val="641.1"/>
      <sheetName val="641.2"/>
      <sheetName val="642.1"/>
      <sheetName val="642.2 JUNTA JEENE"/>
      <sheetName val="650.1"/>
      <sheetName val="650.2"/>
      <sheetName val="650.3 "/>
      <sheetName val="650.4 "/>
      <sheetName val="660.1"/>
      <sheetName val="660.2 "/>
      <sheetName val="660.3 "/>
      <sheetName val="661 TIPO 1"/>
      <sheetName val="661 TIPO2 "/>
      <sheetName val="661 OTRO "/>
      <sheetName val="662.1 "/>
      <sheetName val="662.2"/>
      <sheetName val="670.1"/>
      <sheetName val="670.2 "/>
      <sheetName val="671.1"/>
      <sheetName val="671.2 "/>
      <sheetName val="672.1"/>
      <sheetName val="673.1 "/>
      <sheetName val="673.2 "/>
      <sheetName val="673.2p"/>
      <sheetName val="673.3"/>
      <sheetName val="674.1"/>
      <sheetName val="674.2"/>
      <sheetName val="680.1 "/>
      <sheetName val="730.1"/>
      <sheetName val="730.2"/>
      <sheetName val="730.3"/>
      <sheetName val="731.1 "/>
      <sheetName val="740.1"/>
      <sheetName val="741.1P1 "/>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812.1"/>
      <sheetName val="900.1"/>
      <sheetName val="900.2"/>
      <sheetName val="900.3"/>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precios"/>
      <sheetName val="Detalle de fajas"/>
      <sheetName val="detalle x banda"/>
      <sheetName val="resumen"/>
      <sheetName val="VAR"/>
      <sheetName val="desglose"/>
      <sheetName val="Datos de entrada fajas"/>
      <sheetName val="Indices y medidas"/>
      <sheetName val="base precios"/>
      <sheetName val="indice-fabr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ed"/>
      <sheetName val="AIU"/>
      <sheetName val="Presup_Aulas"/>
      <sheetName val="Apus_Preliminares"/>
      <sheetName val="02_Cimentación_Est.Met"/>
      <sheetName val="03_Mamp"/>
      <sheetName val="04_Electrico"/>
      <sheetName val="05_Pisos"/>
      <sheetName val="7_Car.Madera"/>
      <sheetName val="08_Cub_CM"/>
      <sheetName val="Apus_Pintura"/>
      <sheetName val="Insumos"/>
      <sheetName val="Equipo_Trans "/>
      <sheetName val="M.Ob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esglose"/>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ateriales"/>
      <sheetName val="Equipo"/>
      <sheetName val="Otros"/>
      <sheetName val="localizacion (estructuras)"/>
      <sheetName val="localizacion (carreteras)"/>
      <sheetName val="200.1"/>
      <sheetName val="200.2"/>
      <sheetName val="200P ROCERIA"/>
      <sheetName val="201.P y 201.5P"/>
      <sheetName val="201.2 Pciclopeo"/>
      <sheetName val="201.2.1P reforzado"/>
      <sheetName val="201.3"/>
      <sheetName val="201.4"/>
      <sheetName val="201.7"/>
      <sheetName val="201.8"/>
      <sheetName val="201.8P"/>
      <sheetName val="201.11"/>
      <sheetName val="201.12"/>
      <sheetName val="201.13 y 201.17"/>
      <sheetName val="201.16"/>
      <sheetName val="201.14"/>
      <sheetName val="201.15"/>
      <sheetName val="201.21"/>
      <sheetName val="210.1.1"/>
      <sheetName val="210.1.2"/>
      <sheetName val="210.2.1"/>
      <sheetName val="210.2.1P"/>
      <sheetName val="210.2.2"/>
      <sheetName val="210.2.4"/>
      <sheetName val="211.1"/>
      <sheetName val="220.1"/>
      <sheetName val="221.1"/>
      <sheetName val="221.2"/>
      <sheetName val="225P"/>
      <sheetName val="230.1"/>
      <sheetName val="230.2"/>
      <sheetName val="231.1"/>
      <sheetName val="232.1"/>
      <sheetName val="310.1"/>
      <sheetName val="311.1"/>
      <sheetName val="311.1 Via 9003"/>
      <sheetName val="311.1P"/>
      <sheetName val="311.2P"/>
      <sheetName val="311.3P"/>
      <sheetName val="320.1"/>
      <sheetName val="320.1Via 9003"/>
      <sheetName val="320.1Via 9004"/>
      <sheetName val="320.1Via 7801"/>
      <sheetName val="320.2"/>
      <sheetName val="320.2 Via 9003"/>
      <sheetName val="320.2 Via 9004"/>
      <sheetName val="320.2 Via 7801"/>
      <sheetName val="330.1"/>
      <sheetName val="330.1 Vía 9003"/>
      <sheetName val="330.1 Vía 9004"/>
      <sheetName val="330.1 Vía 7801"/>
      <sheetName val="330.2"/>
      <sheetName val="330.2 Vía 9003"/>
      <sheetName val="330.2 Vía 9004"/>
      <sheetName val="330.2 Via 7801"/>
      <sheetName val="330.1P"/>
      <sheetName val="330.1P Lorica- Coveñas"/>
      <sheetName val="330.1P (7801)"/>
      <sheetName val="340.1"/>
      <sheetName val="340.2"/>
      <sheetName val="340.3"/>
      <sheetName val="341.1"/>
      <sheetName val="341.2"/>
      <sheetName val="342P"/>
      <sheetName val="410.1"/>
      <sheetName val="410.2"/>
      <sheetName val="411.1"/>
      <sheetName val="411.2"/>
      <sheetName val="411.3"/>
      <sheetName val="414.1"/>
      <sheetName val="414.2"/>
      <sheetName val="414.3"/>
      <sheetName val="414.4"/>
      <sheetName val="415"/>
      <sheetName val="420.1"/>
      <sheetName val="420.2"/>
      <sheetName val="421.1"/>
      <sheetName val="421.2"/>
      <sheetName val="421.3"/>
      <sheetName val="421.4"/>
      <sheetName val="430.1"/>
      <sheetName val="430.2"/>
      <sheetName val="431.1"/>
      <sheetName val="431.2"/>
      <sheetName val="432.1"/>
      <sheetName val="433.1"/>
      <sheetName val="433.2"/>
      <sheetName val="433.3"/>
      <sheetName val="433.4"/>
      <sheetName val="433.5"/>
      <sheetName val="433.6"/>
      <sheetName val="433.7"/>
      <sheetName val="433.8"/>
      <sheetName val="440.1"/>
      <sheetName val="440.1 COMPRADA"/>
      <sheetName val="440.2"/>
      <sheetName val="440.2 COMPRADA"/>
      <sheetName val="440.3"/>
      <sheetName val="440.3 COMPRADA"/>
      <sheetName val="440.4"/>
      <sheetName val="441.1"/>
      <sheetName val="441.1 COMPRADA"/>
      <sheetName val="441.2"/>
      <sheetName val="441.2 COMPRADA"/>
      <sheetName val="441.3"/>
      <sheetName val="441.3 COMPRADA"/>
      <sheetName val="441.4"/>
      <sheetName val="450.1"/>
      <sheetName val="450.1P COMPRADA"/>
      <sheetName val="450.1P COMPRADA Via 9003"/>
      <sheetName val="450.1P COMPRADA Via 9004"/>
      <sheetName val="450.1P COMPRADA Via 7801"/>
      <sheetName val="450.2"/>
      <sheetName val="450.2P COMPRADA"/>
      <sheetName val="450.2P COMPRADA Vía 9003"/>
      <sheetName val="450.2P COMPRADA Vía 9004"/>
      <sheetName val="450.2P COMPRADA Vía 7801"/>
      <sheetName val="450.3"/>
      <sheetName val="450.3P COMPRADA"/>
      <sheetName val="450.9 "/>
      <sheetName val="450.9P  "/>
      <sheetName val="450.9 Via 9003"/>
      <sheetName val="450.9 Via 9004"/>
      <sheetName val="450.9 Via 7801"/>
      <sheetName val="451.1"/>
      <sheetName val="451. 1 COMPRADA "/>
      <sheetName val="451.2"/>
      <sheetName val="451. 2 COMPRADA"/>
      <sheetName val="451.3"/>
      <sheetName val="451.3 COMPRADA"/>
      <sheetName val="452.1"/>
      <sheetName val="452.1 COMPRADA"/>
      <sheetName val="452.2"/>
      <sheetName val="452.2 COMPRADA"/>
      <sheetName val="452.3"/>
      <sheetName val="452.3 COMPRADA"/>
      <sheetName val="452.4"/>
      <sheetName val="452.4 COMPRADA"/>
      <sheetName val="453"/>
      <sheetName val="460.1"/>
      <sheetName val="460.1P"/>
      <sheetName val="460.1P.1"/>
      <sheetName val="461.1"/>
      <sheetName val="461.2"/>
      <sheetName val="462.1.1"/>
      <sheetName val="462.1.2"/>
      <sheetName val="462.1.3"/>
      <sheetName val="462.1.4"/>
      <sheetName val="462.2"/>
      <sheetName val="464.1"/>
      <sheetName val="465.1"/>
      <sheetName val="466.1"/>
      <sheetName val="466.2"/>
      <sheetName val="466P Sello de Grietas"/>
      <sheetName val="500.1"/>
      <sheetName val="501.1"/>
      <sheetName val="510"/>
      <sheetName val="510P1"/>
      <sheetName val="510P2"/>
      <sheetName val="510P3"/>
      <sheetName val="600.1"/>
      <sheetName val="600.2"/>
      <sheetName val="600.3"/>
      <sheetName val="600.4"/>
      <sheetName val="600.4 P"/>
      <sheetName val="600.5"/>
      <sheetName val="600.5 P"/>
      <sheetName val="610.1"/>
      <sheetName val="610.1P"/>
      <sheetName val="610.1 Vía 9003"/>
      <sheetName val="610.1 Vía 9004"/>
      <sheetName val="610.1 Vía 7801"/>
      <sheetName val="610.2"/>
      <sheetName val="610.2 Vía 9003"/>
      <sheetName val="610.2 Vía 9004"/>
      <sheetName val="610.2 Vía 7801"/>
      <sheetName val="620.1"/>
      <sheetName val="620.2"/>
      <sheetName val="620.3"/>
      <sheetName val="620P"/>
      <sheetName val="621.1"/>
      <sheetName val="621.1 (2)"/>
      <sheetName val="621.1 (3)"/>
      <sheetName val="621.2"/>
      <sheetName val="621.3"/>
      <sheetName val="621.4"/>
      <sheetName val="621.5"/>
      <sheetName val="621.5P"/>
      <sheetName val="621.6"/>
      <sheetName val="621,7"/>
      <sheetName val="622.1"/>
      <sheetName val="622.2"/>
      <sheetName val="622.3"/>
      <sheetName val="622.4"/>
      <sheetName val="622.5"/>
      <sheetName val="623.1"/>
      <sheetName val="630.1"/>
      <sheetName val="630.1 Vía 9003"/>
      <sheetName val="630.1 Vía 9004"/>
      <sheetName val="630.1 Vía 7801"/>
      <sheetName val="630.2"/>
      <sheetName val="630.2 Vía 9003"/>
      <sheetName val="630.2 Vía 9004"/>
      <sheetName val="630.2 Vía 7801"/>
      <sheetName val="630.3"/>
      <sheetName val="630.3 Vía 9003"/>
      <sheetName val="630.3 Vía 9004"/>
      <sheetName val="630.3 Vía 7801"/>
      <sheetName val="630.4"/>
      <sheetName val="630.4 Vía 9003"/>
      <sheetName val="630.4 Vía 9004"/>
      <sheetName val="630.4 Vía 7801"/>
      <sheetName val="630.5"/>
      <sheetName val="630.5 Vía 9003"/>
      <sheetName val="630.5 Vía 9004"/>
      <sheetName val="630.5 Vía 7801"/>
      <sheetName val="630.6"/>
      <sheetName val="630.6 Vía 9003"/>
      <sheetName val="630.6 Vía 9004"/>
      <sheetName val="630.6 Vía 7801"/>
      <sheetName val="630.7"/>
      <sheetName val="630.7 Vía 9003"/>
      <sheetName val="630.7 Vía 9004"/>
      <sheetName val="630.7 Vía 7801"/>
      <sheetName val="630.1.1P"/>
      <sheetName val="630.1.1P MORTERO 1,3"/>
      <sheetName val="630.1.2P. BOLSACRETOS"/>
      <sheetName val="630.1.3P Mortero sello de griet"/>
      <sheetName val="630.1.4P Mortero Revest. Alcant"/>
      <sheetName val="630.1.5P Mortero epoxico"/>
      <sheetName val="630.1.6 P Mortero Anillar Tub"/>
      <sheetName val="632.1"/>
      <sheetName val="632.1P "/>
      <sheetName val="632.2P"/>
      <sheetName val="632.3P"/>
      <sheetName val="632.4P"/>
      <sheetName val="640.1"/>
      <sheetName val="640.1 Via 9003"/>
      <sheetName val="640.1 Via 9004"/>
      <sheetName val="640.1 Via 7801"/>
      <sheetName val="640.1.1"/>
      <sheetName val="640.1.1 Via 9003"/>
      <sheetName val="640.1.1 Via 9004"/>
      <sheetName val="640.1.1 Via 7801"/>
      <sheetName val="640.1.2"/>
      <sheetName val="640.1.2 Via 9003"/>
      <sheetName val="640.1.2 Via 9004"/>
      <sheetName val="640.1.2 Via 7801"/>
      <sheetName val="641.1"/>
      <sheetName val="642.1"/>
      <sheetName val="642.2"/>
      <sheetName val="642P1 JUNTAS"/>
      <sheetName val="642P2 JUNTAS"/>
      <sheetName val="642P3 JUNTAS"/>
      <sheetName val="650.1"/>
      <sheetName val="650.2"/>
      <sheetName val="650.3"/>
      <sheetName val="650.3P"/>
      <sheetName val="650.4"/>
      <sheetName val="660.1"/>
      <sheetName val="660.2"/>
      <sheetName val="660.3"/>
      <sheetName val="661.1 TIPO 1"/>
      <sheetName val="661.1.1 TIPO 2"/>
      <sheetName val="661.1.2 En obra"/>
      <sheetName val="662.1"/>
      <sheetName val="662.2"/>
      <sheetName val="670.1"/>
      <sheetName val="670.2"/>
      <sheetName val="671.1"/>
      <sheetName val="672.1"/>
      <sheetName val="672.2"/>
      <sheetName val="673.1"/>
      <sheetName val="673.1 Vía 9003"/>
      <sheetName val="673.1 Vía 9004"/>
      <sheetName val="673.1 Vía 7801"/>
      <sheetName val="673.2"/>
      <sheetName val="673.3"/>
      <sheetName val="674.1"/>
      <sheetName val="680.1"/>
      <sheetName val="680.2"/>
      <sheetName val="680.3"/>
      <sheetName val="680P"/>
      <sheetName val="680.1P"/>
      <sheetName val="681.1"/>
      <sheetName val="681.1 Vía 9003"/>
      <sheetName val="681.1 Vía 9004"/>
      <sheetName val="681.1 Vía 7801"/>
      <sheetName val="681.1P"/>
      <sheetName val="681.2P"/>
      <sheetName val="682.1"/>
      <sheetName val="700.1"/>
      <sheetName val="700.2"/>
      <sheetName val="700.3"/>
      <sheetName val="700.4"/>
      <sheetName val="700.5P"/>
      <sheetName val="700.6P"/>
      <sheetName val="701.1"/>
      <sheetName val="710.1"/>
      <sheetName val="710.1.1"/>
      <sheetName val="710.1.2"/>
      <sheetName val="710.1.3"/>
      <sheetName val="710.2"/>
      <sheetName val="710.2.1"/>
      <sheetName val="720.1"/>
      <sheetName val="730.1"/>
      <sheetName val="730.2"/>
      <sheetName val="740.1"/>
      <sheetName val="800.1"/>
      <sheetName val="800.2"/>
      <sheetName val="800.3"/>
      <sheetName val="800.4"/>
      <sheetName val="800P"/>
      <sheetName val="810.1"/>
      <sheetName val="810.1P"/>
      <sheetName val="810.2"/>
      <sheetName val="810.3"/>
      <sheetName val="815P"/>
      <sheetName val="900.1"/>
      <sheetName val="900.2"/>
      <sheetName val="900.3"/>
      <sheetName val="900.4P"/>
      <sheetName val="690 Mampostería en piedra"/>
      <sheetName val="Tub RIB1,40 (2)"/>
      <sheetName val="692.1P PINTURA ACABADO "/>
      <sheetName val="693.1P EPOXIAMIDA"/>
      <sheetName val="694.1P EPOXIPOLIAMIDA"/>
      <sheetName val="695P CHORRO ARENA"/>
      <sheetName val="695.1P"/>
      <sheetName val="675.1"/>
      <sheetName val="2-P"/>
      <sheetName val="675.2"/>
      <sheetName val="675.3"/>
      <sheetName val="682P"/>
      <sheetName val="810.2P Con semillas"/>
      <sheetName val="2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_Database Pate In"/>
      <sheetName val="Database Acces"/>
      <sheetName val="Sheet2"/>
      <sheetName val="Hoja3"/>
      <sheetName val="Forecast"/>
      <sheetName val="2008 Database"/>
      <sheetName val="Report CCS"/>
      <sheetName val="Report - Cash Flow"/>
      <sheetName val="Glencore report"/>
      <sheetName val="afe status summary"/>
      <sheetName val="Spent to date"/>
      <sheetName val="Calenturitas - CAPITAL 2007"/>
      <sheetName val="Hoja1"/>
      <sheetName val="La Jagua - CAPITAL  2007"/>
      <sheetName val="JAG Total Cap"/>
      <sheetName val="JAG Other Cap"/>
      <sheetName val="CAL Total Cap"/>
      <sheetName val="CAL Other Cap"/>
      <sheetName val="Sheet1"/>
      <sheetName val="Report - CCS not used"/>
      <sheetName val="La Jagua - CAPITAL 2008"/>
      <sheetName val="REF - 2007 Database"/>
      <sheetName val="REF - Listas"/>
      <sheetName val="REF - Notas"/>
      <sheetName val="REF - Access Fee"/>
      <sheetName val="REF - 2004 thru 2006 Database"/>
      <sheetName val="REF - CASH FLOW FEB 19 07"/>
      <sheetName val="REF - Capex in Models"/>
      <sheetName val="Paste in Cash Flow (2)"/>
      <sheetName val="Paste in Cash Flow"/>
      <sheetName val="REF - 2008 budget cash flow"/>
      <sheetName val="Hoja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TO"/>
      <sheetName val="LA UNION"/>
      <sheetName val="SAN PABLO"/>
      <sheetName val="PACIFICO"/>
      <sheetName val="OCCIDENTE"/>
      <sheetName val="MODELO 1"/>
      <sheetName val="MODELO 2"/>
      <sheetName val="MODELO 3"/>
      <sheetName val="MODELO 4"/>
      <sheetName val="BASE"/>
      <sheetName val="REPORTE"/>
      <sheetName val="REPORTE (2)"/>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sheetData sheetId="10" refreshError="1"/>
      <sheetData sheetId="1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LUVIAS"/>
      <sheetName val="DIMENSIONADO"/>
      <sheetName val="CIMENTACIÓN"/>
      <sheetName val="TABLAS"/>
      <sheetName val="NUEVO"/>
      <sheetName val="INSERTAR"/>
      <sheetName val="ELIMINAR"/>
      <sheetName val="Sombrear"/>
      <sheetName val="No sombr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Indice"/>
      <sheetName val="EV-23"/>
      <sheetName val="EV-24"/>
      <sheetName val="EV-25"/>
      <sheetName val="EV-26"/>
      <sheetName val="EV-27"/>
      <sheetName val="EV-28"/>
      <sheetName val="Guias_Sectoriales"/>
      <sheetName val="Listado"/>
      <sheetName val="Alternativas"/>
      <sheetName val="proces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Material"/>
      <sheetName val="Estructuras"/>
      <sheetName val="ResumenMaterial"/>
      <sheetName val="Análisis Unit"/>
      <sheetName val="Hoja1"/>
      <sheetName val="CUMPLIMIENTO"/>
    </sheetNames>
    <sheetDataSet>
      <sheetData sheetId="0"/>
      <sheetData sheetId="1" refreshError="1"/>
      <sheetData sheetId="2"/>
      <sheetData sheetId="3"/>
      <sheetData sheetId="4" refreshError="1"/>
      <sheetData sheetId="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Corregido (2)"/>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efreshError="1"/>
      <sheetData sheetId="2"/>
      <sheetData sheetId="3"/>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FACTOR PRESTACIONAL 2012"/>
      <sheetName val="RES 747 TARIFAS PROF."/>
      <sheetName val="SALARIO CELADOR 2012"/>
      <sheetName val="TARIFAS REGISTRO DISTRITAL 2012"/>
      <sheetName val="COSTOS OFICINA"/>
      <sheetName val="Media M2 oficina 2012"/>
      <sheetName val="COSTOS CAMPAMENTO"/>
    </sheetNames>
    <sheetDataSet>
      <sheetData sheetId="0" refreshError="1"/>
      <sheetData sheetId="1" refreshError="1"/>
      <sheetData sheetId="2" refreshError="1"/>
      <sheetData sheetId="3" refreshError="1"/>
      <sheetData sheetId="4" refreshError="1"/>
      <sheetData sheetId="5"/>
      <sheetData sheetId="6" refreshError="1"/>
      <sheetData sheetId="7"/>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FACTOR PRESTACIONAL 2012"/>
      <sheetName val="RES 747 TARIFAS PROF."/>
      <sheetName val="SALARIO CELADOR 2012"/>
      <sheetName val="TARIFAS REGISTRO DISTRITAL 2012"/>
      <sheetName val="COSTOS OFICINA"/>
      <sheetName val="Media M2 oficina 2012"/>
      <sheetName val="COSTOS CAMPAMENTO"/>
    </sheetNames>
    <sheetDataSet>
      <sheetData sheetId="0" refreshError="1"/>
      <sheetData sheetId="1" refreshError="1"/>
      <sheetData sheetId="2" refreshError="1"/>
      <sheetData sheetId="3" refreshError="1"/>
      <sheetData sheetId="4" refreshError="1"/>
      <sheetData sheetId="5"/>
      <sheetData sheetId="6" refreshError="1"/>
      <sheetData sheetId="7"/>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nalysis"/>
      <sheetName val="Structure"/>
      <sheetName val="Summary"/>
      <sheetName val="Parameters"/>
      <sheetName val="Financial"/>
      <sheetName val="Depreciation"/>
      <sheetName val="Capital"/>
      <sheetName val="Fuel"/>
      <sheetName val="Mining &amp; quality"/>
      <sheetName val="Cost analysis"/>
      <sheetName val="2008 Fuel"/>
      <sheetName val="summary fuel consumpt &amp; volumen"/>
      <sheetName val="comparativo de precios"/>
      <sheetName val="Depreciation No Ley Minera"/>
      <sheetName val="Depreciation Ley Minera"/>
      <sheetName val="PO No 1"/>
      <sheetName val="2008 Purchases"/>
      <sheetName val="EQUIP PARAMETERS OCT 17"/>
      <sheetName val="2009 Eqpm"/>
      <sheetName val="TARIF2002"/>
    </sheetNames>
    <sheetDataSet>
      <sheetData sheetId="0" refreshError="1"/>
      <sheetData sheetId="1" refreshError="1"/>
      <sheetData sheetId="2" refreshError="1"/>
      <sheetData sheetId="3"/>
      <sheetData sheetId="4"/>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precios"/>
      <sheetName val="Remo. derr."/>
      <sheetName val="Limp. mec. Alcant."/>
      <sheetName val="COSTOS OFICINA"/>
      <sheetName val="COSTOS CAMPAMENTO"/>
      <sheetName val="Res-Accide-10"/>
    </sheetNames>
    <sheetDataSet>
      <sheetData sheetId="0"/>
      <sheetData sheetId="1"/>
      <sheetData sheetId="2"/>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8"/>
      <sheetName val="2.009"/>
      <sheetName val="2.010"/>
      <sheetName val="2.011"/>
      <sheetName val="Produccion"/>
      <sheetName val="Gastos"/>
      <sheetName val="Dólar"/>
      <sheetName val="Activos"/>
      <sheetName val="Valoracion"/>
      <sheetName val="Módulo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ProjectParameters"/>
      <sheetName val="NPV"/>
      <sheetName val="EconParaRevenue"/>
      <sheetName val="CostSumm"/>
      <sheetName val="EconomicGraphs"/>
      <sheetName val="QuantityGraphs"/>
      <sheetName val="Sensitivities"/>
      <sheetName val="Deprec_Constant"/>
      <sheetName val="Deprec_Real"/>
      <sheetName val="CoalStocks_WkgCap"/>
      <sheetName val="TotalCap"/>
      <sheetName val="OtherCap"/>
      <sheetName val="OC_ReplCap"/>
      <sheetName val="OC_Repl"/>
      <sheetName val="OC_InitCap"/>
      <sheetName val="OC_Init"/>
      <sheetName val="UG_ReplCap"/>
      <sheetName val="UG_Repl"/>
      <sheetName val="UG_InitCap"/>
      <sheetName val="UG_Init"/>
      <sheetName val="ConstNomOpCost"/>
      <sheetName val="TotalOpCosts"/>
      <sheetName val="OffsiteAdminCHPP"/>
      <sheetName val="TotalLabCosts"/>
      <sheetName val="TotalLabNos"/>
      <sheetName val="OC_TotalOpCosts"/>
      <sheetName val="OC_OtherOpCosts"/>
      <sheetName val="ContractorOpCosts"/>
      <sheetName val="OC_Blasting"/>
      <sheetName val="OC_TotalLabCosts"/>
      <sheetName val="OC_EquipOpCosts"/>
      <sheetName val="OC_MtceLabCost"/>
      <sheetName val="OC_OpLabCost"/>
      <sheetName val="OC_MtceLabNos"/>
      <sheetName val="OC_OpLabNos"/>
      <sheetName val="OC_LeaseCost"/>
      <sheetName val="OC_ContractMaint"/>
      <sheetName val="OC_R&amp;MCost"/>
      <sheetName val="Paste_In_MARC"/>
      <sheetName val="OC_GETCost"/>
      <sheetName val="OC_LubeCost"/>
      <sheetName val="OC_TyreCost"/>
      <sheetName val="OC_FuelCost"/>
      <sheetName val="OC_PowerCost"/>
      <sheetName val="OC_FleetOpHrs"/>
      <sheetName val="OC_Roster"/>
      <sheetName val="OC_Fleet"/>
      <sheetName val="UG_TotalOpCosts"/>
      <sheetName val="UG_OtherUnitCosts"/>
      <sheetName val="UG_TotalLabour"/>
      <sheetName val="UG_LabCosts"/>
      <sheetName val="UG_LabNos"/>
      <sheetName val="UG_Fleet"/>
      <sheetName val="UG_EquipData"/>
      <sheetName val="UG_SchedulePasteIn"/>
      <sheetName val="OC_EquipData"/>
      <sheetName val="LabourHours"/>
      <sheetName val="EquipHours"/>
      <sheetName val="ScheduleSummary"/>
      <sheetName val="resTimeLine"/>
      <sheetName val="ReadMe"/>
      <sheetName val="CheckList"/>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Parámetros"/>
      <sheetName val="CálculoTarifasMR"/>
      <sheetName val="CostosMR"/>
      <sheetName val="CálculoTarifasMNR"/>
      <sheetName val="Tarifas"/>
      <sheetName val="Aplicación Tarifas GN"/>
      <sheetName val="Aplicación Tarifas GLP"/>
      <sheetName val="Gas200603"/>
      <sheetName val="CostosGas200603"/>
      <sheetName val="Cuenta típica MR"/>
      <sheetName val="Datos cuenta tipica"/>
      <sheetName val="comparacion energéticos residen"/>
      <sheetName val="Precios energeticos no resid"/>
      <sheetName val="Selección"/>
      <sheetName val="Análisis de precios"/>
      <sheetName val="COSTOS OFICINA"/>
      <sheetName val="COSTOS CAMP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 OBRA"/>
      <sheetName val="CUADRO RESUM"/>
      <sheetName val="CUADRO RESUM FALTANTE"/>
    </sheetNames>
    <sheetDataSet>
      <sheetData sheetId="0"/>
      <sheetData sheetId="1" refreshError="1"/>
      <sheetData sheetId="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 REGIONES"/>
      <sheetName val="PRESUPUESTO DETALLADO"/>
      <sheetName val="PRESUPUESTO BASE POLIDEPORTIVO"/>
      <sheetName val="AHORROS"/>
      <sheetName val="días habiles 2015"/>
      <sheetName val="MANTENIMIENTO y OPERACIÓN"/>
      <sheetName val="PRESUPUESTO DE E&amp;D"/>
      <sheetName val="CálculoTarifasM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Control"/>
      <sheetName val="New Acc Trans"/>
      <sheetName val="invoice control"/>
      <sheetName val=" mts drilled &amp; invoices"/>
      <sheetName val="details for unit price"/>
      <sheetName val="summary unit price"/>
      <sheetName val="for accounting"/>
      <sheetName val="cost codes"/>
      <sheetName val="Sheet1"/>
      <sheetName val="PEG Budget"/>
      <sheetName val="cost control"/>
      <sheetName val="cost control Extended"/>
      <sheetName val="LT contract"/>
      <sheetName val="Servipozos Contract"/>
      <sheetName val="Initial Budget Sector C"/>
      <sheetName val="for MBGs stage 1"/>
      <sheetName val="for MBGs stage 2"/>
      <sheetName val="for MBGs PEG"/>
      <sheetName val="for MBGs ALL"/>
      <sheetName val="core shed and century"/>
      <sheetName val="Peg Budget June 2000"/>
      <sheetName val="PEG cash flow"/>
      <sheetName val="EquipData"/>
      <sheetName val="Tit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VALOR"/>
      <sheetName val="Datos"/>
      <sheetName val="Resumen"/>
      <sheetName val="Cronograma y Flujo de Fondos"/>
      <sheetName val="Discriminación Presupuesto"/>
      <sheetName val="PRESUPUESTO GENERAL SEGÚN MGA"/>
      <sheetName val="MPMA"/>
      <sheetName val="Presupesto Interventoría"/>
      <sheetName val="Gerencia Proyecto"/>
      <sheetName val="APU_PGS"/>
      <sheetName val="Gestion Social"/>
      <sheetName val="Fiducia"/>
      <sheetName val="Factor Multiplicador"/>
      <sheetName val="Factor Prestacional"/>
      <sheetName val="Gastos de Legalización"/>
      <sheetName val="Mano de Obra"/>
      <sheetName val="Presupuesto General"/>
      <sheetName val="Análisis AIU"/>
      <sheetName val="1.1"/>
      <sheetName val="2.1"/>
      <sheetName val="2.2"/>
      <sheetName val="2.3"/>
      <sheetName val="2.4"/>
      <sheetName val="2.5"/>
      <sheetName val="2.6"/>
      <sheetName val="2.7"/>
      <sheetName val="2.8"/>
      <sheetName val="3.1"/>
      <sheetName val="3.2"/>
      <sheetName val="4.1"/>
      <sheetName val="5.1"/>
      <sheetName val="Materiales"/>
      <sheetName val="Rendimiento"/>
      <sheetName val="Transporte"/>
      <sheetName val="Equipos"/>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sheetData sheetId="12"/>
      <sheetData sheetId="13" refreshError="1"/>
      <sheetData sheetId="14" refreshError="1"/>
      <sheetData sheetId="15"/>
      <sheetData sheetId="16"/>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VALOR"/>
      <sheetName val="Datos"/>
      <sheetName val="Resumen"/>
      <sheetName val="Cronograma y Flujo de Fondos"/>
      <sheetName val="Discriminación Presupuesto"/>
      <sheetName val="PRESUPUESTO GENERAL SEGÚN MGA"/>
      <sheetName val="MPMA"/>
      <sheetName val="Presupesto Interventoría"/>
      <sheetName val="Gerencia Proyecto"/>
      <sheetName val="APU_PGS"/>
      <sheetName val="Gestion Social"/>
      <sheetName val="Fiducia"/>
      <sheetName val="Factor Multiplicador"/>
      <sheetName val="Factor Prestacional"/>
      <sheetName val="Gastos de Legalización"/>
      <sheetName val="Mano de Obra"/>
      <sheetName val="Presupuesto General"/>
      <sheetName val="Análisis AIU"/>
      <sheetName val="1.1"/>
      <sheetName val="2.1"/>
      <sheetName val="2.2"/>
      <sheetName val="2.3"/>
      <sheetName val="2.4"/>
      <sheetName val="2.5"/>
      <sheetName val="2.6"/>
      <sheetName val="2.7"/>
      <sheetName val="2.8"/>
      <sheetName val="3.1"/>
      <sheetName val="3.2"/>
      <sheetName val="4.1"/>
      <sheetName val="5.1"/>
      <sheetName val="Materiales"/>
      <sheetName val="Rendimiento"/>
      <sheetName val="Transporte"/>
      <sheetName val="Equipos"/>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sheetData sheetId="12"/>
      <sheetData sheetId="13" refreshError="1"/>
      <sheetData sheetId="14" refreshError="1"/>
      <sheetData sheetId="15"/>
      <sheetData sheetId="16"/>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 Stats"/>
      <sheetName val="Notes"/>
      <sheetName val="Rosters MA UA"/>
      <sheetName val="Inputs"/>
      <sheetName val="Bige"/>
      <sheetName val="Fixed Plant"/>
      <sheetName val="MineMaintenance"/>
      <sheetName val="Fixed Plant Maintenance"/>
      <sheetName val="Template Feed Posting"/>
      <sheetName val="Fixed Plant Consumables"/>
      <sheetName val="Machine Requirements Summary"/>
      <sheetName val="Loading Type 1 - hours"/>
      <sheetName val="Loading Type 2 - hours"/>
      <sheetName val="Loading Type 3 - hours"/>
      <sheetName val="Ancillary Hours"/>
      <sheetName val="Drill&amp;Blast"/>
      <sheetName val="Ancillary Fleet CapRep"/>
      <sheetName val="Truck Fleet CapRep"/>
      <sheetName val="Capital Replacement Summary"/>
      <sheetName val="Discount Analysis (2)"/>
      <sheetName val="cost codes"/>
    </sheetNames>
    <sheetDataSet>
      <sheetData sheetId="0"/>
      <sheetData sheetId="1" refreshError="1"/>
      <sheetData sheetId="2"/>
      <sheetData sheetId="3"/>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Notes"/>
      <sheetName val="Parameters"/>
      <sheetName val="InitFleet"/>
      <sheetName val="ReplFleet"/>
      <sheetName val="PASTE IN REP"/>
      <sheetName val="Paste In Op Hrs"/>
      <sheetName val="FleetOpHrs"/>
      <sheetName val="Paste in Fleet Nos"/>
      <sheetName val="Fleet"/>
      <sheetName val="MARC_Rates"/>
      <sheetName val="EquipData"/>
      <sheetName val="Fixed Plant"/>
      <sheetName val="Inputs"/>
      <sheetName val="Fixed Plant Maintenance"/>
    </sheetNames>
    <sheetDataSet>
      <sheetData sheetId="0"/>
      <sheetData sheetId="1"/>
      <sheetData sheetId="2" refreshError="1"/>
      <sheetData sheetId="3"/>
      <sheetData sheetId="4"/>
      <sheetData sheetId="5"/>
      <sheetData sheetId="6"/>
      <sheetData sheetId="7"/>
      <sheetData sheetId="8"/>
      <sheetData sheetId="9" refreshError="1"/>
      <sheetData sheetId="10"/>
      <sheetData sheetId="11"/>
      <sheetData sheetId="12" refreshError="1"/>
      <sheetData sheetId="13" refreshError="1"/>
      <sheetData sheetId="1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yor Worksheet (MAP)"/>
      <sheetName val="Conveyor Worksheet (STX)"/>
      <sheetName val="Gundlach Crusher Worksheet"/>
      <sheetName val="McLahanan FB Worksheet"/>
      <sheetName val="Sterns Magnet Worksheet"/>
      <sheetName val="Ramsey Belt Scale"/>
      <sheetName val="Actual Data (MAP)"/>
      <sheetName val="Actual Data (STX)"/>
      <sheetName val="Aruba Maintenance Budget"/>
      <sheetName val="CDC-001"/>
      <sheetName val="SFC-002"/>
      <sheetName val="SSC-003"/>
      <sheetName val="RC-004"/>
      <sheetName val="STC-005"/>
      <sheetName val="SLC-006"/>
      <sheetName val="SLC-007"/>
      <sheetName val="SLC-008"/>
      <sheetName val="SLC-009"/>
      <sheetName val="Existing 1"/>
      <sheetName val="Existing 2"/>
      <sheetName val="días habiles 2015"/>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Individual"/>
      <sheetName val="Datos de Entrada"/>
      <sheetName val="Mat"/>
      <sheetName val="MO"/>
      <sheetName val="Ac. Monof"/>
      <sheetName val="Ac Trifas"/>
      <sheetName val="Bandejas y Canaletas"/>
      <sheetName val="Cables"/>
      <sheetName val="Redes Exteriores"/>
      <sheetName val="Salidas PVC"/>
      <sheetName val="Salidas EMT"/>
      <sheetName val="Tuberías"/>
      <sheetName val="Tableros Y Cajas"/>
      <sheetName val="Voz y 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E-MOER Register"/>
      <sheetName val="Hoja1"/>
      <sheetName val="LISTS-FOR INTERNAL USE ONLY"/>
      <sheetName val="Fleet"/>
      <sheetName val="Parameters"/>
    </sheetNames>
    <sheetDataSet>
      <sheetData sheetId="0" refreshError="1"/>
      <sheetData sheetId="1" refreshError="1"/>
      <sheetData sheetId="2" refreshError="1"/>
      <sheetData sheetId="3" refreshError="1"/>
      <sheetData sheetId="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READY MIX"/>
      <sheetName val="READY MIX CLIENTE"/>
      <sheetName val="SILOS"/>
      <sheetName val="SILOS CLIENTE"/>
      <sheetName val="TRITURADORA"/>
      <sheetName val="TRITURADORA CLIENTE"/>
      <sheetName val="OTROS MONTAJES"/>
      <sheetName val="OTROS MONTAJES CLIENTE"/>
      <sheetName val="TARIFAS DE VENTA "/>
      <sheetName val="TARIFAS DE VENTA CLIENTE"/>
      <sheetName val="CONTROL VALOR VENTA"/>
      <sheetName val="APUS"/>
      <sheetName val="VAR"/>
      <sheetName val="RESUMEN"/>
      <sheetName val="DESGLOSE"/>
      <sheetName val="FABRICACIONES"/>
      <sheetName val="QAQC FABRIC"/>
      <sheetName val="PINTURA"/>
      <sheetName val="GROUTING"/>
      <sheetName val="RENDIMIENTOS"/>
      <sheetName val="TOPOGRAFIA"/>
      <sheetName val="SUBCON"/>
      <sheetName val="OTROS MO"/>
      <sheetName val="CONS"/>
      <sheetName val="EQUI"/>
      <sheetName val="SUPERV"/>
      <sheetName val="INDIR"/>
      <sheetName val="CALC-MOD"/>
      <sheetName val="MOD GUATEMALA"/>
      <sheetName val="F-IIA-320"/>
      <sheetName val="SALAR"/>
      <sheetName val="DOT"/>
      <sheetName val="NOM-1T"/>
      <sheetName val="NOM-2T"/>
      <sheetName val="NOM-3T"/>
      <sheetName val="BASE EQUI"/>
      <sheetName val="BASE CONS"/>
      <sheetName val="referencia dot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SGLOSE"/>
      <sheetName val="VAR"/>
      <sheetName val="INDIR"/>
      <sheetName val="SUPERV"/>
      <sheetName val="SUBCON"/>
      <sheetName val="APU"/>
      <sheetName val="CALC-MOD"/>
      <sheetName val="CONS"/>
      <sheetName val="MOD PERU"/>
      <sheetName val="FACT. PREST PERU"/>
      <sheetName val="OTROS MO"/>
      <sheetName val="EQUI"/>
      <sheetName val="F-IIA-320"/>
      <sheetName val="SALAR"/>
      <sheetName val="DOT"/>
      <sheetName val="BASE EQUI"/>
      <sheetName val="BASE CONS"/>
      <sheetName val="referencia dotación"/>
      <sheetName val="INSTAL"/>
      <sheetName val="NOM-1T"/>
      <sheetName val="SUMINISTRO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lanteo tuquerres"/>
      <sheetName val="Tuquerres"/>
      <sheetName val="Tuquerres final"/>
      <sheetName val="Analisís T"/>
      <sheetName val="Analisís MT"/>
      <sheetName val="Analisís BT"/>
      <sheetName val="PRECIOS"/>
      <sheetName val="Salarios"/>
    </sheetNames>
    <sheetDataSet>
      <sheetData sheetId="0"/>
      <sheetData sheetId="1"/>
      <sheetData sheetId="2"/>
      <sheetData sheetId="3"/>
      <sheetData sheetId="4"/>
      <sheetData sheetId="5"/>
      <sheetData sheetId="6"/>
      <sheetData sheetId="7"/>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sheetName val="PlanCero"/>
    </sheetNames>
    <sheetDataSet>
      <sheetData sheetId="0" refreshError="1"/>
      <sheetData sheetId="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arios"/>
      <sheetName val="Presupuesto"/>
    </sheetNames>
    <sheetDataSet>
      <sheetData sheetId="0" refreshError="1"/>
      <sheetData sheetId="1"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sheetName val="MAIN"/>
      <sheetName val="DIV INC"/>
      <sheetName val="LBO Analysis"/>
      <sheetName val="Multiple"/>
      <sheetName val="Perpetuity"/>
      <sheetName val="DCF 3"/>
      <sheetName val="WACC II"/>
      <sheetName val="S&amp;P"/>
      <sheetName val="Developer Notes"/>
      <sheetName val="EQ. IRR"/>
      <sheetName val="COVEN"/>
      <sheetName val="SUMMARY"/>
      <sheetName val="Reconciliations"/>
      <sheetName val="LTM"/>
      <sheetName val="CREDIT STATS"/>
      <sheetName val="Toggles"/>
      <sheetName val="Data"/>
      <sheetName val="dPrint"/>
      <sheetName val="DropZone"/>
      <sheetName val="mProcess"/>
      <sheetName val="mlError"/>
      <sheetName val="mGlobals"/>
      <sheetName val="mMain"/>
      <sheetName val="mToggles"/>
      <sheetName val="mcFunctions"/>
      <sheetName val="mMisc"/>
      <sheetName val="mdPrint"/>
      <sheetName val="CONS"/>
      <sheetName val="EQUI"/>
      <sheetName val="OTROS 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iseño"/>
      <sheetName val="Design"/>
      <sheetName val="Aliv A1"/>
      <sheetName val="Resumen"/>
      <sheetName val="Despiece Todo"/>
      <sheetName val="MH"/>
      <sheetName val="OU"/>
      <sheetName val="PI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Caja "/>
      <sheetName val="Reporte"/>
      <sheetName val="Programa"/>
      <sheetName val="LISTAS"/>
      <sheetName val="Hoja2"/>
      <sheetName val="LTM"/>
      <sheetName val="CREDIT STATS"/>
      <sheetName val="DropZo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O"/>
      <sheetName val="PRESENTACION"/>
      <sheetName val="Tablas"/>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DE EQUIPOS CTC"/>
      <sheetName val="CAT-D8N"/>
      <sheetName val="CAT-D7H"/>
      <sheetName val="CAT-D7G"/>
      <sheetName val="CAT-D6D"/>
      <sheetName val="MOTO12G"/>
      <sheetName val="MOTO120G"/>
      <sheetName val="RETRO 320"/>
      <sheetName val="RETRO 330"/>
      <sheetName val="RETRO436B"/>
      <sheetName val="RETRO428B"/>
      <sheetName val="COMP-CB434C"/>
      <sheetName val="COMPACTADOR CS433B"/>
      <sheetName val="CARGADOR 966C"/>
      <sheetName val="CARGADOR 950B"/>
      <sheetName val="CARGADOR 966D"/>
      <sheetName val="CARGADOR 966E"/>
      <sheetName val="RECUPERADORA RM350"/>
      <sheetName val="PR-450"/>
      <sheetName val="VOLQUETA "/>
      <sheetName val="MINCARG BOBCAT 75"/>
      <sheetName val="MINCARG BOBCAT 873"/>
      <sheetName val="COMP SD100"/>
      <sheetName val="COMP VIB DYNAPAC CA-15"/>
      <sheetName val="COMP TANDEM DD-22"/>
      <sheetName val="COMP. HYSTER C530A"/>
      <sheetName val="PERFILADORA  1000R"/>
      <sheetName val="TRACTOR AGRICOLA"/>
      <sheetName val="FINISHER"/>
      <sheetName val="IRRIGADOR"/>
      <sheetName val="CARRO MANTENIM"/>
      <sheetName val="NPR"/>
      <sheetName val="TARIFAS MES-SEMANA-DIA"/>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5"/>
      <sheetName val="PU630,6"/>
      <sheetName val="PU630,6 especial por M3"/>
      <sheetName val="PU630,6 Simple"/>
      <sheetName val="PU630,6 especial por M2"/>
      <sheetName val="PU630,6 F"/>
      <sheetName val="PU630P.7 "/>
      <sheetName val="PU630,7 "/>
      <sheetName val="PU630,7 Especial"/>
      <sheetName val="PU630,11"/>
      <sheetName val="PU630P.15"/>
      <sheetName val="PU640,3"/>
      <sheetName val="PU660.2"/>
      <sheetName val="PU661"/>
      <sheetName val="670.3"/>
      <sheetName val="PU671P,1"/>
      <sheetName val="PU673 "/>
      <sheetName val="PU681,1"/>
      <sheetName val="PU681,1 Esp. Q Caliche"/>
      <sheetName val="PU820,1"/>
      <sheetName val="PU830P.1 "/>
      <sheetName val="PU1000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F PVC"/>
      <sheetName val="Presupuesto 2003"/>
      <sheetName val="1r.Localiz. Estac"/>
      <sheetName val="Reforestación"/>
      <sheetName val="Empradización"/>
      <sheetName val="Dom 2&quot;"/>
      <sheetName val="Instal. 2&quot; PVC"/>
      <sheetName val="Instal. 3&quot;-4&quot; PVC"/>
      <sheetName val="ANÁLISIS Y PRECIOS (Final) "/>
      <sheetName val="B-Morteros"/>
      <sheetName val="B-Formaleta-columnas"/>
      <sheetName val="B-form-cajas"/>
      <sheetName val="B-form-muros"/>
      <sheetName val="B-form-recipiente"/>
      <sheetName val="B-form-losa aerea"/>
      <sheetName val="B-Formaleta-solado"/>
      <sheetName val="Ccto-solado-atraque"/>
      <sheetName val="B-Formaleta-cimiento"/>
      <sheetName val="5e.Ccto-cimiento"/>
      <sheetName val="Ccto-losa-piso"/>
      <sheetName val="Ccto-losa imperm-piso"/>
      <sheetName val="Ccto-losa imperm aérea"/>
      <sheetName val="Ccto-losa aérea"/>
      <sheetName val="Ccto-muros"/>
      <sheetName val="Ccto-muros imperm"/>
      <sheetName val="Ccto-caja-canal"/>
      <sheetName val="Ccto-columnas"/>
      <sheetName val="Ccto-recipiente"/>
      <sheetName val="6e.Columnas 0.12 x 0.15"/>
      <sheetName val="6e.Columnas 0.15 x 0.20"/>
      <sheetName val="6e.Columnas 0.20x 0.20 "/>
      <sheetName val="6e.Columnas 0.25x 0.25"/>
      <sheetName val="6e.Viga 0.15 x 0.25"/>
      <sheetName val="básico-ccto2000"/>
      <sheetName val="básico-ccto2400"/>
      <sheetName val="básico-ccto3000"/>
      <sheetName val="6e.Mampostería 0,10"/>
      <sheetName val="6e.Filos y dilataciones"/>
      <sheetName val="Pintura"/>
      <sheetName val="23e.Promical"/>
      <sheetName val="1r.Localiz.inicial-redes"/>
      <sheetName val="5r.Topografía instalación tub."/>
      <sheetName val="Desmonte y retiro"/>
      <sheetName val="Taponamiento drenes"/>
      <sheetName val="Descapote"/>
      <sheetName val="Exc. a  maquina"/>
      <sheetName val="Diques "/>
      <sheetName val="Campamento 30M2"/>
      <sheetName val="Adecuación enrrocado"/>
      <sheetName val="Piedra pegada"/>
      <sheetName val="Púas"/>
      <sheetName val="Exc. a mano"/>
      <sheetName val="Ref-60ksi"/>
      <sheetName val="Malla eslabonada"/>
      <sheetName val="Experiencias"/>
      <sheetName val="Anden-2400"/>
      <sheetName val="Relleno-sitio"/>
      <sheetName val="Relleno-seleccionado"/>
      <sheetName val="22e.Retiro 1000mts-manual"/>
      <sheetName val="Retiro 1000mts-maquina"/>
      <sheetName val="Cinta PVC O-22"/>
      <sheetName val="Gravilla-clasificada"/>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VALOR"/>
      <sheetName val="Datos"/>
      <sheetName val="Resumen"/>
      <sheetName val="Cronograma y Flujo de Fondos"/>
      <sheetName val="Discriminación Presupuesto"/>
      <sheetName val="PRESUPUESTO GENERAL SEGÚN MGA"/>
      <sheetName val="MPMA"/>
      <sheetName val="Presupesto Interventoría"/>
      <sheetName val="Gerencia Proyecto"/>
      <sheetName val="Gestion Social"/>
      <sheetName val="Fiducia"/>
      <sheetName val="Factor Multiplicador"/>
      <sheetName val="Factor Prestacional"/>
      <sheetName val="Gastos de Legalización"/>
      <sheetName val="Mano de Obra"/>
      <sheetName val="Presupuesto General"/>
      <sheetName val="Análisis AIU"/>
      <sheetName val="1.1"/>
      <sheetName val="2.1"/>
      <sheetName val="2.2"/>
      <sheetName val="2.3"/>
      <sheetName val="2.4"/>
      <sheetName val="2.5"/>
      <sheetName val="2.6"/>
      <sheetName val="2.7"/>
      <sheetName val="2.8"/>
      <sheetName val="3.1"/>
      <sheetName val="3.2"/>
      <sheetName val="4.1"/>
      <sheetName val="5.1"/>
      <sheetName val="Materiales"/>
      <sheetName val="Rendimiento"/>
      <sheetName val="Transporte"/>
      <sheetName val="Equip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VALOR"/>
      <sheetName val="Datos"/>
      <sheetName val="Resumen"/>
      <sheetName val="Cronograma y Flujo de Fondos"/>
      <sheetName val="Discriminación Presupuesto"/>
      <sheetName val="PRESUPUESTO GENERAL SEGÚN MGA"/>
      <sheetName val="MPMA"/>
      <sheetName val="Presupesto Interventoría"/>
      <sheetName val="Gerencia Proyecto"/>
      <sheetName val="Gestion Social"/>
      <sheetName val="Fiducia"/>
      <sheetName val="Factor Multiplicador"/>
      <sheetName val="Factor Prestacional"/>
      <sheetName val="Gastos de Legalización"/>
      <sheetName val="Mano de Obra"/>
      <sheetName val="Presupuesto General"/>
      <sheetName val="Análisis AIU"/>
      <sheetName val="1.1"/>
      <sheetName val="2.1"/>
      <sheetName val="2.2"/>
      <sheetName val="2.3"/>
      <sheetName val="2.4"/>
      <sheetName val="2.5"/>
      <sheetName val="2.6"/>
      <sheetName val="2.7"/>
      <sheetName val="2.8"/>
      <sheetName val="3.1"/>
      <sheetName val="3.2"/>
      <sheetName val="4.1"/>
      <sheetName val="5.1"/>
      <sheetName val="Materiales"/>
      <sheetName val="Rendimiento"/>
      <sheetName val="Transporte"/>
      <sheetName val="Equip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SUB_APU1"/>
      <sheetName val="Cantidades_de_Obra1"/>
      <sheetName val="SUB_APU3"/>
      <sheetName val="Cantidades_de_Obra3"/>
      <sheetName val="SUB_APU2"/>
      <sheetName val="Cantidades_de_Obra2"/>
      <sheetName val="Itemes Renovación"/>
      <sheetName val="Itemes_Renovación"/>
      <sheetName val="SUB_APU4"/>
      <sheetName val="Cantidades_de_Obra4"/>
      <sheetName val="SUB_APU5"/>
      <sheetName val="Cantidades_de_Obra5"/>
      <sheetName val="Jul-Ago"/>
      <sheetName val="May-Jun"/>
      <sheetName val="Sep-Oct"/>
    </sheetNames>
    <sheetDataSet>
      <sheetData sheetId="0"/>
      <sheetData sheetId="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sheetData sheetId="15"/>
      <sheetData sheetId="16" refreshError="1"/>
      <sheetData sheetId="17"/>
      <sheetData sheetId="18"/>
      <sheetData sheetId="19" refreshError="1"/>
      <sheetData sheetId="20" refreshError="1"/>
      <sheetData sheetId="21"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Actual Data (MAP)"/>
      <sheetName val="Actual Data (STX)"/>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FECHAS DE CORTE"/>
      <sheetName val="Informacion General"/>
      <sheetName val="items"/>
      <sheetName val="2103mar "/>
      <sheetName val="A. P. U."/>
      <sheetName val="Insumos"/>
      <sheetName val="TRAYECTO 1"/>
      <sheetName val="PR_1"/>
      <sheetName val="Itemes Renovación"/>
      <sheetName val="Equipo"/>
      <sheetName val="materiales"/>
      <sheetName val="otros"/>
      <sheetName val="ELECTRICO"/>
      <sheetName val="Vuelta"/>
      <sheetName val="FIBRA ÓPTICA"/>
      <sheetName val="TARIFAS"/>
      <sheetName val="Personalizar"/>
      <sheetName val="Análisis de precios"/>
      <sheetName val="2103mar%20.xls"/>
      <sheetName val="Formulas"/>
      <sheetName val="INDICE"/>
      <sheetName val="DISTANCIA"/>
      <sheetName val="PERSONAL"/>
      <sheetName val="Hoja1"/>
      <sheetName val="BASE"/>
      <sheetName val="1_Preliminares"/>
      <sheetName val="M.Obra"/>
      <sheetName val="PR_0"/>
      <sheetName val="PR_2"/>
      <sheetName val="PR_3"/>
      <sheetName val="PR_4"/>
      <sheetName val="PR_5"/>
      <sheetName val="PR_6"/>
      <sheetName val="PR_7"/>
      <sheetName val="PR_8"/>
      <sheetName val="PR_9"/>
      <sheetName val="PR_10"/>
      <sheetName val="PR_11"/>
      <sheetName val="PR_12"/>
      <sheetName val="PR_13"/>
      <sheetName val="PR_14"/>
      <sheetName val="PR_15"/>
      <sheetName val="PR_16"/>
      <sheetName val="PR_17"/>
      <sheetName val="PR_19"/>
      <sheetName val="PR_20"/>
      <sheetName val="PR_21"/>
      <sheetName val="PR_22"/>
      <sheetName val="PR_23"/>
      <sheetName val="PR_24"/>
      <sheetName val="PR_25"/>
      <sheetName val="PR_26"/>
      <sheetName val="PR_27"/>
      <sheetName val="PR_28"/>
      <sheetName val="PR_29"/>
      <sheetName val="PR_30"/>
      <sheetName val="PR_31"/>
      <sheetName val="PR_32"/>
      <sheetName val="PR_33"/>
      <sheetName val="PR_34"/>
      <sheetName val="PR_35"/>
      <sheetName val="PR_36"/>
      <sheetName val="PR_37"/>
      <sheetName val="PR_39"/>
      <sheetName val="PR_40"/>
      <sheetName val="PR_41"/>
      <sheetName val="PR_42"/>
      <sheetName val="PR_43"/>
      <sheetName val="PR_44"/>
      <sheetName val="PR_45"/>
      <sheetName val="PR_46"/>
      <sheetName val="PR_47"/>
      <sheetName val="PR_48"/>
      <sheetName val="PR_49"/>
      <sheetName val="Cuadro_Estado"/>
      <sheetName val="2103mar_"/>
      <sheetName val="A__P__U_"/>
      <sheetName val="TRAYECTO_1"/>
      <sheetName val="PR_01"/>
      <sheetName val="PR_18"/>
      <sheetName val="PR_210"/>
      <sheetName val="PR_38"/>
      <sheetName val="PR_410"/>
      <sheetName val="PR_51"/>
      <sheetName val="PR_61"/>
      <sheetName val="PR_71"/>
      <sheetName val="PR_81"/>
      <sheetName val="PR_91"/>
      <sheetName val="PR_101"/>
      <sheetName val="PR_111"/>
      <sheetName val="PR_121"/>
      <sheetName val="PR_131"/>
      <sheetName val="PR_141"/>
      <sheetName val="PR_151"/>
      <sheetName val="PR_161"/>
      <sheetName val="PR_171"/>
      <sheetName val="PR_191"/>
      <sheetName val="PR_201"/>
      <sheetName val="PR_211"/>
      <sheetName val="PR_221"/>
      <sheetName val="PR_231"/>
      <sheetName val="PR_241"/>
      <sheetName val="PR_251"/>
      <sheetName val="PR_261"/>
      <sheetName val="PR_271"/>
      <sheetName val="PR_281"/>
      <sheetName val="PR_291"/>
      <sheetName val="PR_301"/>
      <sheetName val="PR_311"/>
      <sheetName val="PR_321"/>
      <sheetName val="PR_331"/>
      <sheetName val="PR_341"/>
      <sheetName val="PR_351"/>
      <sheetName val="PR_361"/>
      <sheetName val="PR_371"/>
      <sheetName val="PR_391"/>
      <sheetName val="PR_401"/>
      <sheetName val="PR_411"/>
      <sheetName val="PR_421"/>
      <sheetName val="PR_431"/>
      <sheetName val="PR_441"/>
      <sheetName val="PR_451"/>
      <sheetName val="PR_461"/>
      <sheetName val="PR_471"/>
      <sheetName val="PR_481"/>
      <sheetName val="PR_491"/>
      <sheetName val="Cuadro_Estado1"/>
      <sheetName val="2103mar_1"/>
      <sheetName val="A__P__U_1"/>
      <sheetName val="TRAYECTO_11"/>
      <sheetName val="días habiles 2015"/>
      <sheetName val="INS"/>
      <sheetName val="Ppto"/>
      <sheetName val="Plan auditoría"/>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pus_Preliminares"/>
      <sheetName val="Apus_Cimentación_Est.Met"/>
      <sheetName val="Apus_HS"/>
      <sheetName val="Apus_In.Elect"/>
      <sheetName val="Apus_Cubierta"/>
      <sheetName val="Insumos"/>
      <sheetName val="Equipo_Trans "/>
      <sheetName val="M.Obra"/>
      <sheetName val="ESP.GENERA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PUs"/>
      <sheetName val="MUROS"/>
      <sheetName val="PPTO DEFINITIVO"/>
      <sheetName val="ACTA N°1"/>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081"/>
      <sheetName val="cliente5300"/>
      <sheetName val="cliente4300 "/>
    </sheetNames>
    <sheetDataSet>
      <sheetData sheetId="0" refreshError="1"/>
      <sheetData sheetId="1" refreshError="1"/>
      <sheetData sheetId="2"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TIPACOQUE"/>
      <sheetName val="Presupuesto PASO ELEVADO"/>
      <sheetName val="Lista Base"/>
      <sheetName val="Niples"/>
      <sheetName val="Ins_MO"/>
      <sheetName val="Ins_Mat"/>
      <sheetName val="Ins_TR"/>
      <sheetName val="Ins_EH"/>
      <sheetName val="Print"/>
      <sheetName val="3.1.13A"/>
      <sheetName val="2.1.17"/>
      <sheetName val="3.3.1"/>
      <sheetName val="1.1.86"/>
      <sheetName val="1.2.4"/>
      <sheetName val="2.1.21"/>
      <sheetName val="2.1.1"/>
      <sheetName val="2.7.4"/>
      <sheetName val="1.2.25"/>
      <sheetName val="2.5.44"/>
      <sheetName val="2.5.44A"/>
      <sheetName val="6.4.2.196"/>
      <sheetName val="6.4.2.196A"/>
      <sheetName val="2.5.6"/>
      <sheetName val="2.5.6A"/>
      <sheetName val="6.4.2.197"/>
      <sheetName val="6.4.2.197A"/>
      <sheetName val="6.4.2.198"/>
      <sheetName val="6.4.2.198A"/>
      <sheetName val="2.6.45"/>
      <sheetName val="2.6.46"/>
      <sheetName val="2.6.47"/>
      <sheetName val="2.6.48"/>
      <sheetName val="3.17.10A"/>
      <sheetName val="3.17.10B"/>
      <sheetName val="3.17.3"/>
      <sheetName val="6.4.2.199"/>
      <sheetName val="2.7.1"/>
      <sheetName val="2.6.11"/>
      <sheetName val="PASO ELEVADO"/>
      <sheetName val="1.1.7"/>
      <sheetName val="3.11.2"/>
      <sheetName val="3.5.1"/>
      <sheetName val="1.2.10"/>
      <sheetName val="3.3.13"/>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SISTEMA RAMMING"/>
      <sheetName val="6.4.2.221"/>
      <sheetName val="3.3.4"/>
      <sheetName val="COSTOS AMBIENTALES"/>
      <sheetName val="6.4.2.306"/>
      <sheetName val="1.1.62"/>
      <sheetName val="6.4.2.307"/>
      <sheetName val="6.4.2.308"/>
      <sheetName val="6.4.2.309"/>
      <sheetName val="6.4.2.310"/>
      <sheetName val="6.4.2.31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Niples"/>
      <sheetName val="Lista Base"/>
      <sheetName val="Ins_MO"/>
      <sheetName val="Ins_TR"/>
      <sheetName val="Ins_Mat"/>
      <sheetName val="Clasif_Mat"/>
      <sheetName val="Ins_EH"/>
      <sheetName val="Print"/>
      <sheetName val="1.1.1"/>
      <sheetName val="1.1.2"/>
      <sheetName val="1.1.7"/>
      <sheetName val="1.1.8"/>
      <sheetName val="1.1.9"/>
      <sheetName val="1.1.11"/>
      <sheetName val="1.1.12"/>
      <sheetName val="1.1.12A"/>
      <sheetName val="1.1.13"/>
      <sheetName val="1.1.14"/>
      <sheetName val="1.1.15"/>
      <sheetName val="1.1.16"/>
      <sheetName val="1.1.17"/>
      <sheetName val="1.1.18"/>
      <sheetName val="1.1.24"/>
      <sheetName val="1.1.25"/>
      <sheetName val="1.1.26"/>
      <sheetName val="1.1.27"/>
      <sheetName val="1.1.28"/>
      <sheetName val="1.1.29"/>
      <sheetName val="1.1.32"/>
      <sheetName val="1.1.33"/>
      <sheetName val="1.1.35"/>
      <sheetName val="1.1.36"/>
      <sheetName val="1.1.37"/>
      <sheetName val="1.1.40"/>
      <sheetName val="1.1.41"/>
      <sheetName val="1.1.42"/>
      <sheetName val="1.1.43"/>
      <sheetName val="1.1.44"/>
      <sheetName val="1.1.45"/>
      <sheetName val="1.1.46"/>
      <sheetName val="1.1.47"/>
      <sheetName val="1.1.48"/>
      <sheetName val="1.1.49"/>
      <sheetName val="1.1.50"/>
      <sheetName val="1.1.51"/>
      <sheetName val="1.1.52"/>
      <sheetName val="1.1.53"/>
      <sheetName val="1.1.54"/>
      <sheetName val="1.1.55"/>
      <sheetName val="1.1.58"/>
      <sheetName val="1.1.59"/>
      <sheetName val="1.1.60"/>
      <sheetName val="1.1.61"/>
      <sheetName val="1.1.62"/>
      <sheetName val="1.1.63"/>
      <sheetName val="1.1.64"/>
      <sheetName val="1.1.65"/>
      <sheetName val="1.1.66"/>
      <sheetName val="1.1.70"/>
      <sheetName val="1.1.71"/>
      <sheetName val="1.1.74"/>
      <sheetName val="1.1.75"/>
      <sheetName val="1.1.76"/>
      <sheetName val="1.1.78"/>
      <sheetName val="1.1.79"/>
      <sheetName val="1.1.80"/>
      <sheetName val="1.1.81"/>
      <sheetName val="1.1.82"/>
      <sheetName val="1.1.83"/>
      <sheetName val="1.1.83A"/>
      <sheetName val="1.1.84"/>
      <sheetName val="1.1.85"/>
      <sheetName val="1.1.86"/>
      <sheetName val="1.2.1"/>
      <sheetName val="1.2.2"/>
      <sheetName val="1.2.3"/>
      <sheetName val="1.2.4"/>
      <sheetName val="1.2.5"/>
      <sheetName val="1.2.6"/>
      <sheetName val="1.2.7"/>
      <sheetName val="1.2.8"/>
      <sheetName val="1.2.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5"/>
      <sheetName val="1.2.26"/>
      <sheetName val="1.2.27"/>
      <sheetName val="1.2.28"/>
      <sheetName val="1.2.29"/>
      <sheetName val="1.2.30"/>
      <sheetName val="1.2.31"/>
      <sheetName val="1.2.32"/>
      <sheetName val="1.2.33"/>
      <sheetName val="1.2.34"/>
      <sheetName val="1.2.35"/>
      <sheetName val="1.2.36"/>
      <sheetName val="1.2.37"/>
      <sheetName val="1.2.38"/>
      <sheetName val="1.2.39"/>
      <sheetName val="1.2.40"/>
      <sheetName val="1.2.41"/>
      <sheetName val="1.2.42"/>
      <sheetName val="1.2.43"/>
      <sheetName val="1.2.44"/>
      <sheetName val="1.2.45"/>
      <sheetName val="1.2.46"/>
      <sheetName val="1.2.47"/>
      <sheetName val="1.2.48"/>
      <sheetName val="1.2.49"/>
      <sheetName val="1.2.50"/>
      <sheetName val="1.2.51"/>
      <sheetName val="1.2.52"/>
      <sheetName val="1.2.53"/>
      <sheetName val="1.2.54"/>
      <sheetName val="1.2.55"/>
      <sheetName val="1.2.56"/>
      <sheetName val="1.2.57"/>
      <sheetName val="1.2.58"/>
      <sheetName val="1.2.59"/>
      <sheetName val="1.3.1"/>
      <sheetName val="1.3.2"/>
      <sheetName val="1.3.3"/>
      <sheetName val="1.3.4"/>
      <sheetName val="1.3.5"/>
      <sheetName val="1.3.6"/>
      <sheetName val="1.3.7"/>
      <sheetName val="1.3.8"/>
      <sheetName val="1.3.9"/>
      <sheetName val="1.3.10"/>
      <sheetName val="1.3.11"/>
      <sheetName val="1.3.12"/>
      <sheetName val="1.3.13"/>
      <sheetName val="1.3.14"/>
      <sheetName val="1.3.15"/>
      <sheetName val="1.3.16"/>
      <sheetName val="1.3.17"/>
      <sheetName val="1.3.18"/>
      <sheetName val="1.3.19"/>
      <sheetName val="1.3.20"/>
      <sheetName val="1.3.21"/>
      <sheetName val="1.3.22"/>
      <sheetName val="1.3.23"/>
      <sheetName val="1.3.24"/>
      <sheetName val="1.3.25"/>
      <sheetName val="1.4.4"/>
      <sheetName val="1.4.5"/>
      <sheetName val="1.4.6"/>
      <sheetName val="1.4.7"/>
      <sheetName val="1.4.8"/>
      <sheetName val="1.4.9"/>
      <sheetName val="1.4.10"/>
      <sheetName val="1.4.11"/>
      <sheetName val="1.4.12"/>
      <sheetName val="1.4.13"/>
      <sheetName val="1.4.14"/>
      <sheetName val="1.4.15"/>
      <sheetName val="1.4.16"/>
      <sheetName val="1.4.17"/>
      <sheetName val="1.4.18"/>
      <sheetName val="1.4.19"/>
      <sheetName val="1.4.20"/>
      <sheetName val="1.4.21"/>
      <sheetName val="1.4.22"/>
      <sheetName val="1.4.23"/>
      <sheetName val="1.4.24"/>
      <sheetName val="1.4.25"/>
      <sheetName val="1.4.26"/>
      <sheetName val="1.4.27"/>
      <sheetName val="1.4.28"/>
      <sheetName val="1.4.29"/>
      <sheetName val="1.4.30"/>
      <sheetName val="1.4.31"/>
      <sheetName val="1.4.32"/>
      <sheetName val="1.4.33"/>
      <sheetName val="1.4.34"/>
      <sheetName val="1.4.35"/>
      <sheetName val="1.4.36"/>
      <sheetName val="1.4.37"/>
      <sheetName val="1.4.38"/>
      <sheetName val="1.4.39"/>
      <sheetName val="1.5.1"/>
      <sheetName val="1.5.2"/>
      <sheetName val="1.5.3"/>
      <sheetName val="1.5.4"/>
      <sheetName val="1.5.5"/>
      <sheetName val="1.5.6"/>
      <sheetName val="1.5.7"/>
      <sheetName val="1.5.8"/>
      <sheetName val="1.5.9"/>
      <sheetName val="1.5.10"/>
      <sheetName val="1.5.11"/>
      <sheetName val="1.5.12"/>
      <sheetName val="1.5.13"/>
      <sheetName val="1.5.14"/>
      <sheetName val="1.5.15"/>
      <sheetName val="1.5.16"/>
      <sheetName val="1.5.17"/>
      <sheetName val="1.5.18"/>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6.25"/>
      <sheetName val="1.6.28"/>
      <sheetName val="1.6.29"/>
      <sheetName val="1.6.30"/>
      <sheetName val="1.6.31"/>
      <sheetName val="1.6.32"/>
      <sheetName val="1.6.33"/>
      <sheetName val="1.6.34"/>
      <sheetName val="1.6.35"/>
      <sheetName val="1.6.36"/>
      <sheetName val="1.6.37"/>
      <sheetName val="1.6.38"/>
      <sheetName val="1.6.39"/>
      <sheetName val="1.6.40"/>
      <sheetName val="1.6.41"/>
      <sheetName val="1.6.42"/>
      <sheetName val="1.9.1"/>
      <sheetName val="1.9.2"/>
      <sheetName val="1.9.3"/>
      <sheetName val="1.9.4"/>
      <sheetName val="1.9.5"/>
      <sheetName val="1.9.6"/>
      <sheetName val="1.9.7"/>
      <sheetName val="1.9.8"/>
      <sheetName val="1.9.9"/>
      <sheetName val="1.9.10"/>
      <sheetName val="1.9.11"/>
      <sheetName val="1.9.12"/>
      <sheetName val="1.9.13"/>
      <sheetName val="1.9.14"/>
      <sheetName val="1.9.15"/>
      <sheetName val="1.9.16"/>
      <sheetName val="1.9.17"/>
      <sheetName val="1.9.18"/>
      <sheetName val="1.9.19"/>
      <sheetName val="1.9.20"/>
      <sheetName val="1.9.21"/>
      <sheetName val="1.9.22"/>
      <sheetName val="1.9.23"/>
      <sheetName val="1.10.1"/>
      <sheetName val="1.10.2"/>
      <sheetName val="1.10.3"/>
      <sheetName val="1.10.4"/>
      <sheetName val="1.10.5"/>
      <sheetName val="1.10.6"/>
      <sheetName val="1.10.7"/>
      <sheetName val="1.10.8"/>
      <sheetName val="1.10.9"/>
      <sheetName val="1.10.10"/>
      <sheetName val="1.10.11"/>
      <sheetName val="1.10.14"/>
      <sheetName val="1.10.15"/>
      <sheetName val="1.10.16"/>
      <sheetName val="1.10.17"/>
      <sheetName val="1.10.18"/>
      <sheetName val="1.10.19"/>
      <sheetName val="1.10.20"/>
      <sheetName val="1.10.21"/>
      <sheetName val="1.10.22"/>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1.25"/>
      <sheetName val="1.11.26"/>
      <sheetName val="1.11.27"/>
      <sheetName val="1.11.28"/>
      <sheetName val="1.11.29"/>
      <sheetName val="1.11.30"/>
      <sheetName val="1.11.31"/>
      <sheetName val="1.11.32"/>
      <sheetName val="1.11.33"/>
      <sheetName val="1.11.34"/>
      <sheetName val="1.11.35"/>
      <sheetName val="1.11.36"/>
      <sheetName val="1.11.37"/>
      <sheetName val="1.11.38"/>
      <sheetName val="1.11.39"/>
      <sheetName val="1.11.40"/>
      <sheetName val="1.11.41"/>
      <sheetName val="1.11.42"/>
      <sheetName val="1.11.43"/>
      <sheetName val="1.11.44"/>
      <sheetName val="1.11.45"/>
      <sheetName val="1.12 CUBIERTAS"/>
      <sheetName val="1.12.1"/>
      <sheetName val="1.12.2"/>
      <sheetName val="1.12.3"/>
      <sheetName val="1.12.4"/>
      <sheetName val="1.12.5"/>
      <sheetName val="1.12.6"/>
      <sheetName val="1.12.7"/>
      <sheetName val="1.12.8"/>
      <sheetName val="1.12.9"/>
      <sheetName val="1.12.10"/>
      <sheetName val="1.12.11"/>
      <sheetName val="1.12.12"/>
      <sheetName val="1.12.13"/>
      <sheetName val="1.12.14"/>
      <sheetName val="1.12.15"/>
      <sheetName val="1.12.16"/>
      <sheetName val="1.12.17"/>
      <sheetName val="1.12.18"/>
      <sheetName val="1.12.19"/>
      <sheetName val="1.12.20"/>
      <sheetName val="1.12.21"/>
      <sheetName val="1.12.22"/>
      <sheetName val="1.12.23"/>
      <sheetName val="1.12.24"/>
      <sheetName val="1.12.25"/>
      <sheetName val="1.12.26"/>
      <sheetName val="1.12.27"/>
      <sheetName val="1.12.28"/>
      <sheetName val="1.12.29"/>
      <sheetName val="1.12.30"/>
      <sheetName val="1.12.31"/>
      <sheetName val="1.12.32"/>
      <sheetName val="1.12.33"/>
      <sheetName val="1.12.34"/>
      <sheetName val="1.12.35"/>
      <sheetName val="1.12.36"/>
      <sheetName val="1.12.37"/>
      <sheetName val="1.12.38"/>
      <sheetName val="1.12.39"/>
      <sheetName val="1.12.40"/>
      <sheetName val="1.12.41"/>
      <sheetName val="1.12.42"/>
      <sheetName val="1.12.43"/>
      <sheetName val="1.12.44"/>
      <sheetName val="1.12.45"/>
      <sheetName val="1.12.46"/>
      <sheetName val="1.12.47"/>
      <sheetName val="1.12.48"/>
      <sheetName val="1.12.49"/>
      <sheetName val="1.12.50"/>
      <sheetName val="1.12.51"/>
      <sheetName val="1.12.52"/>
      <sheetName val="1.12.53"/>
      <sheetName val="1.12.58"/>
      <sheetName val="1.15 CARPINTERIA METALICA"/>
      <sheetName val="1.15.1"/>
      <sheetName val="1.15.2"/>
      <sheetName val="1.15.3"/>
      <sheetName val="1.15.4"/>
      <sheetName val="1.15.5"/>
      <sheetName val="1.15.6"/>
      <sheetName val="1.15.7"/>
      <sheetName val="1.15.8"/>
      <sheetName val="1.15.9"/>
      <sheetName val="1.15.10"/>
      <sheetName val="1.15.11"/>
      <sheetName val="1.15.12"/>
      <sheetName val="1.15.13"/>
      <sheetName val="1.15.14"/>
      <sheetName val="1.15.15"/>
      <sheetName val="1.15.16"/>
      <sheetName val="1.16 APARATOS SANITARIOS"/>
      <sheetName val="1.16.1"/>
      <sheetName val="1.16.2"/>
      <sheetName val="1.16.3"/>
      <sheetName val="1.16.4"/>
      <sheetName val="1.16.5"/>
      <sheetName val="1.16.6"/>
      <sheetName val="1.16.7"/>
      <sheetName val="1.16.8"/>
      <sheetName val="1.16.9"/>
      <sheetName val="1.16.10"/>
      <sheetName val="1.16.11"/>
      <sheetName val="1.16.12"/>
      <sheetName val="1.16.13"/>
      <sheetName val="1.16.14"/>
      <sheetName val="1.16.15"/>
      <sheetName val="1.16.16"/>
      <sheetName val="1.17 VIDRIOS Y CERRADURAS"/>
      <sheetName val="1.17.1"/>
      <sheetName val="1.17.2"/>
      <sheetName val="1.17.3"/>
      <sheetName val="1.17.4"/>
      <sheetName val="1.17.5"/>
      <sheetName val="1.17.6"/>
      <sheetName val="1.18 OBRAS EXTERIORES"/>
      <sheetName val="1.18.1"/>
      <sheetName val="1.18.2"/>
      <sheetName val="1.18.3"/>
      <sheetName val="1.18.4"/>
      <sheetName val="1.18.5"/>
      <sheetName val="1.18.6"/>
      <sheetName val="1.18.7"/>
      <sheetName val="1.18.8"/>
      <sheetName val="1.18.9"/>
      <sheetName val="1.18.10"/>
      <sheetName val="1.20 OTROS"/>
      <sheetName val="1.20.1"/>
      <sheetName val="1.20.2"/>
      <sheetName val="1.20.3"/>
      <sheetName val="1.20.4"/>
      <sheetName val="1.20.5"/>
      <sheetName val="1.20.6"/>
      <sheetName val="1.20.7"/>
      <sheetName val="1.20.8"/>
      <sheetName val="1.20.9"/>
      <sheetName val="1.20.10"/>
      <sheetName val="1.20.11"/>
      <sheetName val="2.1 TUBERIA PVC - ACUEDUCTO"/>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29A "/>
      <sheetName val="2.1.29B"/>
      <sheetName val="2.1.30"/>
      <sheetName val="2.1.31"/>
      <sheetName val="2.1.32"/>
      <sheetName val="2.1.33"/>
      <sheetName val="2.1.33A"/>
      <sheetName val="2.1.33B"/>
      <sheetName val="2.1.34"/>
      <sheetName val="2.1.35"/>
      <sheetName val="2.1.36"/>
      <sheetName val="2.1.37"/>
      <sheetName val="2.1.38"/>
      <sheetName val="2.1.38A"/>
      <sheetName val="2.1.38B"/>
      <sheetName val="2.1.39"/>
      <sheetName val="2.1.40"/>
      <sheetName val="2.1.41"/>
      <sheetName val="2.1.42"/>
      <sheetName val="2.1.43"/>
      <sheetName val="2.1.44"/>
      <sheetName val="2.1.45"/>
      <sheetName val="2.1.46"/>
      <sheetName val="2.1.47"/>
      <sheetName val="2.1.48"/>
      <sheetName val="2.1.49"/>
      <sheetName val="2.1.50"/>
      <sheetName val="2.1.51"/>
      <sheetName val="2.1.52"/>
      <sheetName val="2.2 TUBERIA POLIETILENO PE 100 "/>
      <sheetName val="2.2.1"/>
      <sheetName val="2.2.2"/>
      <sheetName val="2.2.3"/>
      <sheetName val="2.2.4"/>
      <sheetName val="2.2.5"/>
      <sheetName val="2.2.6"/>
      <sheetName val="2.2.7"/>
      <sheetName val="2.2.8"/>
      <sheetName val="2.2.9"/>
      <sheetName val="2.2.10"/>
      <sheetName val="2.3 TUBERIA HG - ACUEDUCTO"/>
      <sheetName val="2.3.1"/>
      <sheetName val="2.3.2"/>
      <sheetName val="2.3.3"/>
      <sheetName val="2.3.4"/>
      <sheetName val="2.3.5"/>
      <sheetName val="2.3.6"/>
      <sheetName val="2.4 ACCESORIOS DE ACUEDUCTOS"/>
      <sheetName val="2.4.1"/>
      <sheetName val="2.4.2"/>
      <sheetName val="2.4.3"/>
      <sheetName val="2.4.4"/>
      <sheetName val="2.4.5"/>
      <sheetName val="2.4.6"/>
      <sheetName val="2.4.7"/>
      <sheetName val="2.4.8"/>
      <sheetName val="2.4.9"/>
      <sheetName val="2.4.10"/>
      <sheetName val="2.4.11"/>
      <sheetName val="2.4.12"/>
      <sheetName val="2.4.13"/>
      <sheetName val="2.4.16"/>
      <sheetName val="2.4.17"/>
      <sheetName val="2.4.18"/>
      <sheetName val="2.4.19"/>
      <sheetName val="2.4.20"/>
      <sheetName val="2.4.21"/>
      <sheetName val="2.4.22"/>
      <sheetName val="2.4.23"/>
      <sheetName val="2.4.24"/>
      <sheetName val="2.4.25"/>
      <sheetName val="2.4.26"/>
      <sheetName val="2.4.27"/>
      <sheetName val="2.4.28"/>
      <sheetName val="2.4.29"/>
      <sheetName val="2.4.30"/>
      <sheetName val="2.4.31"/>
      <sheetName val="2.4.32"/>
      <sheetName val="2.4.33"/>
      <sheetName val="2.4.34"/>
      <sheetName val="2.4.35"/>
      <sheetName val="2.4.36"/>
      <sheetName val="2.4.37"/>
      <sheetName val="2.4.38"/>
      <sheetName val="2.4.39"/>
      <sheetName val="2.4.40"/>
      <sheetName val="2.4.41"/>
      <sheetName val="2.4.42"/>
      <sheetName val="2.4.43"/>
      <sheetName val="2.4.44"/>
      <sheetName val="2.4.45"/>
      <sheetName val="2.4.46"/>
      <sheetName val="2.4.47"/>
      <sheetName val="2.4.48"/>
      <sheetName val="2.4.49"/>
      <sheetName val="2.4.50"/>
      <sheetName val="2.4.51"/>
      <sheetName val="2.4.52"/>
      <sheetName val="2.4.53"/>
      <sheetName val="2.4.54"/>
      <sheetName val="2.4.55"/>
      <sheetName val="2.4.56"/>
      <sheetName val="2.4.57"/>
      <sheetName val="2.4.58"/>
      <sheetName val="2.4.59"/>
      <sheetName val="2.4.60"/>
      <sheetName val="2.4.61"/>
      <sheetName val="2.4.62"/>
      <sheetName val="2.4.63"/>
      <sheetName val="2.4.64"/>
      <sheetName val="2.4.65"/>
      <sheetName val="2.4.66"/>
      <sheetName val="2.4.67"/>
      <sheetName val="2.4.68"/>
      <sheetName val="2.4.69"/>
      <sheetName val="2.4.70"/>
      <sheetName val="2.4.71"/>
      <sheetName val="2.4.72"/>
      <sheetName val="2.4.73"/>
      <sheetName val="2.4.74"/>
      <sheetName val="2.4.75"/>
      <sheetName val="2.4.76"/>
      <sheetName val="2.4.77"/>
      <sheetName val="2.4.78"/>
      <sheetName val="2.4.79"/>
      <sheetName val="2.4.80"/>
      <sheetName val="2.4.81"/>
      <sheetName val="2.4.82"/>
      <sheetName val="2.4.83"/>
      <sheetName val="2.4.84"/>
      <sheetName val="2.4.85"/>
      <sheetName val="2.4.86"/>
      <sheetName val="2.4.87"/>
      <sheetName val="2.4.88"/>
      <sheetName val="2.4.89"/>
      <sheetName val="2.4.90"/>
      <sheetName val="2.4.91"/>
      <sheetName val="2.4.92"/>
      <sheetName val="2.4.93"/>
      <sheetName val="2.4.94"/>
      <sheetName val="2.4.95"/>
      <sheetName val="2.4.96"/>
      <sheetName val="2.4.97"/>
      <sheetName val="2.4.98"/>
      <sheetName val="2.4.99"/>
      <sheetName val="2.4.100"/>
      <sheetName val="2.4.118"/>
      <sheetName val="2.4.119"/>
      <sheetName val="2.2.49"/>
      <sheetName val="2.4.120"/>
      <sheetName val="2.4.121"/>
      <sheetName val="2.4.122"/>
      <sheetName val="2.4.123"/>
      <sheetName val="2.4.124"/>
      <sheetName val="2.4.125"/>
      <sheetName val="2.4.126"/>
      <sheetName val="2.4.127"/>
      <sheetName val="2.4.128"/>
      <sheetName val="2.4.129"/>
      <sheetName val="2.4.130"/>
      <sheetName val="2.4.131"/>
      <sheetName val="2.4.132"/>
      <sheetName val="2.4.133"/>
      <sheetName val="2.4.134"/>
      <sheetName val="2.4.135"/>
      <sheetName val="2.4.136"/>
      <sheetName val="2.4.137"/>
      <sheetName val="2.4.138"/>
      <sheetName val="2.4.139"/>
      <sheetName val="2.4.140"/>
      <sheetName val="2.4.141"/>
      <sheetName val="2.4.142"/>
      <sheetName val="2.4.143"/>
      <sheetName val="2.4.144"/>
      <sheetName val="2.4.145"/>
      <sheetName val="2.4.146"/>
      <sheetName val="2.4.147"/>
      <sheetName val="2.4.148"/>
      <sheetName val="2.4.149"/>
      <sheetName val="2.4.150"/>
      <sheetName val="2.4.151"/>
      <sheetName val="2.4.152"/>
      <sheetName val="2.4.153"/>
      <sheetName val="2.4.154"/>
      <sheetName val="2.4.155"/>
      <sheetName val="2.4.156"/>
      <sheetName val="2.4.157"/>
      <sheetName val="2.4.158"/>
      <sheetName val="2.4.159"/>
      <sheetName val="2.4.160"/>
      <sheetName val="2.4.161"/>
      <sheetName val="2.4.162"/>
      <sheetName val="2.4.163"/>
      <sheetName val="2.4.164"/>
      <sheetName val="2.4.165"/>
      <sheetName val="2.4.166"/>
      <sheetName val="2.4.167"/>
      <sheetName val="2.4.168"/>
      <sheetName val="2.4.169"/>
      <sheetName val="2.4.169A"/>
      <sheetName val="2.4.170"/>
      <sheetName val="2.4.171"/>
      <sheetName val="2.4.172"/>
      <sheetName val="2.4.172A"/>
      <sheetName val="2.4.173"/>
      <sheetName val="2.4.174"/>
      <sheetName val="2.4.175"/>
      <sheetName val="2.4.177"/>
      <sheetName val="2.4.178"/>
      <sheetName val="2.4.181"/>
      <sheetName val="2.4.182"/>
      <sheetName val="2.4.183"/>
      <sheetName val="2.4.184"/>
      <sheetName val="2.4.185"/>
      <sheetName val="2.4.186"/>
      <sheetName val="2.4.187"/>
      <sheetName val="2.4.188"/>
      <sheetName val="2.4.176"/>
      <sheetName val="2.4.179"/>
      <sheetName val="2.4.180"/>
      <sheetName val="2.4.189"/>
      <sheetName val="2.4.190"/>
      <sheetName val="2.4.191"/>
      <sheetName val="2.4.192"/>
      <sheetName val="2.4.193"/>
      <sheetName val="2.4.194"/>
      <sheetName val="2.4.195"/>
      <sheetName val="2.4.196"/>
      <sheetName val="2.4.197"/>
      <sheetName val="2.4.198"/>
      <sheetName val="2.4.199"/>
      <sheetName val="2.4.200"/>
      <sheetName val="2.4.201"/>
      <sheetName val="2.4.202"/>
      <sheetName val="2.4.203"/>
      <sheetName val="2.4.204"/>
      <sheetName val="2.4.205"/>
      <sheetName val="2.4.206"/>
      <sheetName val="2.4.207"/>
      <sheetName val="2.4.208"/>
      <sheetName val="2.4.209"/>
      <sheetName val="2.4.210"/>
      <sheetName val="2.4.211"/>
      <sheetName val="2.4.212"/>
      <sheetName val="2.4.213"/>
      <sheetName val="2.4.214"/>
      <sheetName val="2.4.215"/>
      <sheetName val="2.4.216"/>
      <sheetName val="2.4.217"/>
      <sheetName val="2.4.218"/>
      <sheetName val="2.4.219"/>
      <sheetName val="2.4.220"/>
      <sheetName val="2.4.221"/>
      <sheetName val="2.4.222"/>
      <sheetName val="2.4.223"/>
      <sheetName val="2.4.224"/>
      <sheetName val="2.4.225"/>
      <sheetName val="2.4.226"/>
      <sheetName val="2.4.227"/>
      <sheetName val="2.4.228"/>
      <sheetName val="2.4.229"/>
      <sheetName val="2.4.230"/>
      <sheetName val="2.4.231"/>
      <sheetName val="2.4.232"/>
      <sheetName val="2.4.233"/>
      <sheetName val="2.4.234"/>
      <sheetName val="2.4.235"/>
      <sheetName val="2.4.236"/>
      <sheetName val="2.4.237"/>
      <sheetName val="2.4.238"/>
      <sheetName val="2.4.239"/>
      <sheetName val="2.4.240"/>
      <sheetName val="2.4.241"/>
      <sheetName val="2.4.242"/>
      <sheetName val="2.4.243"/>
      <sheetName val="2.4.244"/>
      <sheetName val="2.4.245"/>
      <sheetName val="2.4.246"/>
      <sheetName val="2.4.247"/>
      <sheetName val="2.4.248"/>
      <sheetName val="2.4.249"/>
      <sheetName val="2.4.250"/>
      <sheetName val="2.4.251"/>
      <sheetName val="2.4.252"/>
      <sheetName val="2.4.253"/>
      <sheetName val="2.4.254"/>
      <sheetName val="2.4.255"/>
      <sheetName val="2.4.256"/>
      <sheetName val="2.4.257"/>
      <sheetName val="2.4.258"/>
      <sheetName val="2.4.258A"/>
      <sheetName val="2.4.259"/>
      <sheetName val="2.4.260"/>
      <sheetName val="2.4.261"/>
      <sheetName val="2.4.262"/>
      <sheetName val="2.5.1"/>
      <sheetName val="2.5.2"/>
      <sheetName val="2.5.3"/>
      <sheetName val="2.5.4"/>
      <sheetName val="2.5.5"/>
      <sheetName val="2.5.6"/>
      <sheetName val="2.5.7"/>
      <sheetName val="2.5.8"/>
      <sheetName val="2.5.9"/>
      <sheetName val="2.5.10"/>
      <sheetName val="2.5.11"/>
      <sheetName val="2.5.12"/>
      <sheetName val="2.5.13"/>
      <sheetName val="2.5.14"/>
      <sheetName val="2.5.15"/>
      <sheetName val="2.5.16"/>
      <sheetName val="2.5.17"/>
      <sheetName val="2.5.18"/>
      <sheetName val="2.5.19"/>
      <sheetName val="2.5.20"/>
      <sheetName val="2.5.21"/>
      <sheetName val="2.5.22"/>
      <sheetName val="2.5.23"/>
      <sheetName val="2.5.24"/>
      <sheetName val="2.5.25"/>
      <sheetName val="2.5.26"/>
      <sheetName val="2.5.27"/>
      <sheetName val="2.5.28"/>
      <sheetName val="2.5.29"/>
      <sheetName val="2.5.30"/>
      <sheetName val="2.5.31"/>
      <sheetName val="2.5.32"/>
      <sheetName val="2.5.33"/>
      <sheetName val="2.5.34"/>
      <sheetName val="2.5.35"/>
      <sheetName val="2.5.36"/>
      <sheetName val="2.5.37"/>
      <sheetName val="2.5.38"/>
      <sheetName val="2.5.39"/>
      <sheetName val="2.5.40"/>
      <sheetName val="2.5.41"/>
      <sheetName val="2.5.42"/>
      <sheetName val="2.5.43"/>
      <sheetName val="2.5.44"/>
      <sheetName val="2.5.45"/>
      <sheetName val="2.5.46"/>
      <sheetName val="2.5.47"/>
      <sheetName val="2.5.48"/>
      <sheetName val="2.6.1"/>
      <sheetName val="2.6.2"/>
      <sheetName val="2.6.3"/>
      <sheetName val="2.6.4"/>
      <sheetName val="2.6.5"/>
      <sheetName val="2.6.6"/>
      <sheetName val="2.6.7"/>
      <sheetName val="2.6.8"/>
      <sheetName val="2.6.9"/>
      <sheetName val="2.6.10"/>
      <sheetName val="2.6.11"/>
      <sheetName val="2.6.12"/>
      <sheetName val="2.6.13"/>
      <sheetName val="2.6.14"/>
      <sheetName val="2.6.15"/>
      <sheetName val="2.6.16"/>
      <sheetName val="2.6.17"/>
      <sheetName val="2.6.18"/>
      <sheetName val="2.6.19"/>
      <sheetName val="2.6.20"/>
      <sheetName val="2.6.21"/>
      <sheetName val="2.6.22"/>
      <sheetName val="2.6.23"/>
      <sheetName val="2.6.24"/>
      <sheetName val="2.6.25"/>
      <sheetName val="2.6.26"/>
      <sheetName val="2.6.27"/>
      <sheetName val="2.6.28"/>
      <sheetName val="2.6.29"/>
      <sheetName val="2.6.30"/>
      <sheetName val="2.6.31"/>
      <sheetName val="2.6.32"/>
      <sheetName val="2.6.33"/>
      <sheetName val="2.6.34"/>
      <sheetName val="2.6.35"/>
      <sheetName val="2.6.36"/>
      <sheetName val="2.6.37"/>
      <sheetName val="2.6.38"/>
      <sheetName val="2.6.39"/>
      <sheetName val="2.6.40"/>
      <sheetName val="2.6.41"/>
      <sheetName val="2.6.42"/>
      <sheetName val="2.6.43"/>
      <sheetName val="2.6.44"/>
      <sheetName val="2.6.45"/>
      <sheetName val="2.6.46"/>
      <sheetName val="2.6.47"/>
      <sheetName val="2.6.48"/>
      <sheetName val="2.6.49"/>
      <sheetName val="2.6.50"/>
      <sheetName val="2.6.51"/>
      <sheetName val="2.6.52"/>
      <sheetName val="2.6.53"/>
      <sheetName val="2.6.54"/>
      <sheetName val="2.7.1"/>
      <sheetName val="2.7.2"/>
      <sheetName val="2.7.3"/>
      <sheetName val="2.7.4"/>
      <sheetName val="2.7.5"/>
      <sheetName val="2.7.6"/>
      <sheetName val="2.7.7"/>
      <sheetName val="2.7.8"/>
      <sheetName val="2.7.9"/>
      <sheetName val="2.7.10"/>
      <sheetName val="2.7.11"/>
      <sheetName val="2.8.1"/>
      <sheetName val="2.8.2"/>
      <sheetName val="2.8.3"/>
      <sheetName val="2.9.1"/>
      <sheetName val="2.9.2"/>
      <sheetName val="2.9.3"/>
      <sheetName val="2.10.1"/>
      <sheetName val="2.10.2"/>
      <sheetName val="2.10.3"/>
      <sheetName val="2.10.4"/>
      <sheetName val="2.11.1"/>
      <sheetName val="2.11.2"/>
      <sheetName val="2.11.3"/>
      <sheetName val="2.11.4"/>
      <sheetName val="2.12.1"/>
      <sheetName val="3.1.8"/>
      <sheetName val="3.1.13"/>
      <sheetName val="3.3.1"/>
      <sheetName val="3.3.7"/>
      <sheetName val="3.3.25"/>
      <sheetName val="3.15.43"/>
      <sheetName val="6.3.2"/>
      <sheetName val="6.2.1"/>
      <sheetName val="PRUEBA"/>
      <sheetName val="6.4.2.2"/>
      <sheetName val="6.4.2.3"/>
      <sheetName val="6.4.2.4"/>
      <sheetName val="6.4.2.5"/>
      <sheetName val="6.4.2.6"/>
      <sheetName val="6.4.2.7"/>
      <sheetName val="6.4.2.8"/>
      <sheetName val="6.4.2.9"/>
      <sheetName val="6.4.2.10"/>
      <sheetName val="6.4.2.11"/>
      <sheetName val="6.4.2.12"/>
      <sheetName val="6.4.2.13"/>
      <sheetName val="6.4.2.14"/>
      <sheetName val="6.4.2.15"/>
      <sheetName val="6.4.2.15A"/>
      <sheetName val="6.4.2.16"/>
      <sheetName val="6.4.2.17"/>
      <sheetName val="6.4.2.18"/>
      <sheetName val="6.4.2.19"/>
      <sheetName val="6.4.2.20"/>
      <sheetName val="6.4.2.21"/>
      <sheetName val="6.4.2.22"/>
      <sheetName val="6.4.2.23"/>
      <sheetName val="6.4.2.24"/>
      <sheetName val="6.4.2.25"/>
      <sheetName val="6.4.2.26"/>
      <sheetName val="6.4.2.28"/>
      <sheetName val="6.4.2.29"/>
      <sheetName val="6.4.2.30"/>
      <sheetName val="6.4.2.31"/>
      <sheetName val="6.4.2.32"/>
      <sheetName val="6.4.2.33"/>
      <sheetName val="6.4.2.34"/>
      <sheetName val="6.4.2.35"/>
      <sheetName val="6.4.2.36"/>
      <sheetName val="6.4.2.37"/>
      <sheetName val="6.4.2.38"/>
      <sheetName val="6.4.2.39"/>
      <sheetName val="6.4.2.39A"/>
      <sheetName val="6.4.2.40"/>
      <sheetName val="6.4.2.41"/>
      <sheetName val="6.4.2.43"/>
      <sheetName val="6.4.2.43A"/>
      <sheetName val="6.4.2.44"/>
      <sheetName val="6.4.2.45"/>
      <sheetName val="6.4.2.46"/>
      <sheetName val="3.3.17"/>
      <sheetName val="3.3.18"/>
      <sheetName val="6.4.2.52"/>
      <sheetName val="6.4.2.53"/>
      <sheetName val="6.4.2.54"/>
      <sheetName val="6.4.2.55"/>
      <sheetName val="6.4.2.56"/>
      <sheetName val="6.4.2.57"/>
      <sheetName val="6.4.2.58"/>
      <sheetName val="6.4.2.59"/>
      <sheetName val="6.4.2.60"/>
      <sheetName val="6.4.2.61"/>
      <sheetName val="6.4.2.62"/>
      <sheetName val="6.4.2.63"/>
      <sheetName val="6.4.2.64"/>
      <sheetName val="6.4.2.65"/>
      <sheetName val="6.4.2.66"/>
      <sheetName val="6.4.2.67"/>
      <sheetName val="6.4.2.69"/>
      <sheetName val="6.4.2.70"/>
      <sheetName val="6.4.2.71"/>
      <sheetName val="6.4.2.72"/>
      <sheetName val="6.4.2.73"/>
      <sheetName val="6.4.2.74"/>
      <sheetName val="6.4.2.75"/>
      <sheetName val="6.4.2.76"/>
      <sheetName val="1.7.46"/>
      <sheetName val="6.4.2.78"/>
      <sheetName val="2.1.32A"/>
      <sheetName val="2.1.32B"/>
      <sheetName val="2.1.28A"/>
      <sheetName val="6.4.2.79"/>
      <sheetName val="6.4.2.80"/>
      <sheetName val="6.4.2.81"/>
      <sheetName val="3.3.13"/>
      <sheetName val="6.4.2.82"/>
      <sheetName val="6.4.2.83"/>
      <sheetName val="6.4.2.84"/>
      <sheetName val="6.4.2.85"/>
      <sheetName val="6.4.2.86"/>
      <sheetName val="6.4.2.87"/>
      <sheetName val="6.4.2.88"/>
      <sheetName val="6.4.2.89"/>
      <sheetName val="3.3.5"/>
      <sheetName val="6.4.2.90"/>
      <sheetName val="6.4.2.91"/>
      <sheetName val="6.4.2.92"/>
      <sheetName val="6.4.2.93"/>
      <sheetName val="6.4.2.94"/>
      <sheetName val="3.3.3"/>
      <sheetName val="6.4.2.95"/>
      <sheetName val="6.4.2.95A"/>
      <sheetName val="6.4.2.96"/>
      <sheetName val="3.1.1"/>
      <sheetName val="6.4.2.97"/>
      <sheetName val="6.4.2.98"/>
      <sheetName val="6.4.2.99"/>
      <sheetName val="6.4.2.100"/>
      <sheetName val="2.4.14"/>
      <sheetName val="6.4.2.101"/>
      <sheetName val="3.5.2"/>
      <sheetName val="6.4.2.102"/>
      <sheetName val="6.4.2.105"/>
      <sheetName val="6.4.2.106"/>
      <sheetName val="3.9.21"/>
      <sheetName val="6.4.2.108"/>
      <sheetName val="3.15.42"/>
      <sheetName val="3.3.26"/>
      <sheetName val="3.15.87"/>
      <sheetName val="3.3.2"/>
      <sheetName val="1.12.54"/>
      <sheetName val="6.4.2.114"/>
      <sheetName val="6.4.2.115"/>
      <sheetName val="6.4.2.116"/>
      <sheetName val="6.4.2.117"/>
      <sheetName val="6.4.2.118"/>
      <sheetName val="6.4.2.119"/>
      <sheetName val="6.4.2.120"/>
      <sheetName val="6.4.2.121"/>
      <sheetName val="6.4.2.122"/>
      <sheetName val="6.4.2.123"/>
      <sheetName val="6.4.2.124"/>
      <sheetName val="6.4.2.125"/>
      <sheetName val="6.4.2.126"/>
      <sheetName val="6.4.2.127"/>
      <sheetName val="6.4.2.128"/>
      <sheetName val="6.4.2.129"/>
      <sheetName val="6.4.2.130"/>
      <sheetName val="6.4.2.131"/>
      <sheetName val="6.4.2.132"/>
      <sheetName val="6.4.2.133"/>
      <sheetName val="6.4.2.134"/>
      <sheetName val="6.4.2.135"/>
      <sheetName val="6.4.2.136"/>
      <sheetName val="6.4.2.137"/>
      <sheetName val="6.4.2.138"/>
      <sheetName val="6.4.2.139"/>
      <sheetName val="6.4.2.140"/>
      <sheetName val="6.4.2.141"/>
      <sheetName val="6.4.2.142"/>
      <sheetName val="6.4.2.143"/>
      <sheetName val="6.4.2.144"/>
      <sheetName val="6.4.2.145"/>
      <sheetName val="6.4.2.146"/>
      <sheetName val="6.4.2.147"/>
      <sheetName val="6.4.2.148"/>
      <sheetName val="6.4.2.149"/>
      <sheetName val="6.4.2.150"/>
      <sheetName val="6.4.2.151"/>
      <sheetName val="3.15.15A"/>
      <sheetName val="6.2.4"/>
      <sheetName val="6.2.2"/>
      <sheetName val="13.1.1"/>
      <sheetName val="6.4.2.152"/>
      <sheetName val="6.4.2.153"/>
      <sheetName val="6.4.2.154"/>
      <sheetName val="6.4.2.155"/>
      <sheetName val="6.4.2.156"/>
      <sheetName val="6.4.2.157"/>
      <sheetName val="6.4.2.158"/>
      <sheetName val="6.4.2.159"/>
      <sheetName val="6.4.2.160"/>
      <sheetName val="6.4.2.161"/>
      <sheetName val="6.4.2.162"/>
      <sheetName val="6.4.2.163"/>
      <sheetName val="6.4.2.164"/>
      <sheetName val="6.4.2.165"/>
      <sheetName val="6.4.2.166"/>
      <sheetName val="6.4.2.167"/>
      <sheetName val="6.4.2.168"/>
      <sheetName val="6.4.2.169"/>
      <sheetName val="6.4.2.170"/>
      <sheetName val="6.4.2.171"/>
      <sheetName val="6.4.2.172"/>
      <sheetName val="6.4.2.173"/>
      <sheetName val="6.4.2.174"/>
      <sheetName val="6.4.2.175"/>
      <sheetName val="6.4.2.176"/>
      <sheetName val="6.4.2.177"/>
      <sheetName val="6.4.2.178"/>
      <sheetName val="6.4.2.179"/>
      <sheetName val="6.4.2.180"/>
      <sheetName val="6.4.2.181"/>
      <sheetName val="6.4.2.182"/>
      <sheetName val="6.4.2.183"/>
      <sheetName val="6.4.2.184"/>
      <sheetName val="6.4.2.185"/>
      <sheetName val="6.4.2.186"/>
      <sheetName val="6.4.2.187"/>
      <sheetName val="6.4.2.188"/>
      <sheetName val="6.4.2.189"/>
      <sheetName val="6.4.2.190"/>
      <sheetName val="6.4.2.191"/>
      <sheetName val="6.4.2.192"/>
      <sheetName val="6.4.2.193"/>
      <sheetName val="6.4.2.194"/>
      <sheetName val="6.4.2.195"/>
      <sheetName val="6.4.2.196"/>
      <sheetName val="6.4.2.197"/>
      <sheetName val="6.4.2.198"/>
      <sheetName val="6.4.2.199"/>
      <sheetName val="6.4.2.200"/>
      <sheetName val="6.4.2.201"/>
      <sheetName val="6.4.2.202"/>
      <sheetName val="6.4.2.203"/>
      <sheetName val="6.4.2.204"/>
      <sheetName val="6.4.2.205"/>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6.4.2.221"/>
      <sheetName val="3.17.3"/>
      <sheetName val="3.17.10A"/>
      <sheetName val="3.17.10B"/>
      <sheetName val="3.11.2"/>
      <sheetName val="3.5.1"/>
      <sheetName val="3.3.4"/>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mp;M 25"/>
      <sheetName val="PREACTA 25"/>
      <sheetName val="ACTA 25"/>
      <sheetName val="Hoja1"/>
      <sheetName val="Hoja3"/>
    </sheetNames>
    <sheetDataSet>
      <sheetData sheetId="0"/>
      <sheetData sheetId="1"/>
      <sheetData sheetId="2"/>
      <sheetData sheetId="3"/>
      <sheetData sheetId="4"/>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mp;M 25"/>
      <sheetName val="PREACTA 25"/>
      <sheetName val="ACTA 25"/>
      <sheetName val="Hoja1"/>
      <sheetName val="Hoja3"/>
    </sheetNames>
    <sheetDataSet>
      <sheetData sheetId="0"/>
      <sheetData sheetId="1"/>
      <sheetData sheetId="2"/>
      <sheetData sheetId="3"/>
      <sheetData sheetId="4"/>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ORICOS WTI"/>
      <sheetName val="Gráfico1"/>
      <sheetName val="Hoja1"/>
      <sheetName val="HISTORICOS FUEL OIL EXP"/>
      <sheetName val="ESTIMACION NYMEX CRUDO"/>
      <sheetName val="ESTIMACION NYMEX GAS NATURAL"/>
      <sheetName val="PROYECCION"/>
      <sheetName val="FUEL OIL EXP vs FUEL OIL 30"/>
      <sheetName val="PRECIOS GAS"/>
      <sheetName val="PR 1"/>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sheetName val="APUs"/>
      <sheetName val="Hoja1"/>
      <sheetName val="Lista1"/>
      <sheetName val="Lista2"/>
      <sheetName val="M-O"/>
      <sheetName val="Equi. y Herra."/>
      <sheetName val="Acabados"/>
      <sheetName val="Concreto"/>
      <sheetName val="Acero"/>
      <sheetName val="Mat. Cantera"/>
      <sheetName val="Mat. Hidra."/>
      <sheetName val="Mat. Elect."/>
      <sheetName val="Otros"/>
      <sheetName val="Prefabricados"/>
      <sheetName val="Carp. Met."/>
      <sheetName val="Aire Acon."/>
      <sheetName val="Cristales"/>
      <sheetName val="Madera"/>
      <sheetName val="Insta. Gas"/>
      <sheetName val="Con.280kg-cm2"/>
      <sheetName val="Con.210kg-cm2"/>
      <sheetName val="Conc.140kg-cm2"/>
      <sheetName val="Mort.14"/>
      <sheetName val="PPTO CENTRO DE VIDA"/>
      <sheetName val="PPTO CENTRO DE VIDA.xls"/>
      <sheetName val="PPTO%20CENTRO%20DE%20VIDA.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sheetName val="APUs"/>
      <sheetName val="Hoja1"/>
      <sheetName val="Lista1"/>
      <sheetName val="Lista2"/>
      <sheetName val="M-O"/>
      <sheetName val="Equi. y Herra."/>
      <sheetName val="Acabados"/>
      <sheetName val="Concreto"/>
      <sheetName val="Acero"/>
      <sheetName val="Mat. Cantera"/>
      <sheetName val="Mat. Hidra."/>
      <sheetName val="Mat. Elect."/>
      <sheetName val="Otros"/>
      <sheetName val="Prefabricados"/>
      <sheetName val="Carp. Met."/>
      <sheetName val="Aire Acon."/>
      <sheetName val="Cristales"/>
      <sheetName val="Madera"/>
      <sheetName val="Insta. Gas"/>
      <sheetName val="Con.280kg-cm2"/>
      <sheetName val="Con.210kg-cm2"/>
      <sheetName val="Conc.140kg-cm2"/>
      <sheetName val="Mort.14"/>
      <sheetName val="PPTO CENTRO DE VIDA"/>
      <sheetName val="PPTO CENTRO DE VIDA.xls"/>
      <sheetName val="PPTO%20CENTRO%20DE%20VIDA.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OFICIAL"/>
      <sheetName val="MEMORIA PAVIMENTO"/>
      <sheetName val="AIU"/>
      <sheetName val="PLAN AMBIENTAL"/>
      <sheetName val="MO"/>
      <sheetName val="M.OBRA"/>
      <sheetName val="APU BASICO"/>
      <sheetName val="INTERVENTORIA"/>
      <sheetName val="FACTOR MULTIPLICADOR"/>
      <sheetName val="1"/>
      <sheetName val="APU"/>
      <sheetName val="2"/>
      <sheetName val="3"/>
      <sheetName val="4"/>
      <sheetName val="1.3_2"/>
      <sheetName val="5"/>
      <sheetName val="6"/>
      <sheetName val="7"/>
      <sheetName val="8"/>
      <sheetName val="9"/>
      <sheetName val="10"/>
      <sheetName val="11"/>
      <sheetName val="12"/>
      <sheetName val="MATERIA"/>
      <sheetName val="Cortes y Llenos"/>
      <sheetName val="Pavimento"/>
      <sheetName val="LISTA DE PRECIOS"/>
      <sheetName val="FSE-01 HOJA 1 "/>
      <sheetName val="PRESUPUESTO VIA SAN LUIS JULIO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FE COVER"/>
      <sheetName val="Hoja2"/>
      <sheetName val="BASE"/>
      <sheetName val="PRECIOS"/>
    </sheetNames>
    <sheetDataSet>
      <sheetData sheetId="0"/>
      <sheetData sheetId="1"/>
      <sheetData sheetId="2"/>
      <sheetData sheetId="3" refreshError="1"/>
      <sheetData sheetId="4"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T133-134"/>
      <sheetName val="T132-133"/>
      <sheetName val="T130-131"/>
    </sheetNames>
    <sheetDataSet>
      <sheetData sheetId="0"/>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Database"/>
      <sheetName val="Report - Cash Flow"/>
      <sheetName val="Report - CCS not used"/>
      <sheetName val="Monthly Spent to date"/>
      <sheetName val="Report - Glencore"/>
      <sheetName val="Report CCS"/>
      <sheetName val="Report - AFE status"/>
      <sheetName val="Report - Capital investment"/>
      <sheetName val="Report - 1Q Forecast"/>
      <sheetName val="Paste in Cash Flow"/>
      <sheetName val="Paste in Cash Flow (2)"/>
      <sheetName val="REF - 2004 thru 2006 Database"/>
      <sheetName val="REF - CASH FLOW FEB 19 07"/>
      <sheetName val="REF - Capex in Models"/>
      <sheetName val="REF - Access Fee"/>
      <sheetName val="REF - Listas"/>
      <sheetName val="REF - Notas"/>
      <sheetName val="Report - Forecast"/>
      <sheetName val="Reporte por proyecto"/>
      <sheetName val="Reporte por responsible"/>
      <sheetName val="Nota"/>
      <sheetName val="Reporte"/>
      <sheetName val="JAG Total Cap"/>
      <sheetName val="JAG Other Cap"/>
      <sheetName val="CAL Total Cap"/>
      <sheetName val="CAL Other Cap"/>
      <sheetName val="Grafica Cash Flow"/>
      <sheetName val="Capital table"/>
      <sheetName val="Calenturitas - CAPITAL"/>
      <sheetName val="La Jagua - CAPITAL"/>
      <sheetName val="Statistics"/>
      <sheetName val="Capex projection (2)"/>
      <sheetName val="Sheet1"/>
      <sheetName val="La Jagua - CAPITAL 2008"/>
      <sheetName val="Prodeco - CAPITAL 2008"/>
      <sheetName val="Calenturitas - CAPITAL 2007"/>
      <sheetName val="La Jagua - CAPITAL  200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refreshError="1"/>
      <sheetData sheetId="32"/>
      <sheetData sheetId="33" refreshError="1"/>
      <sheetData sheetId="34" refreshError="1"/>
      <sheetData sheetId="35" refreshError="1"/>
      <sheetData sheetId="36"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s>
    <sheetDataSet>
      <sheetData sheetId="0"/>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30"/>
      <sheetName val="231"/>
      <sheetName val="232"/>
      <sheetName val="233"/>
      <sheetName val="234"/>
      <sheetName val="235"/>
      <sheetName val="236"/>
      <sheetName val="237"/>
      <sheetName val="240"/>
      <sheetName val="241"/>
      <sheetName val="242"/>
      <sheetName val="243"/>
      <sheetName val="244"/>
      <sheetName val="245"/>
      <sheetName val="246"/>
      <sheetName val="247"/>
      <sheetName val="248"/>
      <sheetName val="250"/>
      <sheetName val="251"/>
      <sheetName val="252"/>
      <sheetName val="253"/>
      <sheetName val="254"/>
      <sheetName val="260"/>
      <sheetName val="261"/>
      <sheetName val="262"/>
      <sheetName val="263"/>
      <sheetName val="264"/>
      <sheetName val="265"/>
      <sheetName val="270"/>
      <sheetName val="271"/>
      <sheetName val="272"/>
      <sheetName val="273"/>
      <sheetName val="274"/>
      <sheetName val="275"/>
      <sheetName val="276"/>
      <sheetName val="280"/>
      <sheetName val="282"/>
      <sheetName val="283"/>
      <sheetName val="284"/>
      <sheetName val="285"/>
      <sheetName val="286"/>
      <sheetName val="288"/>
      <sheetName val="290"/>
      <sheetName val="320"/>
      <sheetName val="321"/>
      <sheetName val="322"/>
      <sheetName val="323"/>
      <sheetName val="324"/>
      <sheetName val="326"/>
      <sheetName val="327"/>
      <sheetName val="328"/>
      <sheetName val="329"/>
      <sheetName val="330"/>
      <sheetName val="331"/>
      <sheetName val="332"/>
      <sheetName val="333"/>
      <sheetName val="334"/>
      <sheetName val="335"/>
      <sheetName val="336"/>
      <sheetName val="337"/>
      <sheetName val="338"/>
      <sheetName val="340"/>
      <sheetName val="341"/>
      <sheetName val="342"/>
      <sheetName val="343"/>
      <sheetName val="344"/>
      <sheetName val="350"/>
      <sheetName val="351"/>
      <sheetName val="352"/>
      <sheetName val="353"/>
      <sheetName val="354"/>
      <sheetName val="355"/>
      <sheetName val="356"/>
      <sheetName val="357"/>
      <sheetName val="358"/>
      <sheetName val="370"/>
      <sheetName val="372"/>
      <sheetName val="373"/>
      <sheetName val="374"/>
      <sheetName val="375"/>
      <sheetName val="376"/>
      <sheetName val="377"/>
      <sheetName val="378"/>
      <sheetName val="379"/>
      <sheetName val="380"/>
      <sheetName val="500"/>
      <sheetName val="501"/>
      <sheetName val="502"/>
      <sheetName val="503"/>
      <sheetName val="504"/>
      <sheetName val="505"/>
      <sheetName val="506"/>
      <sheetName val="507"/>
      <sheetName val="508"/>
      <sheetName val="509"/>
      <sheetName val="510"/>
      <sheetName val="511"/>
      <sheetName val="512"/>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 val="534"/>
      <sheetName val="535"/>
      <sheetName val="536"/>
      <sheetName val="537"/>
      <sheetName val="538"/>
      <sheetName val="539"/>
      <sheetName val="540"/>
      <sheetName val="541"/>
      <sheetName val="542"/>
      <sheetName val="543"/>
      <sheetName val="544"/>
      <sheetName val="545"/>
      <sheetName val="546"/>
      <sheetName val="547"/>
      <sheetName val="548"/>
      <sheetName val="549"/>
      <sheetName val="555"/>
      <sheetName val="556"/>
      <sheetName val="557"/>
      <sheetName val="558"/>
      <sheetName val="559"/>
      <sheetName val="601"/>
      <sheetName val="602"/>
      <sheetName val="603"/>
      <sheetName val="604"/>
      <sheetName val="605"/>
      <sheetName val="606"/>
      <sheetName val="610"/>
      <sheetName val="611"/>
      <sheetName val="612"/>
      <sheetName val="696"/>
      <sheetName val="697"/>
      <sheetName val="698"/>
      <sheetName val="699"/>
      <sheetName val="700"/>
      <sheetName val="701"/>
      <sheetName val="702"/>
      <sheetName val="703"/>
      <sheetName val="704"/>
      <sheetName val="705"/>
      <sheetName val="706"/>
      <sheetName val="707"/>
      <sheetName val="708"/>
      <sheetName val="70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 val="736"/>
      <sheetName val="737"/>
      <sheetName val="738"/>
      <sheetName val="739"/>
      <sheetName val="740"/>
      <sheetName val="741"/>
      <sheetName val="750"/>
      <sheetName val="751"/>
      <sheetName val="752"/>
      <sheetName val="753"/>
      <sheetName val="754"/>
      <sheetName val="755"/>
      <sheetName val="756"/>
      <sheetName val="757"/>
      <sheetName val="758"/>
      <sheetName val="759"/>
      <sheetName val="760"/>
      <sheetName val="761"/>
      <sheetName val="762"/>
      <sheetName val="763"/>
      <sheetName val="764"/>
      <sheetName val="765"/>
      <sheetName val="770"/>
      <sheetName val="771"/>
      <sheetName val="772"/>
      <sheetName val="773"/>
      <sheetName val="774"/>
      <sheetName val="780"/>
      <sheetName val="781"/>
      <sheetName val="782"/>
      <sheetName val="783"/>
      <sheetName val="790"/>
      <sheetName val="791"/>
      <sheetName val="792"/>
      <sheetName val="793"/>
      <sheetName val="794"/>
      <sheetName val="796"/>
      <sheetName val="797"/>
      <sheetName val="798"/>
      <sheetName val="799"/>
      <sheetName val="802"/>
      <sheetName val="803"/>
      <sheetName val="804"/>
      <sheetName val="805"/>
      <sheetName val="820"/>
      <sheetName val="821"/>
      <sheetName val="822"/>
      <sheetName val="823"/>
      <sheetName val="824"/>
      <sheetName val="827"/>
      <sheetName val="828"/>
      <sheetName val="829"/>
      <sheetName val="830"/>
      <sheetName val="831"/>
      <sheetName val="832"/>
      <sheetName val="833"/>
      <sheetName val="834"/>
      <sheetName val="835"/>
      <sheetName val="836"/>
      <sheetName val="837"/>
      <sheetName val="838"/>
      <sheetName val="839"/>
      <sheetName val="841"/>
      <sheetName val="843"/>
      <sheetName val="845"/>
      <sheetName val="846"/>
      <sheetName val="847"/>
      <sheetName val="848"/>
      <sheetName val="849"/>
      <sheetName val="855"/>
      <sheetName val="856"/>
      <sheetName val="857"/>
      <sheetName val="858"/>
      <sheetName val="860"/>
      <sheetName val="861"/>
      <sheetName val="862"/>
      <sheetName val="863"/>
      <sheetName val="868"/>
      <sheetName val="869"/>
      <sheetName val="870"/>
      <sheetName val="871"/>
      <sheetName val="872"/>
      <sheetName val="875"/>
      <sheetName val="876"/>
      <sheetName val="877"/>
      <sheetName val="880"/>
      <sheetName val="881"/>
      <sheetName val="883"/>
      <sheetName val="884"/>
      <sheetName val="886"/>
      <sheetName val="887"/>
      <sheetName val="890"/>
      <sheetName val="891"/>
      <sheetName val="892"/>
      <sheetName val="893"/>
      <sheetName val="894"/>
      <sheetName val="895"/>
      <sheetName val="896"/>
      <sheetName val="897"/>
      <sheetName val="898"/>
      <sheetName val="899"/>
      <sheetName val="900"/>
      <sheetName val="901"/>
      <sheetName val="910"/>
      <sheetName val="911"/>
      <sheetName val="912"/>
      <sheetName val="913"/>
      <sheetName val="914"/>
      <sheetName val="915"/>
      <sheetName val="918"/>
      <sheetName val="919"/>
      <sheetName val="920"/>
      <sheetName val="921"/>
      <sheetName val="924"/>
      <sheetName val="925"/>
      <sheetName val="926"/>
      <sheetName val="927"/>
      <sheetName val="930"/>
      <sheetName val="931"/>
      <sheetName val="932"/>
      <sheetName val="933"/>
      <sheetName val="936"/>
      <sheetName val="937"/>
      <sheetName val="938"/>
      <sheetName val="939"/>
      <sheetName val="948"/>
      <sheetName val="949"/>
      <sheetName val="950"/>
      <sheetName val="951"/>
      <sheetName val="952"/>
      <sheetName val="955"/>
      <sheetName val="956"/>
      <sheetName val="957"/>
      <sheetName val="958"/>
      <sheetName val="959"/>
      <sheetName val="960"/>
      <sheetName val="961"/>
      <sheetName val="962"/>
      <sheetName val="963"/>
      <sheetName val="964"/>
      <sheetName val="965"/>
      <sheetName val="966"/>
      <sheetName val="967"/>
      <sheetName val="968"/>
      <sheetName val="969"/>
      <sheetName val="970"/>
      <sheetName val="971"/>
      <sheetName val="972"/>
      <sheetName val="973"/>
      <sheetName val="974"/>
      <sheetName val="975"/>
      <sheetName val="976"/>
      <sheetName val="977"/>
      <sheetName val="978"/>
      <sheetName val="979"/>
      <sheetName val="980"/>
      <sheetName val="981"/>
      <sheetName val="982"/>
      <sheetName val="983"/>
      <sheetName val="984"/>
      <sheetName val="985"/>
      <sheetName val="986"/>
      <sheetName val="987"/>
      <sheetName val="988"/>
      <sheetName val="989"/>
      <sheetName val="990"/>
      <sheetName val="991"/>
      <sheetName val="992"/>
      <sheetName val="993"/>
      <sheetName val="994"/>
      <sheetName val="995"/>
      <sheetName val="996"/>
      <sheetName val="997"/>
      <sheetName val="998"/>
      <sheetName val="999"/>
      <sheetName val="1000"/>
      <sheetName val="1001"/>
      <sheetName val="1002"/>
      <sheetName val="1003"/>
      <sheetName val="1004"/>
      <sheetName val="1005"/>
      <sheetName val="1006"/>
      <sheetName val="1007"/>
      <sheetName val="1008"/>
      <sheetName val="1009"/>
      <sheetName val="1010"/>
      <sheetName val="1011"/>
      <sheetName val="1076"/>
      <sheetName val="1077"/>
      <sheetName val="1078"/>
      <sheetName val="1079"/>
      <sheetName val="1080"/>
      <sheetName val="1081"/>
      <sheetName val="1082"/>
      <sheetName val="1084"/>
      <sheetName val="1085"/>
      <sheetName val="1086"/>
      <sheetName val="1096"/>
      <sheetName val="1100"/>
      <sheetName val="1104"/>
      <sheetName val="1107"/>
      <sheetName val="1126"/>
      <sheetName val="1127"/>
      <sheetName val="1128"/>
      <sheetName val="1129"/>
      <sheetName val="1130"/>
      <sheetName val="1132"/>
      <sheetName val="1133"/>
      <sheetName val="1134"/>
      <sheetName val="1135"/>
      <sheetName val="1136"/>
      <sheetName val="1137"/>
      <sheetName val="1138"/>
      <sheetName val="1139"/>
      <sheetName val="1140"/>
      <sheetName val="1141"/>
      <sheetName val="1142"/>
      <sheetName val="1143"/>
      <sheetName val="1144"/>
      <sheetName val="1145"/>
      <sheetName val="1146"/>
      <sheetName val="1147"/>
      <sheetName val="1148"/>
      <sheetName val="1149"/>
      <sheetName val="1150"/>
      <sheetName val="1160"/>
      <sheetName val="1161"/>
      <sheetName val="1162"/>
      <sheetName val="1163"/>
      <sheetName val="1164"/>
      <sheetName val="1165"/>
      <sheetName val="1168"/>
      <sheetName val="1169"/>
      <sheetName val="1170"/>
      <sheetName val="1175"/>
      <sheetName val="1180"/>
      <sheetName val="1182"/>
      <sheetName val="1200"/>
      <sheetName val="1201"/>
      <sheetName val="1202"/>
      <sheetName val="1204"/>
      <sheetName val="1205"/>
      <sheetName val="1206"/>
      <sheetName val="1207"/>
      <sheetName val="1208"/>
      <sheetName val="120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6"/>
      <sheetName val="1228"/>
      <sheetName val="1229"/>
      <sheetName val="1230"/>
      <sheetName val="1231"/>
      <sheetName val="1232"/>
      <sheetName val="1233"/>
      <sheetName val="1234"/>
      <sheetName val="1235"/>
      <sheetName val="1237"/>
      <sheetName val="1239"/>
      <sheetName val="1241"/>
      <sheetName val="1243"/>
      <sheetName val="1245"/>
      <sheetName val="1247"/>
      <sheetName val="1249"/>
      <sheetName val="1251"/>
      <sheetName val="1255"/>
      <sheetName val="1260"/>
      <sheetName val="1265"/>
      <sheetName val="1270"/>
      <sheetName val="1275"/>
      <sheetName val="RES"/>
      <sheetName val="1280"/>
      <sheetName val="1285"/>
      <sheetName val="1290"/>
      <sheetName val="1295"/>
      <sheetName val="1300"/>
      <sheetName val="161"/>
      <sheetName val="162"/>
      <sheetName val="163"/>
      <sheetName val="164"/>
      <sheetName val="170"/>
      <sheetName val="171"/>
      <sheetName val="172"/>
      <sheetName val="173"/>
      <sheetName val="174"/>
      <sheetName val="175"/>
      <sheetName val="176"/>
      <sheetName val="177"/>
      <sheetName val="178"/>
      <sheetName val="179"/>
      <sheetName val="180"/>
      <sheetName val="190"/>
      <sheetName val="191"/>
      <sheetName val="192"/>
      <sheetName val="193"/>
      <sheetName val="194"/>
      <sheetName val="195"/>
      <sheetName val="196"/>
      <sheetName val="197"/>
      <sheetName val="198"/>
      <sheetName val="199"/>
      <sheetName val="200"/>
      <sheetName val="201"/>
      <sheetName val="202"/>
      <sheetName val="203"/>
      <sheetName val="204"/>
      <sheetName val="205"/>
      <sheetName val="206"/>
      <sheetName val="112"/>
      <sheetName val="113"/>
      <sheetName val="114"/>
      <sheetName val="115"/>
      <sheetName val="116"/>
      <sheetName val="117"/>
      <sheetName val="118"/>
      <sheetName val="119"/>
      <sheetName val="120"/>
      <sheetName val="121"/>
      <sheetName val="122"/>
      <sheetName val="123"/>
      <sheetName val="124"/>
      <sheetName val="125"/>
      <sheetName val="126"/>
      <sheetName val="129"/>
      <sheetName val="130"/>
      <sheetName val="131"/>
      <sheetName val="132"/>
      <sheetName val="133"/>
      <sheetName val="134"/>
      <sheetName val="135"/>
      <sheetName val="136"/>
      <sheetName val="137"/>
      <sheetName val="138"/>
      <sheetName val="139"/>
      <sheetName val="140"/>
      <sheetName val="141"/>
      <sheetName val="142"/>
      <sheetName val="150"/>
      <sheetName val="151"/>
      <sheetName val="153"/>
      <sheetName val="156"/>
      <sheetName val="157"/>
      <sheetName val="158"/>
      <sheetName val="159"/>
      <sheetName val="160"/>
      <sheetName val="100"/>
      <sheetName val="101"/>
      <sheetName val="102"/>
      <sheetName val="103"/>
      <sheetName val="104"/>
      <sheetName val="105"/>
      <sheetName val="106"/>
      <sheetName val="107"/>
      <sheetName val="108"/>
      <sheetName val="109"/>
      <sheetName val="110"/>
      <sheetName val="111"/>
      <sheetName val="90"/>
      <sheetName val="91"/>
      <sheetName val="92"/>
      <sheetName val="93"/>
      <sheetName val="94"/>
      <sheetName val="95"/>
      <sheetName val="96"/>
      <sheetName val="97"/>
      <sheetName val="98"/>
      <sheetName val="99"/>
      <sheetName val="80"/>
      <sheetName val="81"/>
      <sheetName val="82"/>
      <sheetName val="83"/>
      <sheetName val="84"/>
      <sheetName val="85"/>
      <sheetName val="86"/>
      <sheetName val="87"/>
      <sheetName val="88"/>
      <sheetName val="89"/>
      <sheetName val="70"/>
      <sheetName val="71"/>
      <sheetName val="76"/>
      <sheetName val="77"/>
      <sheetName val="78"/>
      <sheetName val="79"/>
      <sheetName val="60"/>
      <sheetName val="61"/>
      <sheetName val="62"/>
      <sheetName val="63"/>
      <sheetName val="64"/>
      <sheetName val="65"/>
      <sheetName val="66"/>
      <sheetName val="67"/>
      <sheetName val="68"/>
      <sheetName val="69"/>
      <sheetName val="50"/>
      <sheetName val="51"/>
      <sheetName val="52"/>
      <sheetName val="53"/>
      <sheetName val="54"/>
      <sheetName val="55"/>
      <sheetName val="56"/>
      <sheetName val="57"/>
      <sheetName val="58"/>
      <sheetName val="59"/>
      <sheetName val="40"/>
      <sheetName val="41"/>
      <sheetName val="42"/>
      <sheetName val="43"/>
      <sheetName val="44"/>
      <sheetName val="45"/>
      <sheetName val="46"/>
      <sheetName val="47"/>
      <sheetName val="48"/>
      <sheetName val="49"/>
      <sheetName val="20"/>
      <sheetName val="21"/>
      <sheetName val="22"/>
      <sheetName val="23"/>
      <sheetName val="25"/>
      <sheetName val="26"/>
      <sheetName val="27"/>
      <sheetName val="29"/>
      <sheetName val="30"/>
      <sheetName val="31"/>
      <sheetName val="33"/>
      <sheetName val="34"/>
      <sheetName val="35"/>
      <sheetName val="36"/>
      <sheetName val="1"/>
      <sheetName val="2"/>
      <sheetName val="3"/>
      <sheetName val="4"/>
      <sheetName val="5"/>
      <sheetName val="6"/>
      <sheetName val="7"/>
      <sheetName val="8"/>
      <sheetName val="9"/>
      <sheetName val="10"/>
      <sheetName val="11"/>
      <sheetName val="12"/>
      <sheetName val="13"/>
      <sheetName val="14"/>
      <sheetName val="15"/>
      <sheetName val="MAT"/>
      <sheetName val="Mater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30"/>
      <sheetName val="231"/>
      <sheetName val="232"/>
      <sheetName val="233"/>
      <sheetName val="234"/>
      <sheetName val="235"/>
      <sheetName val="236"/>
      <sheetName val="237"/>
      <sheetName val="240"/>
      <sheetName val="241"/>
      <sheetName val="242"/>
      <sheetName val="243"/>
      <sheetName val="244"/>
      <sheetName val="245"/>
      <sheetName val="246"/>
      <sheetName val="247"/>
      <sheetName val="248"/>
      <sheetName val="250"/>
      <sheetName val="251"/>
      <sheetName val="252"/>
      <sheetName val="253"/>
      <sheetName val="254"/>
      <sheetName val="260"/>
      <sheetName val="261"/>
      <sheetName val="262"/>
      <sheetName val="263"/>
      <sheetName val="264"/>
      <sheetName val="265"/>
      <sheetName val="270"/>
      <sheetName val="271"/>
      <sheetName val="272"/>
      <sheetName val="273"/>
      <sheetName val="274"/>
      <sheetName val="275"/>
      <sheetName val="276"/>
      <sheetName val="280"/>
      <sheetName val="282"/>
      <sheetName val="283"/>
      <sheetName val="284"/>
      <sheetName val="285"/>
      <sheetName val="286"/>
      <sheetName val="288"/>
      <sheetName val="290"/>
      <sheetName val="320"/>
      <sheetName val="321"/>
      <sheetName val="322"/>
      <sheetName val="323"/>
      <sheetName val="324"/>
      <sheetName val="326"/>
      <sheetName val="327"/>
      <sheetName val="328"/>
      <sheetName val="329"/>
      <sheetName val="330"/>
      <sheetName val="331"/>
      <sheetName val="332"/>
      <sheetName val="333"/>
      <sheetName val="334"/>
      <sheetName val="335"/>
      <sheetName val="336"/>
      <sheetName val="337"/>
      <sheetName val="338"/>
      <sheetName val="340"/>
      <sheetName val="341"/>
      <sheetName val="342"/>
      <sheetName val="343"/>
      <sheetName val="344"/>
      <sheetName val="350"/>
      <sheetName val="351"/>
      <sheetName val="352"/>
      <sheetName val="353"/>
      <sheetName val="354"/>
      <sheetName val="355"/>
      <sheetName val="356"/>
      <sheetName val="357"/>
      <sheetName val="358"/>
      <sheetName val="370"/>
      <sheetName val="372"/>
      <sheetName val="373"/>
      <sheetName val="374"/>
      <sheetName val="375"/>
      <sheetName val="376"/>
      <sheetName val="377"/>
      <sheetName val="378"/>
      <sheetName val="379"/>
      <sheetName val="380"/>
      <sheetName val="500"/>
      <sheetName val="501"/>
      <sheetName val="502"/>
      <sheetName val="503"/>
      <sheetName val="504"/>
      <sheetName val="505"/>
      <sheetName val="506"/>
      <sheetName val="507"/>
      <sheetName val="508"/>
      <sheetName val="509"/>
      <sheetName val="510"/>
      <sheetName val="511"/>
      <sheetName val="512"/>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 val="534"/>
      <sheetName val="535"/>
      <sheetName val="536"/>
      <sheetName val="537"/>
      <sheetName val="538"/>
      <sheetName val="539"/>
      <sheetName val="540"/>
      <sheetName val="541"/>
      <sheetName val="542"/>
      <sheetName val="543"/>
      <sheetName val="544"/>
      <sheetName val="545"/>
      <sheetName val="546"/>
      <sheetName val="547"/>
      <sheetName val="548"/>
      <sheetName val="549"/>
      <sheetName val="555"/>
      <sheetName val="556"/>
      <sheetName val="557"/>
      <sheetName val="558"/>
      <sheetName val="559"/>
      <sheetName val="601"/>
      <sheetName val="602"/>
      <sheetName val="603"/>
      <sheetName val="604"/>
      <sheetName val="605"/>
      <sheetName val="606"/>
      <sheetName val="610"/>
      <sheetName val="611"/>
      <sheetName val="612"/>
      <sheetName val="696"/>
      <sheetName val="697"/>
      <sheetName val="698"/>
      <sheetName val="699"/>
      <sheetName val="700"/>
      <sheetName val="701"/>
      <sheetName val="702"/>
      <sheetName val="703"/>
      <sheetName val="704"/>
      <sheetName val="705"/>
      <sheetName val="706"/>
      <sheetName val="707"/>
      <sheetName val="708"/>
      <sheetName val="70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 val="736"/>
      <sheetName val="737"/>
      <sheetName val="738"/>
      <sheetName val="739"/>
      <sheetName val="740"/>
      <sheetName val="741"/>
      <sheetName val="750"/>
      <sheetName val="751"/>
      <sheetName val="752"/>
      <sheetName val="753"/>
      <sheetName val="754"/>
      <sheetName val="755"/>
      <sheetName val="756"/>
      <sheetName val="757"/>
      <sheetName val="758"/>
      <sheetName val="759"/>
      <sheetName val="760"/>
      <sheetName val="761"/>
      <sheetName val="762"/>
      <sheetName val="763"/>
      <sheetName val="764"/>
      <sheetName val="765"/>
      <sheetName val="770"/>
      <sheetName val="771"/>
      <sheetName val="772"/>
      <sheetName val="773"/>
      <sheetName val="774"/>
      <sheetName val="780"/>
      <sheetName val="781"/>
      <sheetName val="782"/>
      <sheetName val="783"/>
      <sheetName val="790"/>
      <sheetName val="791"/>
      <sheetName val="792"/>
      <sheetName val="793"/>
      <sheetName val="794"/>
      <sheetName val="796"/>
      <sheetName val="797"/>
      <sheetName val="798"/>
      <sheetName val="799"/>
      <sheetName val="802"/>
      <sheetName val="803"/>
      <sheetName val="804"/>
      <sheetName val="805"/>
      <sheetName val="820"/>
      <sheetName val="821"/>
      <sheetName val="822"/>
      <sheetName val="823"/>
      <sheetName val="824"/>
      <sheetName val="827"/>
      <sheetName val="828"/>
      <sheetName val="829"/>
      <sheetName val="830"/>
      <sheetName val="831"/>
      <sheetName val="832"/>
      <sheetName val="833"/>
      <sheetName val="834"/>
      <sheetName val="835"/>
      <sheetName val="836"/>
      <sheetName val="837"/>
      <sheetName val="838"/>
      <sheetName val="839"/>
      <sheetName val="841"/>
      <sheetName val="843"/>
      <sheetName val="845"/>
      <sheetName val="846"/>
      <sheetName val="847"/>
      <sheetName val="848"/>
      <sheetName val="849"/>
      <sheetName val="855"/>
      <sheetName val="856"/>
      <sheetName val="857"/>
      <sheetName val="858"/>
      <sheetName val="860"/>
      <sheetName val="861"/>
      <sheetName val="862"/>
      <sheetName val="863"/>
      <sheetName val="868"/>
      <sheetName val="869"/>
      <sheetName val="870"/>
      <sheetName val="871"/>
      <sheetName val="872"/>
      <sheetName val="875"/>
      <sheetName val="876"/>
      <sheetName val="877"/>
      <sheetName val="880"/>
      <sheetName val="881"/>
      <sheetName val="883"/>
      <sheetName val="884"/>
      <sheetName val="886"/>
      <sheetName val="887"/>
      <sheetName val="890"/>
      <sheetName val="891"/>
      <sheetName val="892"/>
      <sheetName val="893"/>
      <sheetName val="894"/>
      <sheetName val="895"/>
      <sheetName val="896"/>
      <sheetName val="897"/>
      <sheetName val="898"/>
      <sheetName val="899"/>
      <sheetName val="900"/>
      <sheetName val="901"/>
      <sheetName val="910"/>
      <sheetName val="911"/>
      <sheetName val="912"/>
      <sheetName val="913"/>
      <sheetName val="914"/>
      <sheetName val="915"/>
      <sheetName val="918"/>
      <sheetName val="919"/>
      <sheetName val="920"/>
      <sheetName val="921"/>
      <sheetName val="924"/>
      <sheetName val="925"/>
      <sheetName val="926"/>
      <sheetName val="927"/>
      <sheetName val="930"/>
      <sheetName val="931"/>
      <sheetName val="932"/>
      <sheetName val="933"/>
      <sheetName val="936"/>
      <sheetName val="937"/>
      <sheetName val="938"/>
      <sheetName val="939"/>
      <sheetName val="948"/>
      <sheetName val="949"/>
      <sheetName val="950"/>
      <sheetName val="951"/>
      <sheetName val="952"/>
      <sheetName val="955"/>
      <sheetName val="956"/>
      <sheetName val="957"/>
      <sheetName val="958"/>
      <sheetName val="959"/>
      <sheetName val="960"/>
      <sheetName val="961"/>
      <sheetName val="962"/>
      <sheetName val="963"/>
      <sheetName val="964"/>
      <sheetName val="965"/>
      <sheetName val="966"/>
      <sheetName val="967"/>
      <sheetName val="968"/>
      <sheetName val="969"/>
      <sheetName val="970"/>
      <sheetName val="971"/>
      <sheetName val="972"/>
      <sheetName val="973"/>
      <sheetName val="974"/>
      <sheetName val="975"/>
      <sheetName val="976"/>
      <sheetName val="977"/>
      <sheetName val="978"/>
      <sheetName val="979"/>
      <sheetName val="980"/>
      <sheetName val="981"/>
      <sheetName val="982"/>
      <sheetName val="983"/>
      <sheetName val="984"/>
      <sheetName val="985"/>
      <sheetName val="986"/>
      <sheetName val="987"/>
      <sheetName val="988"/>
      <sheetName val="989"/>
      <sheetName val="990"/>
      <sheetName val="991"/>
      <sheetName val="992"/>
      <sheetName val="993"/>
      <sheetName val="994"/>
      <sheetName val="995"/>
      <sheetName val="996"/>
      <sheetName val="997"/>
      <sheetName val="998"/>
      <sheetName val="999"/>
      <sheetName val="1000"/>
      <sheetName val="1001"/>
      <sheetName val="1002"/>
      <sheetName val="1003"/>
      <sheetName val="1004"/>
      <sheetName val="1005"/>
      <sheetName val="1006"/>
      <sheetName val="1007"/>
      <sheetName val="1008"/>
      <sheetName val="1009"/>
      <sheetName val="1010"/>
      <sheetName val="1011"/>
      <sheetName val="1076"/>
      <sheetName val="1077"/>
      <sheetName val="1078"/>
      <sheetName val="1079"/>
      <sheetName val="1080"/>
      <sheetName val="1081"/>
      <sheetName val="1082"/>
      <sheetName val="1084"/>
      <sheetName val="1085"/>
      <sheetName val="1086"/>
      <sheetName val="1096"/>
      <sheetName val="1100"/>
      <sheetName val="1104"/>
      <sheetName val="1107"/>
      <sheetName val="1126"/>
      <sheetName val="1127"/>
      <sheetName val="1128"/>
      <sheetName val="1129"/>
      <sheetName val="1130"/>
      <sheetName val="1132"/>
      <sheetName val="1133"/>
      <sheetName val="1134"/>
      <sheetName val="1135"/>
      <sheetName val="1136"/>
      <sheetName val="1137"/>
      <sheetName val="1138"/>
      <sheetName val="1139"/>
      <sheetName val="1140"/>
      <sheetName val="1141"/>
      <sheetName val="1142"/>
      <sheetName val="1143"/>
      <sheetName val="1144"/>
      <sheetName val="1145"/>
      <sheetName val="1146"/>
      <sheetName val="1147"/>
      <sheetName val="1148"/>
      <sheetName val="1149"/>
      <sheetName val="1150"/>
      <sheetName val="1160"/>
      <sheetName val="1161"/>
      <sheetName val="1162"/>
      <sheetName val="1163"/>
      <sheetName val="1164"/>
      <sheetName val="1165"/>
      <sheetName val="1168"/>
      <sheetName val="1169"/>
      <sheetName val="1170"/>
      <sheetName val="1175"/>
      <sheetName val="1180"/>
      <sheetName val="1182"/>
      <sheetName val="1200"/>
      <sheetName val="1201"/>
      <sheetName val="1202"/>
      <sheetName val="1204"/>
      <sheetName val="1205"/>
      <sheetName val="1206"/>
      <sheetName val="1207"/>
      <sheetName val="1208"/>
      <sheetName val="120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6"/>
      <sheetName val="1228"/>
      <sheetName val="1229"/>
      <sheetName val="1230"/>
      <sheetName val="1231"/>
      <sheetName val="1232"/>
      <sheetName val="1233"/>
      <sheetName val="1234"/>
      <sheetName val="1235"/>
      <sheetName val="1237"/>
      <sheetName val="1239"/>
      <sheetName val="1241"/>
      <sheetName val="1243"/>
      <sheetName val="1245"/>
      <sheetName val="1247"/>
      <sheetName val="1249"/>
      <sheetName val="1251"/>
      <sheetName val="1255"/>
      <sheetName val="1260"/>
      <sheetName val="1265"/>
      <sheetName val="1270"/>
      <sheetName val="1275"/>
      <sheetName val="RES"/>
      <sheetName val="1280"/>
      <sheetName val="1285"/>
      <sheetName val="1290"/>
      <sheetName val="1295"/>
      <sheetName val="1300"/>
      <sheetName val="161"/>
      <sheetName val="162"/>
      <sheetName val="163"/>
      <sheetName val="164"/>
      <sheetName val="170"/>
      <sheetName val="171"/>
      <sheetName val="172"/>
      <sheetName val="173"/>
      <sheetName val="174"/>
      <sheetName val="175"/>
      <sheetName val="176"/>
      <sheetName val="177"/>
      <sheetName val="178"/>
      <sheetName val="179"/>
      <sheetName val="180"/>
      <sheetName val="190"/>
      <sheetName val="191"/>
      <sheetName val="192"/>
      <sheetName val="193"/>
      <sheetName val="194"/>
      <sheetName val="195"/>
      <sheetName val="196"/>
      <sheetName val="197"/>
      <sheetName val="198"/>
      <sheetName val="199"/>
      <sheetName val="200"/>
      <sheetName val="201"/>
      <sheetName val="202"/>
      <sheetName val="203"/>
      <sheetName val="204"/>
      <sheetName val="205"/>
      <sheetName val="206"/>
      <sheetName val="112"/>
      <sheetName val="113"/>
      <sheetName val="114"/>
      <sheetName val="115"/>
      <sheetName val="116"/>
      <sheetName val="117"/>
      <sheetName val="118"/>
      <sheetName val="119"/>
      <sheetName val="120"/>
      <sheetName val="121"/>
      <sheetName val="122"/>
      <sheetName val="123"/>
      <sheetName val="124"/>
      <sheetName val="125"/>
      <sheetName val="126"/>
      <sheetName val="129"/>
      <sheetName val="130"/>
      <sheetName val="131"/>
      <sheetName val="132"/>
      <sheetName val="133"/>
      <sheetName val="134"/>
      <sheetName val="135"/>
      <sheetName val="136"/>
      <sheetName val="137"/>
      <sheetName val="138"/>
      <sheetName val="139"/>
      <sheetName val="140"/>
      <sheetName val="141"/>
      <sheetName val="142"/>
      <sheetName val="150"/>
      <sheetName val="151"/>
      <sheetName val="153"/>
      <sheetName val="156"/>
      <sheetName val="157"/>
      <sheetName val="158"/>
      <sheetName val="159"/>
      <sheetName val="160"/>
      <sheetName val="100"/>
      <sheetName val="101"/>
      <sheetName val="102"/>
      <sheetName val="103"/>
      <sheetName val="104"/>
      <sheetName val="105"/>
      <sheetName val="106"/>
      <sheetName val="107"/>
      <sheetName val="108"/>
      <sheetName val="109"/>
      <sheetName val="110"/>
      <sheetName val="111"/>
      <sheetName val="90"/>
      <sheetName val="91"/>
      <sheetName val="92"/>
      <sheetName val="93"/>
      <sheetName val="94"/>
      <sheetName val="95"/>
      <sheetName val="96"/>
      <sheetName val="97"/>
      <sheetName val="98"/>
      <sheetName val="99"/>
      <sheetName val="80"/>
      <sheetName val="81"/>
      <sheetName val="82"/>
      <sheetName val="83"/>
      <sheetName val="84"/>
      <sheetName val="85"/>
      <sheetName val="86"/>
      <sheetName val="87"/>
      <sheetName val="88"/>
      <sheetName val="89"/>
      <sheetName val="70"/>
      <sheetName val="71"/>
      <sheetName val="76"/>
      <sheetName val="77"/>
      <sheetName val="78"/>
      <sheetName val="79"/>
      <sheetName val="60"/>
      <sheetName val="61"/>
      <sheetName val="62"/>
      <sheetName val="63"/>
      <sheetName val="64"/>
      <sheetName val="65"/>
      <sheetName val="66"/>
      <sheetName val="67"/>
      <sheetName val="68"/>
      <sheetName val="69"/>
      <sheetName val="50"/>
      <sheetName val="51"/>
      <sheetName val="52"/>
      <sheetName val="53"/>
      <sheetName val="54"/>
      <sheetName val="55"/>
      <sheetName val="56"/>
      <sheetName val="57"/>
      <sheetName val="58"/>
      <sheetName val="59"/>
      <sheetName val="40"/>
      <sheetName val="41"/>
      <sheetName val="42"/>
      <sheetName val="43"/>
      <sheetName val="44"/>
      <sheetName val="45"/>
      <sheetName val="46"/>
      <sheetName val="47"/>
      <sheetName val="48"/>
      <sheetName val="49"/>
      <sheetName val="20"/>
      <sheetName val="21"/>
      <sheetName val="22"/>
      <sheetName val="23"/>
      <sheetName val="25"/>
      <sheetName val="26"/>
      <sheetName val="27"/>
      <sheetName val="29"/>
      <sheetName val="30"/>
      <sheetName val="31"/>
      <sheetName val="33"/>
      <sheetName val="34"/>
      <sheetName val="35"/>
      <sheetName val="36"/>
      <sheetName val="1"/>
      <sheetName val="2"/>
      <sheetName val="3"/>
      <sheetName val="4"/>
      <sheetName val="5"/>
      <sheetName val="6"/>
      <sheetName val="7"/>
      <sheetName val="8"/>
      <sheetName val="9"/>
      <sheetName val="10"/>
      <sheetName val="11"/>
      <sheetName val="12"/>
      <sheetName val="13"/>
      <sheetName val="14"/>
      <sheetName val="15"/>
      <sheetName val="MAT"/>
      <sheetName val="Mater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Hoja2"/>
      <sheetName val="Hoja1"/>
      <sheetName val="BASE DE DATOS ORIG"/>
      <sheetName val="pv orig"/>
      <sheetName val="bd victoria"/>
      <sheetName val="secu limpia abril"/>
      <sheetName val="secu limpia abril 27"/>
      <sheetName val="secuencia abril por mnatos"/>
      <sheetName val="BD no 4-4a-8 limpia CUIDAR bck"/>
      <sheetName val="BD no 4-4a-8 limp CUIDAR jun18"/>
      <sheetName val="secuencia cuidar jun18 (2)"/>
      <sheetName val="pv DB CUIDAR jun30"/>
      <sheetName val="pv DB CUIDAR jun30 SUMM"/>
      <sheetName val="BD no 4-4a-8 limp CUIDAR jun30"/>
      <sheetName val="sec DB CUIDAR jun30 "/>
      <sheetName val="sec DB CUIDAR jun30 RE-FOR"/>
      <sheetName val="SEC DB CUIDAR JUL08 RE-FO"/>
      <sheetName val="SEC DB CUIDAR JUL30 plan agos"/>
      <sheetName val="SEC DB CUIDAR jun30 AGO10"/>
      <sheetName val="SEC DB CUIDAR jun30 SUMM "/>
      <sheetName val="SEC DB CUIDAR BUD OCT03 BCK"/>
      <sheetName val="SEC DB CUIDAR BUD OCT03 SEC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Individual"/>
      <sheetName val="Datos de Entrada"/>
      <sheetName val="Mat"/>
      <sheetName val="MO"/>
      <sheetName val="Ac. Monof"/>
      <sheetName val="Ac Trifas"/>
      <sheetName val="Bandejas y Canaletas"/>
      <sheetName val="Cables"/>
      <sheetName val="Redes Exteriores"/>
      <sheetName val="Salidas PVC"/>
      <sheetName val="Salidas EMT"/>
      <sheetName val="Tuberías"/>
      <sheetName val="Tableros Y Cajas"/>
      <sheetName val="Voz y 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items"/>
      <sheetName val="HISTORICOS FUEL OIL EXP"/>
      <sheetName val="PR 1"/>
    </sheetNames>
    <definedNames>
      <definedName name="absc"/>
    </definedNames>
    <sheetDataSet>
      <sheetData sheetId="0" refreshError="1"/>
      <sheetData sheetId="1" refreshError="1"/>
      <sheetData sheetId="2" refreshError="1"/>
      <sheetData sheetId="3"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Var Summary page"/>
      <sheetName val="Chart1"/>
      <sheetName val="Cover"/>
      <sheetName val="FCF Cht"/>
      <sheetName val="Summary page"/>
      <sheetName val="Index"/>
      <sheetName val="PV -JV"/>
      <sheetName val="NPV Summary"/>
      <sheetName val="Price"/>
      <sheetName val="Cost Summ"/>
      <sheetName val="Economic  Graphs"/>
      <sheetName val="Tax workings"/>
      <sheetName val="Sensitivities"/>
      <sheetName val="Tax summary"/>
      <sheetName val="Quantity Graphs"/>
      <sheetName val="Deprec"/>
      <sheetName val="Coal Stocks &amp; Wkg Cap"/>
      <sheetName val="Total Cap"/>
      <sheetName val="Other Cap"/>
      <sheetName val="Repl Cap"/>
      <sheetName val="Repl Cap - Contractor"/>
      <sheetName val="Init Cap"/>
      <sheetName val="Init Cap - Contractor"/>
      <sheetName val="Init"/>
      <sheetName val="Repl"/>
      <sheetName val="Total Op Costs"/>
      <sheetName val="Other Op Costs"/>
      <sheetName val="Other Op Costs-Security"/>
      <sheetName val="Blasting"/>
      <sheetName val="Contractors"/>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Roster"/>
      <sheetName val="Utilisation"/>
      <sheetName val="Fleet"/>
      <sheetName val="Combined Schedule Summary"/>
      <sheetName val="Waste Sched"/>
      <sheetName val="Coal Sched"/>
      <sheetName val="Paste In Utilisation"/>
      <sheetName val="Paste in Roster"/>
      <sheetName val="Paste In Fleet"/>
      <sheetName val="Equip Data"/>
      <sheetName val="Depr VAT Plan Vallejo - Prodeco"/>
      <sheetName val="Summary"/>
      <sheetName val="Port &amp; HO Costs"/>
      <sheetName val="NOTES"/>
      <sheetName val="Updated CAPEX"/>
      <sheetName val="Not Used ------&gt;"/>
      <sheetName val="Nom IS&amp;BS"/>
      <sheetName val="Update_Header_Footer"/>
      <sheetName val="BASE DE DATOS OR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Resumen"/>
      <sheetName val="TORTA"/>
      <sheetName val="Resum_Pav"/>
      <sheetName val="INVENT.ALC-CUNETAS 90BLB"/>
      <sheetName val="PUENTES Y PONTONES"/>
      <sheetName val="SEÑAL VERTICAL90BLB"/>
      <sheetName val="SEÑAL HORIZONTAL90BLB"/>
      <sheetName val="Tabla"/>
      <sheetName val="EST.VÍA CRITERIO TECNICO 90BLB"/>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Estado Resume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didas"/>
      <sheetName val="Curva-sistema"/>
      <sheetName val="Curva.bomba"/>
      <sheetName val="Datos-Gráfica-Apartada"/>
      <sheetName val="Gráf.-Apartada-01"/>
      <sheetName val="Datos Garavito"/>
      <sheetName val="Gráfica Garavito"/>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CONT_ADI"/>
      <sheetName val="aCCIDENTES DE 1995 - 1996.xls"/>
      <sheetName val="ACTA DE MODIFICACION  (2)"/>
      <sheetName val="INDICMICROEMP"/>
      <sheetName val="items"/>
      <sheetName val="#¡REF"/>
      <sheetName val="\a  aaInformación GRUPO 4\A MIn"/>
      <sheetName val="MATERIALES"/>
      <sheetName val="\\Escritorio\amv 2011\a  aaInfo"/>
      <sheetName val="Informe"/>
      <sheetName val="Seguim-16"/>
      <sheetName val="Informacion"/>
      <sheetName val="\Users\avargase\AppData\Local\M"/>
      <sheetName val="Datos Básicos"/>
      <sheetName val="SALARIOS"/>
      <sheetName val="SUB APU"/>
      <sheetName val="INV"/>
      <sheetName val="AASHTO"/>
      <sheetName val="PESOS"/>
      <sheetName val="Formulario N° 4"/>
      <sheetName val="EQUIPO"/>
      <sheetName val="Base Muestras"/>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AMV _ no borrar\PRESUPUESTOS\a"/>
      <sheetName val="\I\AMV _ no borrar\PRESUPUESTOS"/>
      <sheetName val="\G\I\AMV _ no borrar\PRESUPUEST"/>
      <sheetName val="\A\a  aaInformación GRUPO 4\A M"/>
      <sheetName val="\G\A\a  aaInformación GRUPO 4\A"/>
      <sheetName val="\Users\HP\AppData\Local\Microso"/>
      <sheetName val="EQUIPOS"/>
      <sheetName val="MANO DE OBRA"/>
      <sheetName val="TRANSPORTE"/>
      <sheetName val="_aCCIDENTES_DE_1995___1996_xl_2"/>
      <sheetName val="Res-Accide-10"/>
      <sheetName val="//ccefici"/>
      <sheetName val="//d.docs.live.net/a  aaInformac"/>
      <sheetName val="_aCCIDENTES_DE_1995___1996_xl_3"/>
      <sheetName val="_aCCIDENTES_DE_1995___1996_xl_4"/>
      <sheetName val="_aCCIDENTES_DE_1995___1996_xl_5"/>
      <sheetName val="_aCCIDENTES_DE_1995___1996_xl_6"/>
      <sheetName val="_aCCIDENTES_DE_1995___1996_xl_7"/>
      <sheetName val="\\Giovanni\administracion vial\"/>
      <sheetName val="\MONTO AGOTABLE 2010\a  aaInfor"/>
      <sheetName val="[aCCIDENTES DE 1995 - 1996.xls]"/>
      <sheetName val="Lista obra"/>
      <sheetName val="\Documents and Settings\Pedro "/>
      <sheetName val="\Users\Administrador\Desktop\AM"/>
      <sheetName val="\I\A\a  aaInformación GRUPO 4\A"/>
      <sheetName val="\K\a  aaInformación GRUPO 4\A M"/>
      <sheetName val="\I\K\a  aaInformación GRUPO 4\A"/>
      <sheetName val="\H\a  aaInformación GRUPO 4\A M"/>
      <sheetName val="\I\H\a  aaInformación GRUPO 4\A"/>
      <sheetName val="\\INTERVIALNUBE\Documents and S"/>
      <sheetName val="\\Ing-her"/>
      <sheetName val="\Users\cmeza\Documents\INVIAS\D"/>
      <sheetName val="\Documents and Settings\jviteri"/>
      <sheetName val="SEGUIM Y REPROG MES 1 (2)"/>
      <sheetName val="#REF"/>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TOALC"/>
      <sheetName val="PRESUPTOACU"/>
      <sheetName val="PRESUPTOGAS"/>
      <sheetName val="APU TIPO"/>
      <sheetName val="PRESTACIONES"/>
      <sheetName val="MANO DE OBRA"/>
      <sheetName val="EQUIPO "/>
      <sheetName val="MATERIALES"/>
      <sheetName val="MANO "/>
    </sheetNames>
    <sheetDataSet>
      <sheetData sheetId="0"/>
      <sheetData sheetId="1"/>
      <sheetData sheetId="2"/>
      <sheetData sheetId="3"/>
      <sheetData sheetId="4"/>
      <sheetData sheetId="5"/>
      <sheetData sheetId="6"/>
      <sheetData sheetId="7"/>
      <sheetData sheetId="8"/>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TOALC"/>
      <sheetName val="PRESUPTOACU"/>
      <sheetName val="PRESUPTOGAS"/>
      <sheetName val="APU TIPO"/>
      <sheetName val="PRESTACIONES"/>
      <sheetName val="MANO DE OBRA"/>
      <sheetName val="EQUIPO "/>
      <sheetName val="MATERIALES"/>
      <sheetName val="MANO "/>
    </sheetNames>
    <sheetDataSet>
      <sheetData sheetId="0"/>
      <sheetData sheetId="1"/>
      <sheetData sheetId="2"/>
      <sheetData sheetId="3"/>
      <sheetData sheetId="4"/>
      <sheetData sheetId="5"/>
      <sheetData sheetId="6"/>
      <sheetData sheetId="7"/>
      <sheetData sheetId="8"/>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RO CONCRETO"/>
      <sheetName val="PAVIMENTO MR 45"/>
      <sheetName val="ESPACIO PUBLICO"/>
      <sheetName val="CARPETA ASFALTICA"/>
      <sheetName val="1.1"/>
      <sheetName val="2.1"/>
      <sheetName val="4.1 "/>
      <sheetName val="4.2"/>
      <sheetName val="4.3"/>
      <sheetName val="4.4"/>
      <sheetName val="4.5"/>
      <sheetName val="5.1"/>
      <sheetName val="5.2"/>
      <sheetName val="5.3"/>
      <sheetName val="5.4"/>
      <sheetName val="5.5"/>
      <sheetName val="6.1"/>
      <sheetName val="6.2"/>
      <sheetName val="6.3"/>
      <sheetName val="6.4"/>
      <sheetName val="6.5"/>
      <sheetName val="6.6"/>
      <sheetName val="6.7"/>
      <sheetName val="6.8"/>
      <sheetName val="6.9"/>
      <sheetName val="6.10"/>
      <sheetName val="6.11"/>
      <sheetName val="7.1"/>
      <sheetName val="7.2"/>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esup"/>
      <sheetName val="Unitarios"/>
      <sheetName val="An-Unit "/>
      <sheetName val="Insum"/>
      <sheetName val="U001"/>
      <sheetName val="U002"/>
      <sheetName val="U003"/>
      <sheetName val="U004"/>
      <sheetName val="U005"/>
      <sheetName val="U006"/>
      <sheetName val="U007"/>
      <sheetName val="U008"/>
      <sheetName val="U009"/>
      <sheetName val="U010"/>
      <sheetName val="U011"/>
      <sheetName val="U012"/>
      <sheetName val="U013"/>
      <sheetName val="U014"/>
      <sheetName val="U015"/>
      <sheetName val="U016"/>
      <sheetName val="U017"/>
      <sheetName val="U018"/>
      <sheetName val="U019"/>
      <sheetName val="U020"/>
      <sheetName val="U021"/>
      <sheetName val="U022"/>
      <sheetName val="U023"/>
      <sheetName val="U024"/>
      <sheetName val="U025"/>
      <sheetName val="U026"/>
      <sheetName val="U027"/>
      <sheetName val="U028"/>
      <sheetName val="U029"/>
      <sheetName val="U030"/>
      <sheetName val="U031"/>
      <sheetName val="U032"/>
      <sheetName val="U033"/>
      <sheetName val="U034"/>
      <sheetName val="U035"/>
      <sheetName val="U036"/>
      <sheetName val="U037"/>
      <sheetName val="U038"/>
      <sheetName val="U039"/>
      <sheetName val="U040"/>
      <sheetName val="Ot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ronograma y Flujo"/>
      <sheetName val="PRESUPUESTO REDES "/>
      <sheetName val="Replanteo"/>
      <sheetName val="Poste 12m 500daN"/>
      <sheetName val="Poste 12m 300daN"/>
      <sheetName val="Poste 9m 500daN"/>
      <sheetName val="Poste 9m 300daN"/>
      <sheetName val="Cimen 12m300-500daN"/>
      <sheetName val="Cimen 9m300-500daN"/>
      <sheetName val="650 (511)"/>
      <sheetName val="670 (533)"/>
      <sheetName val="680 (580)"/>
      <sheetName val="690 (550)"/>
      <sheetName val="PT MT"/>
      <sheetName val="Templete MT"/>
      <sheetName val="1050 ACSR #1-0"/>
      <sheetName val="1210 (320T)"/>
      <sheetName val="1220 (322T)"/>
      <sheetName val="1230 (329T)"/>
      <sheetName val="1290 TRIPLEX"/>
      <sheetName val="1310 Puente Cruce Aer BT"/>
      <sheetName val="1190 trafo a Triplex"/>
      <sheetName val="1280 Caja Dist"/>
      <sheetName val="1250 Acom, Medid, PT"/>
      <sheetName val="Templete BT"/>
      <sheetName val="PT BT"/>
      <sheetName val="T 10 Kva Bif"/>
      <sheetName val="T 15 Kva Bif"/>
      <sheetName val="T 25 Kva Bif"/>
      <sheetName val="materiales"/>
      <sheetName val="equipos y herramientas"/>
      <sheetName val="personal y transporte"/>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ronograma y Flujo"/>
      <sheetName val="PRESUPUESTO REDES "/>
      <sheetName val="Replanteo"/>
      <sheetName val="Poste 12m 500daN"/>
      <sheetName val="Poste 12m 300daN"/>
      <sheetName val="Poste 9m 500daN"/>
      <sheetName val="Poste 9m 300daN"/>
      <sheetName val="Cimen 12m300-500daN"/>
      <sheetName val="Cimen 9m300-500daN"/>
      <sheetName val="650 (511)"/>
      <sheetName val="670 (533)"/>
      <sheetName val="680 (580)"/>
      <sheetName val="690 (550)"/>
      <sheetName val="PT MT"/>
      <sheetName val="Templete MT"/>
      <sheetName val="1050 ACSR #1-0"/>
      <sheetName val="1210 (320T)"/>
      <sheetName val="1220 (322T)"/>
      <sheetName val="1230 (329T)"/>
      <sheetName val="1290 TRIPLEX"/>
      <sheetName val="1310 Puente Cruce Aer BT"/>
      <sheetName val="1190 trafo a Triplex"/>
      <sheetName val="1280 Caja Dist"/>
      <sheetName val="1250 Acom, Medid, PT"/>
      <sheetName val="Templete BT"/>
      <sheetName val="PT BT"/>
      <sheetName val="T 10 Kva Bif"/>
      <sheetName val="T 15 Kva Bif"/>
      <sheetName val="T 25 Kva Bif"/>
      <sheetName val="materiales"/>
      <sheetName val="equipos y herramientas"/>
      <sheetName val="personal y transporte"/>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ios"/>
      <sheetName val="11"/>
      <sheetName val="21"/>
      <sheetName val="31"/>
      <sheetName val="32"/>
      <sheetName val="33"/>
      <sheetName val="34"/>
      <sheetName val="35"/>
      <sheetName val="36"/>
      <sheetName val="41"/>
      <sheetName val="42"/>
      <sheetName val="43"/>
      <sheetName val="44"/>
      <sheetName val="51"/>
      <sheetName val="52"/>
      <sheetName val="53"/>
      <sheetName val="54"/>
      <sheetName val="55"/>
      <sheetName val="73"/>
      <sheetName val="74"/>
      <sheetName val="81"/>
      <sheetName val="82"/>
      <sheetName val="83"/>
      <sheetName val="base"/>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 val="Index"/>
    </sheetNames>
    <sheetDataSet>
      <sheetData sheetId="0"/>
      <sheetData sheetId="1"/>
      <sheetData sheetId="2" refreshError="1"/>
      <sheetData sheetId="3"/>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on"/>
      <sheetName val="Ejecutivo"/>
      <sheetName val="Resumen_Real"/>
      <sheetName val="TablasDinamicas"/>
      <sheetName val="HorasDetalladas"/>
      <sheetName val="46W9"/>
      <sheetName val="46W9_Hoja1"/>
      <sheetName val="46W9_Cuadro de costos"/>
      <sheetName val="46W9_Bases"/>
      <sheetName val="46W9_ASPECTOS ELECTRICOS"/>
      <sheetName val="46W9_OBRAS CIVILES"/>
      <sheetName val="46W9_Costo directos"/>
      <sheetName val="46W9_Resumen Costos"/>
    </sheetNames>
    <sheetDataSet>
      <sheetData sheetId="0"/>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1"/>
    </sheetNames>
    <sheetDataSet>
      <sheetData sheetId="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DIMIENTOS"/>
      <sheetName val="PRESUPUESTO"/>
    </sheetNames>
    <sheetDataSet>
      <sheetData sheetId="0" refreshError="1"/>
      <sheetData sheetId="1"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 Jagua Equipment"/>
      <sheetName val="Material Assumptions"/>
      <sheetName val="consumo horario"/>
      <sheetName val="Equipment Hours TODOS"/>
      <sheetName val="Equipment Hours CMU"/>
      <sheetName val="MineEquipmentFUEL"/>
      <sheetName val="Equipment Hours CDJ"/>
      <sheetName val="Equipment Hours CET"/>
      <sheetName val="MineEquipmentFUEL (2)"/>
      <sheetName val="MineEquipmentFUEL (3)"/>
      <sheetName val="RICS NUEVA HOJA DIARIA"/>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NL JUNE"/>
      <sheetName val="MMH WORKINGS"/>
      <sheetName val="MMJV B-S"/>
      <sheetName val="June00"/>
      <sheetName val="May00"/>
      <sheetName val="MMH"/>
      <sheetName val="Sheet6"/>
      <sheetName val="Sheet3"/>
      <sheetName val="Sheet4"/>
      <sheetName val="Sheet5"/>
      <sheetName val="Sheet7"/>
      <sheetName val="Sheet8"/>
      <sheetName val="Sheet9"/>
      <sheetName val="Sheet10"/>
      <sheetName val="Equipment Hours TO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rrin Murrin Project Break Up"/>
      <sheetName val="MMH F-S"/>
      <sheetName val="MMH 30-06-00"/>
      <sheetName val="Cost Ledger"/>
      <sheetName val="Cost Ledger 30-6-99"/>
      <sheetName val="MMH F-S Cash Flow"/>
      <sheetName val="MMH Disc"/>
      <sheetName val="MMH Cheat Sheet 30-06-00"/>
      <sheetName val="MMH WORKINGS"/>
    </sheetNames>
    <sheetDataSet>
      <sheetData sheetId="0"/>
      <sheetData sheetId="1"/>
      <sheetData sheetId="2"/>
      <sheetData sheetId="3"/>
      <sheetData sheetId="4" refreshError="1"/>
      <sheetData sheetId="5"/>
      <sheetData sheetId="6"/>
      <sheetData sheetId="7"/>
      <sheetData sheetId="8"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_PGS"/>
      <sheetName val="Presupuesto PMA"/>
      <sheetName val="CRONOGRAMA Y FLUJO"/>
      <sheetName val="RESUMEN PPTOS LOCALIDADES"/>
      <sheetName val="PPTO - B VISTA"/>
      <sheetName val="PPTO - PUNTA RATON"/>
      <sheetName val="PPTO - ZANCUDO"/>
      <sheetName val="AIU Proyecto"/>
      <sheetName val="A.P.U."/>
      <sheetName val="MATERIALES_SISFV_HÍBRIDOS_COMUN"/>
      <sheetName val="Presup Interventoría"/>
      <sheetName val="Factor mult "/>
      <sheetName val="Transporte de Materiales"/>
      <sheetName val="P6"/>
      <sheetName val="H&amp;E Solar"/>
      <sheetName val="Mano de Obra"/>
      <sheetName val="Nomin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dice"/>
      <sheetName val="PR-01"/>
      <sheetName val="PR-02"/>
      <sheetName val="PR-03"/>
      <sheetName val="PR-04"/>
      <sheetName val="Entidades Financiadoras"/>
      <sheetName val="Control"/>
      <sheetName val="tipos_entidad"/>
      <sheetName val="tipo_recurso"/>
      <sheetName val="Indicadores de Ciencia"/>
      <sheetName val="Indicadores de Empleo"/>
      <sheetName val="Indicadores de Eficiencia"/>
      <sheetName val="Unidades"/>
      <sheetName val="Indicadores de Producto"/>
      <sheetName val="Indicadores de Impacto"/>
      <sheetName val="Indicadores Gestión"/>
      <sheetName val="Listad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dice"/>
      <sheetName val="PR-01"/>
      <sheetName val="PR-02"/>
      <sheetName val="PR-03"/>
      <sheetName val="PR-04"/>
      <sheetName val="Entidades Financiadoras"/>
      <sheetName val="Control"/>
      <sheetName val="tipos_entidad"/>
      <sheetName val="tipo_recurso"/>
      <sheetName val="Indicadores de Ciencia"/>
      <sheetName val="Indicadores de Empleo"/>
      <sheetName val="Indicadores de Eficiencia"/>
      <sheetName val="Unidades"/>
      <sheetName val="Indicadores de Producto"/>
      <sheetName val="Indicadores de Impacto"/>
      <sheetName val="Indicadores Gestión"/>
      <sheetName val="Listad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A CECILIA"/>
      <sheetName val="Hoja1"/>
      <sheetName val="Hoja2"/>
      <sheetName val="ESTADO RED"/>
    </sheetNames>
    <sheetDataSet>
      <sheetData sheetId="0"/>
      <sheetData sheetId="1"/>
      <sheetData sheetId="2"/>
      <sheetData sheetId="3"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V"/>
      <sheetName val="M5.35"/>
      <sheetName val="M46.69"/>
      <sheetName val="M6.30 mm2"/>
      <sheetName val="TPR5.35"/>
      <sheetName val="TLX5.35"/>
      <sheetName val="M5.35NC"/>
      <sheetName val="TK5.46"/>
      <sheetName val="CG"/>
      <sheetName val="Esp_AWG"/>
      <sheetName val="Dibujos"/>
      <sheetName val="T_Cu_ASTM"/>
      <sheetName val="D_AWG"/>
      <sheetName val="T_5_69"/>
      <sheetName val="T_XLPE-TK_acsr"/>
      <sheetName val="T_XLPE-TK_Cu"/>
      <sheetName val="D_mm2"/>
      <sheetName val="T_mm2"/>
      <sheetName val="Hoja1"/>
      <sheetName val="T_mm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Budget vs Real"/>
      <sheetName val="Flujo"/>
      <sheetName val="Flujo De Caja 2008"/>
      <sheetName val="Flujo De Caja 2008 (2)"/>
      <sheetName val="Reporte"/>
      <sheetName val="Hoja2"/>
      <sheetName val="Cost Ledger 30-6-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9"/>
      <sheetName val="Hoja1"/>
      <sheetName val="PRESUPUESTO"/>
      <sheetName val="INDICE"/>
      <sheetName val="Equipo"/>
      <sheetName val="Materiales"/>
      <sheetName val="Otros"/>
      <sheetName val="200.1"/>
      <sheetName val="200.2"/>
      <sheetName val="201.1"/>
      <sheetName val="201.2"/>
      <sheetName val="201.3"/>
      <sheetName val="201.4"/>
      <sheetName val="201.5 "/>
      <sheetName val="201.6"/>
      <sheetName val="201.6P"/>
      <sheetName val="201.7"/>
      <sheetName val="201.8"/>
      <sheetName val="201.9"/>
      <sheetName val="201.10"/>
      <sheetName val="201.11"/>
      <sheetName val="201.12"/>
      <sheetName val="201.13"/>
      <sheetName val="201.14"/>
      <sheetName val="201.15"/>
      <sheetName val="201.16"/>
      <sheetName val="201.17"/>
      <sheetName val="201.18"/>
      <sheetName val="201.19"/>
      <sheetName val="201.20"/>
      <sheetName val="201.21"/>
      <sheetName val="201.22"/>
      <sheetName val="210.1.1"/>
      <sheetName val="210.1.2"/>
      <sheetName val="210.2.1"/>
      <sheetName val="210.2.2"/>
      <sheetName val="210.2.3"/>
      <sheetName val="210.2.4"/>
      <sheetName val="211.1"/>
      <sheetName val="220.1"/>
      <sheetName val="221.1"/>
      <sheetName val="221.2"/>
      <sheetName val="230.1"/>
      <sheetName val="230.2"/>
      <sheetName val="231.1"/>
      <sheetName val="232.1 "/>
      <sheetName val="234.1 "/>
      <sheetName val="310.1"/>
      <sheetName val="311.1"/>
      <sheetName val="312.1"/>
      <sheetName val="312.2"/>
      <sheetName val="312.3"/>
      <sheetName val="312.4"/>
      <sheetName val="320.1"/>
      <sheetName val="320.2"/>
      <sheetName val="330.1"/>
      <sheetName val="330.2"/>
      <sheetName val="340.1"/>
      <sheetName val="340.2"/>
      <sheetName val="340.3"/>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2"/>
      <sheetName val="450.3"/>
      <sheetName val="450.4"/>
      <sheetName val="450.5"/>
      <sheetName val="450.6"/>
      <sheetName val="450.7"/>
      <sheetName val="450.8"/>
      <sheetName val="450.9"/>
      <sheetName val="451.1"/>
      <sheetName val="451.1P COMPRADA "/>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1"/>
      <sheetName val="460.1"/>
      <sheetName val="461.1"/>
      <sheetName val="461.2"/>
      <sheetName val="462.1"/>
      <sheetName val="462.2"/>
      <sheetName val="462.1.1"/>
      <sheetName val="462.1.2"/>
      <sheetName val="464.1"/>
      <sheetName val="464.2"/>
      <sheetName val="464.3"/>
      <sheetName val="464.4"/>
      <sheetName val="465.1"/>
      <sheetName val="466.1"/>
      <sheetName val="466.2"/>
      <sheetName val="500.1"/>
      <sheetName val="501.1"/>
      <sheetName val="510.1"/>
      <sheetName val="600.1"/>
      <sheetName val="600.2"/>
      <sheetName val="600.2P"/>
      <sheetName val="600.3"/>
      <sheetName val="600.4"/>
      <sheetName val="600.4P"/>
      <sheetName val="600.5"/>
      <sheetName val="600.5P"/>
      <sheetName val="610.1"/>
      <sheetName val="610.2"/>
      <sheetName val="620.1"/>
      <sheetName val="620.2"/>
      <sheetName val="620.3"/>
      <sheetName val="621.1"/>
      <sheetName val="621.1P"/>
      <sheetName val="621.2"/>
      <sheetName val="621.3"/>
      <sheetName val="621.4"/>
      <sheetName val="621.5"/>
      <sheetName val="621.6"/>
      <sheetName val="621,7P"/>
      <sheetName val="622.1"/>
      <sheetName val="622.2"/>
      <sheetName val="622.3"/>
      <sheetName val="622.4"/>
      <sheetName val="622.5"/>
      <sheetName val="630.1"/>
      <sheetName val="630.2"/>
      <sheetName val="630.3"/>
      <sheetName val="630.4"/>
      <sheetName val="630.5"/>
      <sheetName val="630.6"/>
      <sheetName val="630.7"/>
      <sheetName val="630.8P MORTERO 1-4"/>
      <sheetName val="631,1P. BOLSACRETOS"/>
      <sheetName val="632.1"/>
      <sheetName val="632.1P"/>
      <sheetName val="640.3"/>
      <sheetName val="640.1P"/>
      <sheetName val="640.1P1"/>
      <sheetName val="640.2"/>
      <sheetName val="641.1"/>
      <sheetName val="641.2"/>
      <sheetName val="642.1"/>
      <sheetName val="642.2"/>
      <sheetName val="650.1"/>
      <sheetName val="650.2"/>
      <sheetName val="650.2P"/>
      <sheetName val="650.3"/>
      <sheetName val="650.3P"/>
      <sheetName val="650.4"/>
      <sheetName val="660.1"/>
      <sheetName val="660.2"/>
      <sheetName val="660.3"/>
      <sheetName val="661.1"/>
      <sheetName val="662.1"/>
      <sheetName val="662.2"/>
      <sheetName val="670.1"/>
      <sheetName val="670.2"/>
      <sheetName val="671.1"/>
      <sheetName val="671.2"/>
      <sheetName val="672.1"/>
      <sheetName val="673.1"/>
      <sheetName val="673.2"/>
      <sheetName val="673.3"/>
      <sheetName val="674.1"/>
      <sheetName val="674.2"/>
      <sheetName val="680.1"/>
      <sheetName val="680.2"/>
      <sheetName val="680.3"/>
      <sheetName val="681.1"/>
      <sheetName val="682.1"/>
      <sheetName val="690.1"/>
      <sheetName val="700.1"/>
      <sheetName val="700.2"/>
      <sheetName val="700.3"/>
      <sheetName val="700.4"/>
      <sheetName val="700P BANDAS SONORAS "/>
      <sheetName val="701.1"/>
      <sheetName val="710.1"/>
      <sheetName val="710.2"/>
      <sheetName val="720.1"/>
      <sheetName val="730.1"/>
      <sheetName val="730.2"/>
      <sheetName val="730.3"/>
      <sheetName val="740.1"/>
      <sheetName val="800.1"/>
      <sheetName val="800.2"/>
      <sheetName val="800.3"/>
      <sheetName val="800.4"/>
      <sheetName val="800P"/>
      <sheetName val="801.1"/>
      <sheetName val="801.2"/>
      <sheetName val="801.3"/>
      <sheetName val="801.4"/>
      <sheetName val="801.5"/>
      <sheetName val="801.6"/>
      <sheetName val="801.7"/>
      <sheetName val="810.1"/>
      <sheetName val="810.2"/>
      <sheetName val="810.3"/>
      <sheetName val="811.1"/>
      <sheetName val="812.1"/>
      <sheetName val="900.1"/>
      <sheetName val="900.2"/>
      <sheetName val="900.3"/>
      <sheetName val="PLATINAS 40X40"/>
      <sheetName val="PILOTES 6&quot;"/>
      <sheetName val="PILOTES 8&quot;"/>
      <sheetName val="PILOTES 10&quot;"/>
      <sheetName val="PILOTES 12&quot;"/>
      <sheetName val="HINCADO"/>
      <sheetName val="EXAPODOS"/>
      <sheetName val="SOLDAD"/>
      <sheetName val="MONTAJE"/>
      <sheetName val="P9"/>
      <sheetName val="P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2005 CONTRATO"/>
      <sheetName val="Datos del 2005 CONTRATO (2)"/>
      <sheetName val="PARAMETROS 2005"/>
      <sheetName val="Datos del 2005 PROPIA"/>
      <sheetName val="Datos del 2005 PROPIA (2)"/>
      <sheetName val="Datos del 2005 CONTRATO bck"/>
      <sheetName val="Datos del 2005 CONTRATO (3)"/>
      <sheetName val="Datos del 2005 CONTRATO 375"/>
      <sheetName val="RESUMEN SEC TESORO"/>
      <sheetName val="Datos del 2005 CONTRATO 120 FEB"/>
      <sheetName val="Datos del 2005 CONT 120 MAR10"/>
      <sheetName val="Datos del 2005 CONT 120 ABRIL 4"/>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sheetName val="Tablas"/>
      <sheetName val="Presentación"/>
    </sheetNames>
    <sheetDataSet>
      <sheetData sheetId="0"/>
      <sheetData sheetId="1" refreshError="1"/>
      <sheetData sheetId="2"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lmacenamiento"/>
      <sheetName val="Arriendos y Espacios"/>
      <sheetName val="Fluct y Var Inv"/>
      <sheetName val="Listas"/>
    </sheetNames>
    <sheetDataSet>
      <sheetData sheetId="0" refreshError="1"/>
      <sheetData sheetId="1" refreshError="1"/>
      <sheetData sheetId="2" refreshError="1"/>
      <sheetData sheetId="3" refreshError="1"/>
      <sheetData sheetId="4"/>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M"/>
      <sheetName val="Precios de Materiales"/>
      <sheetName val="Equipos Principales"/>
      <sheetName val="Mano de Obra"/>
      <sheetName val="Herramienta"/>
      <sheetName val="Transporte"/>
      <sheetName val="Rutas"/>
    </sheetNames>
    <sheetDataSet>
      <sheetData sheetId="0"/>
      <sheetData sheetId="1"/>
      <sheetData sheetId="2"/>
      <sheetData sheetId="3"/>
      <sheetData sheetId="4"/>
      <sheetData sheetId="5"/>
      <sheetData sheetId="6"/>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M"/>
      <sheetName val="Precios de Materiales"/>
      <sheetName val="Equipos Principales"/>
      <sheetName val="Mano de Obra"/>
      <sheetName val="Herramienta"/>
      <sheetName val="Transporte"/>
      <sheetName val="Rutas"/>
    </sheetNames>
    <sheetDataSet>
      <sheetData sheetId="0"/>
      <sheetData sheetId="1"/>
      <sheetData sheetId="2"/>
      <sheetData sheetId="3"/>
      <sheetData sheetId="4"/>
      <sheetData sheetId="5"/>
      <sheetData sheetId="6"/>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TarifaMT"/>
      <sheetName val="INFORMACION DEL FP"/>
      <sheetName val="PERSONAL Y OTROS"/>
      <sheetName val="IMPUESTOS Y VR TOTAL"/>
      <sheetName val="FM"/>
      <sheetName val="COSTEO"/>
      <sheetName val="AIU"/>
      <sheetName val="COSTEO TOTAL OBRA"/>
      <sheetName val="Componente minimo"/>
      <sheetName val="IPC"/>
      <sheetName val="Ensayos Laboratorio"/>
      <sheetName val="proyecc desembol"/>
      <sheetName val="Top_Y_Batimetria"/>
    </sheetNames>
    <sheetDataSet>
      <sheetData sheetId="0" refreshError="1"/>
      <sheetData sheetId="1"/>
      <sheetData sheetId="2"/>
      <sheetData sheetId="3"/>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FSE-01"/>
    </sheetNames>
    <sheetDataSet>
      <sheetData sheetId="0"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ES"/>
      <sheetName val="cuadrillas"/>
      <sheetName val="ANALISIS"/>
      <sheetName val="precios"/>
      <sheetName val="paraiso"/>
      <sheetName val="No.3"/>
      <sheetName val="rend"/>
      <sheetName val="programacion"/>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oros"/>
      <sheetName val="Caudales"/>
      <sheetName val="Estructura"/>
      <sheetName val="Hoja2"/>
      <sheetName val="OPS&amp;OMS"/>
      <sheetName val="Diseño 2"/>
      <sheetName val="Diseño 3"/>
      <sheetName val="Hoja1"/>
      <sheetName val="Tesi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em"/>
      <sheetName val="1.1.1"/>
      <sheetName val="1.4.3"/>
      <sheetName val="2.1.1"/>
      <sheetName val="2.2.1"/>
      <sheetName val="2.2.2"/>
      <sheetName val="2.2.3"/>
      <sheetName val="2.2.4"/>
      <sheetName val="2.2.5"/>
      <sheetName val="2.2.6"/>
      <sheetName val="2.2.7"/>
      <sheetName val="2.2.8"/>
      <sheetName val="2.2.9"/>
      <sheetName val="2.2.12"/>
      <sheetName val="2.2.16"/>
      <sheetName val="2.2.17"/>
      <sheetName val="2.2.18"/>
      <sheetName val="2.2.19"/>
      <sheetName val="2.3.1"/>
      <sheetName val="2.3.3"/>
      <sheetName val="2.3.4"/>
      <sheetName val="2.3.6"/>
      <sheetName val="2.3.17"/>
      <sheetName val="2.4.1"/>
      <sheetName val="2.4.3"/>
      <sheetName val="2.4.4"/>
      <sheetName val="2.4.5"/>
      <sheetName val="3.1.1"/>
      <sheetName val="3.1.2"/>
      <sheetName val="4.1.1"/>
      <sheetName val="4.1.2"/>
      <sheetName val="4.1.3"/>
      <sheetName val="4.3.4"/>
      <sheetName val="4.3.6"/>
      <sheetName val="4.7.4"/>
      <sheetName val="5.1.1"/>
      <sheetName val="5.1.2"/>
      <sheetName val="5.1.3"/>
      <sheetName val="5.1.4"/>
      <sheetName val="5.1.5"/>
      <sheetName val="5.2.1"/>
      <sheetName val="5.2.2"/>
      <sheetName val="5.2.3"/>
      <sheetName val="5.2.4"/>
      <sheetName val="5.2.5"/>
      <sheetName val="5.2.7"/>
      <sheetName val="5.6.1"/>
      <sheetName val="5.6.2"/>
      <sheetName val="5.6.3"/>
      <sheetName val="5.6.4"/>
      <sheetName val="5.6.5"/>
      <sheetName val="5.6.6"/>
      <sheetName val="5.6.7"/>
      <sheetName val="5.6.8"/>
      <sheetName val="5.6.9"/>
      <sheetName val="5.6.10"/>
      <sheetName val="5.6.11"/>
      <sheetName val="5.6.12"/>
      <sheetName val="5.6.13"/>
      <sheetName val="5.6.14"/>
      <sheetName val="5.6.15"/>
      <sheetName val="5.6.16"/>
      <sheetName val="5.6.17"/>
      <sheetName val="5.6.18"/>
      <sheetName val="5.6.19"/>
      <sheetName val="5.6.20"/>
      <sheetName val="5.6.21"/>
      <sheetName val="5.6.22"/>
      <sheetName val="5.6.23"/>
      <sheetName val="5.6.24"/>
      <sheetName val="5.6.34"/>
      <sheetName val="5.6.35"/>
      <sheetName val="5.7.1"/>
      <sheetName val="5.7.3"/>
      <sheetName val="5.9.1"/>
      <sheetName val="5.10.1"/>
      <sheetName val="5.10.3"/>
      <sheetName val="5.11.1"/>
      <sheetName val="5.14.1"/>
      <sheetName val="5.14.2"/>
      <sheetName val="5.14.3"/>
      <sheetName val="5.14.4"/>
      <sheetName val="5.16.1"/>
      <sheetName val="5.17.1"/>
      <sheetName val="6.1.1"/>
      <sheetName val="6.1.2"/>
      <sheetName val="6.2.1"/>
      <sheetName val="6.2.2"/>
      <sheetName val="6.2.3"/>
      <sheetName val="6.2.4"/>
      <sheetName val="6.3.1"/>
      <sheetName val="6.4.1"/>
      <sheetName val="6.4.2"/>
      <sheetName val="6.6.1"/>
      <sheetName val="6.6.2"/>
      <sheetName val="6.6.3"/>
      <sheetName val="6.6.4"/>
      <sheetName val="6.6.5"/>
      <sheetName val="6.6.6"/>
      <sheetName val="6.6.7"/>
      <sheetName val="6.6.8"/>
      <sheetName val="6.6.9"/>
      <sheetName val="6.6.10"/>
      <sheetName val="6.7.1"/>
      <sheetName val="6.7.2"/>
      <sheetName val="6.7.3"/>
      <sheetName val="6.8.1"/>
      <sheetName val="6.8.2"/>
      <sheetName val="6.8.3"/>
      <sheetName val="6.10.1"/>
      <sheetName val="6.10.3"/>
      <sheetName val="6.10.6"/>
      <sheetName val="7.1.1"/>
      <sheetName val="7.5.1"/>
      <sheetName val="7.5.2"/>
      <sheetName val="7.5.6"/>
      <sheetName val="8.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ty Returns"/>
      <sheetName val="Balance Sheet"/>
      <sheetName val="Dividends"/>
      <sheetName val="Equipment Assumptions"/>
      <sheetName val="Budget Assumptions"/>
      <sheetName val="Material Assumptions"/>
      <sheetName val="Cash Costs"/>
      <sheetName val="Loading Type RH200W - hours"/>
      <sheetName val="Loading Type RH170W - hours"/>
      <sheetName val="Loading Type RH120WC - hours"/>
      <sheetName val="Loading Type RH40C - hours"/>
      <sheetName val="Loading Type 992C - hours"/>
      <sheetName val="Drill&amp;Blast"/>
      <sheetName val="Mine Hours"/>
      <sheetName val="MineSupportCostsandContractors"/>
      <sheetName val="MineEquipmentCosts"/>
      <sheetName val="EquipDeprnReplmt~"/>
      <sheetName val="Opex~"/>
      <sheetName val="Operations La Jauga"/>
      <sheetName val="Maintenance La Jagua"/>
      <sheetName val="Dates &amp; Flags"/>
      <sheetName val="Cuentas"/>
      <sheetName val="CtaGeneral-A"/>
      <sheetName val="Fixed Assets~"/>
      <sheetName val="Resumen vlr Un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weeks"/>
      <sheetName val="Buy ins"/>
      <sheetName val="Prepmts"/>
      <sheetName val="CashFlow"/>
      <sheetName val="Report"/>
      <sheetName val="Report2"/>
    </sheetNames>
    <sheetDataSet>
      <sheetData sheetId="0"/>
      <sheetData sheetId="1"/>
      <sheetData sheetId="2"/>
      <sheetData sheetId="3"/>
      <sheetData sheetId="4"/>
      <sheetData sheetId="5"/>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ormato 5 Entrenamiento"/>
      <sheetName val="Report"/>
    </sheetNames>
    <sheetDataSet>
      <sheetData sheetId="0" refreshError="1"/>
      <sheetData sheetId="1" refreshError="1"/>
      <sheetData sheetId="2"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Caja "/>
      <sheetName val="Reporte"/>
      <sheetName val="Programa"/>
      <sheetName val="LISTAS"/>
      <sheetName val="Hoja2"/>
      <sheetName val="Sheet1"/>
    </sheetNames>
    <sheetDataSet>
      <sheetData sheetId="0"/>
      <sheetData sheetId="1" refreshError="1"/>
      <sheetData sheetId="2" refreshError="1"/>
      <sheetData sheetId="3"/>
      <sheetData sheetId="4"/>
      <sheetData sheetId="5"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s"/>
      <sheetName val="PRECIOS ILOPEZ"/>
      <sheetName val="T. Demanda Div. (2)"/>
      <sheetName val="K-LibroUN"/>
      <sheetName val="T. Demanda Div."/>
      <sheetName val="Flujos"/>
      <sheetName val="DB FLUJOS"/>
      <sheetName val="DB Remodelación"/>
      <sheetName val="LIQUIDACIÓN"/>
      <sheetName val="TABL.LIQ"/>
      <sheetName val="LIQUIDACIÓN (2)"/>
      <sheetName val="F. Remodelación"/>
      <sheetName val="F. Flujos"/>
      <sheetName val="Hoja1"/>
      <sheetName val="Formato"/>
      <sheetName val="Resumen"/>
      <sheetName val="K-Codensa"/>
      <sheetName val="Hoja5"/>
      <sheetName val="DB FLUJOS (2)"/>
      <sheetName val="DB Regulación"/>
      <sheetName val="DB Regulación (2)"/>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ario Arboledas"/>
      <sheetName val="FLUJO DE FONDOS"/>
      <sheetName val="PRESUPUESTO"/>
      <sheetName val="A.P.U. Selec"/>
      <sheetName val="AIU"/>
    </sheetNames>
    <sheetDataSet>
      <sheetData sheetId="0" refreshError="1"/>
      <sheetData sheetId="1" refreshError="1"/>
      <sheetData sheetId="2"/>
      <sheetData sheetId="3" refreshError="1"/>
      <sheetData sheetId="4"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anning"/>
      <sheetName val="Cashflows"/>
      <sheetName val="P &amp; L"/>
      <sheetName val="UG &amp; CPP"/>
      <sheetName val="OC &amp; HW"/>
      <sheetName val="Revenue"/>
      <sheetName val="Capital T"/>
      <sheetName val="Capital GCA T"/>
      <sheetName val="Capital West"/>
      <sheetName val="Financing"/>
      <sheetName val="TARIF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abinetes agrup. CT's y PT's"/>
      <sheetName val="Gabinetes ctrol, prot. y med. "/>
      <sheetName val="Formulario de  precios"/>
    </sheetNames>
    <sheetDataSet>
      <sheetData sheetId="0"/>
      <sheetData sheetId="1"/>
      <sheetData sheetId="2"/>
      <sheetData sheetId="3"/>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ponsors Valuation"/>
      <sheetName val="MMJV"/>
      <sheetName val="Glenmurrin AUD"/>
      <sheetName val="Glenmurrin USD"/>
      <sheetName val="Minara AUD"/>
      <sheetName val="Minara USD"/>
      <sheetName val="LOM Valuation"/>
      <sheetName val="Exec Sum - MMJV"/>
      <sheetName val="Exec Sum Mthly"/>
      <sheetName val="Glenmurrin Tax Depn"/>
      <sheetName val="Glenmurrin Acc Depn"/>
      <sheetName val="MRE Tax Depn"/>
      <sheetName val="LOM Val'n Sum"/>
      <sheetName val="Comparision"/>
      <sheetName val="EBITDA Sum"/>
      <sheetName val="LOM Graphs"/>
      <sheetName val="LOM Graph Data"/>
      <sheetName val="MRE Acctg depn"/>
      <sheetName val="Production"/>
      <sheetName val="LOM Capability"/>
      <sheetName val="Price Inputs"/>
      <sheetName val="LOM Capital"/>
      <sheetName val="OL"/>
      <sheetName val="Ref"/>
      <sheetName val="Acid Calc"/>
      <sheetName val="Util"/>
      <sheetName val="HL"/>
      <sheetName val="Secondary Feeds"/>
      <sheetName val="Mine &amp; Admin"/>
      <sheetName val="Site Mtce"/>
      <sheetName val="Assumptions"/>
      <sheetName val="Working Cap Movemts"/>
      <sheetName val="CY 2007 Forecast Adjustments"/>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sheetName val="Altenativa"/>
      <sheetName val="Incremental"/>
      <sheetName val="Graficas VPN"/>
      <sheetName val="Gráficas VPN (Inglés)"/>
      <sheetName val="Tabla Depreciación"/>
      <sheetName val="MODEC_II"/>
      <sheetName val="Working Cap Movemts"/>
      <sheetName val="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sheetName val="PU"/>
      <sheetName val="01"/>
      <sheetName val="04"/>
      <sheetName val="08"/>
      <sheetName val="10"/>
      <sheetName val="11"/>
      <sheetName val="13"/>
      <sheetName val="14"/>
      <sheetName val="15"/>
      <sheetName val="17"/>
      <sheetName val="18"/>
      <sheetName val="19"/>
      <sheetName val="21"/>
      <sheetName val="25"/>
      <sheetName val="29"/>
      <sheetName val="20"/>
      <sheetName val="REC-COD,"/>
      <sheetName val="RECURSOS (ALFABETO)"/>
      <sheetName val="\50 Vivienda\RNC Carvajal\para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Tables"/>
      <sheetName val="Summary"/>
      <sheetName val="CapitalBudget6MthToDec05"/>
      <sheetName val="Propuesta"/>
    </sheetNames>
    <sheetDataSet>
      <sheetData sheetId="0" refreshError="1"/>
      <sheetData sheetId="1" refreshError="1"/>
      <sheetData sheetId="2" refreshError="1"/>
      <sheetData sheetId="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illas"/>
      <sheetName val="GENERAL "/>
      <sheetName val="cap 5-ELECTRICAS "/>
      <sheetName val="datosluminariasRoyAlPHa"/>
      <sheetName val="RefTables"/>
      <sheetName val="Registros_de_Asistencia"/>
      <sheetName val="Simulación Inf."/>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arios"/>
    </sheetNames>
    <sheetDataSet>
      <sheetData sheetId="0"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Summary"/>
      <sheetName val="Creation of value"/>
      <sheetName val="Defining the problem"/>
      <sheetName val="Logic trees"/>
      <sheetName val="The value chain"/>
      <sheetName val="Value driver analysis"/>
      <sheetName val="Sources of project value"/>
      <sheetName val="Principles of valuation"/>
      <sheetName val="Forecasting cash flow"/>
      <sheetName val="Principles of investment risk"/>
      <sheetName val="Capital asset pricing model"/>
      <sheetName val="Project cost of capital"/>
      <sheetName val="Project risk analysis"/>
      <sheetName val="Alternative investment criteria"/>
      <sheetName val="Communicating value"/>
      <sheetName val="Principles of spreadsheeting"/>
      <sheetName val="Spreadsheet standards (1)"/>
      <sheetName val="Spreadsheet standards (2)"/>
      <sheetName val="Reconciling value"/>
      <sheetName val="Mine variance - graph"/>
      <sheetName val="Mine variance - tree"/>
      <sheetName val="Graph data"/>
      <sheetName val="Graph data (2)"/>
      <sheetName val="datosluminariasRoyAlP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 MENORES"/>
      <sheetName val="LISTA PRECIO"/>
      <sheetName val="CUAD"/>
      <sheetName val="CEM-AREN"/>
      <sheetName val="PRESUPU"/>
      <sheetName val="RENDIMIEN"/>
      <sheetName val="ANALISIS BASICO"/>
      <sheetName val="1.PRELI"/>
      <sheetName val="2 CIMI"/>
      <sheetName val="3.ESTRU"/>
      <sheetName val="4.MURO"/>
      <sheetName val="5.CUBIE"/>
      <sheetName val="6.PISO"/>
      <sheetName val="7.CARPI"/>
      <sheetName val="8.ACAB MU"/>
      <sheetName val="9.INST SANT"/>
      <sheetName val="10.INST HIDRA"/>
      <sheetName val="11.INST ELECT"/>
      <sheetName val="12.APAR SANIT"/>
      <sheetName val="13.INST GAS.NAT"/>
      <sheetName val="14.PINTU"/>
      <sheetName val="15.ASEO GEN"/>
      <sheetName val="ITEM-COSTO"/>
      <sheetName val="ACT-COST"/>
      <sheetName val="ACT-%"/>
      <sheetName val="CONCRETOS"/>
      <sheetName val="CONCRET"/>
      <sheetName val="Hoja2"/>
      <sheetName val="DURACION"/>
      <sheetName val="CTO INDIR"/>
      <sheetName val="MATERI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Index"/>
      <sheetName val="Project Parameters"/>
      <sheetName val="Fleet"/>
      <sheetName val="Utilisation"/>
      <sheetName val="Support Equipment"/>
      <sheetName val="Truck Nos - Coal"/>
      <sheetName val="Truck Nos - Waste"/>
      <sheetName val="Ground Prep - Coal"/>
      <sheetName val="Ground Prep - Waste"/>
      <sheetName val="Capacity"/>
      <sheetName val="Pasted Schedule"/>
      <sheetName val="MANUAL CONTRACTOR ANNUAL VOLUME"/>
      <sheetName val="Waste Exc Prod"/>
      <sheetName val="Coal Exc Prod"/>
      <sheetName val="Work Hrs - FEL&amp;EXC "/>
      <sheetName val="Work Hrs - Trucks&amp;Support"/>
      <sheetName val="Hours Summary"/>
      <sheetName val="Equip Selection &amp; Roster"/>
      <sheetName val="Truck Cycle Data"/>
      <sheetName val="OC Equip Data"/>
      <sheetName val="Mine variance - tr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ed.Est"/>
      <sheetName val="M.Med_Arq"/>
      <sheetName val="AIU"/>
      <sheetName val="Pres_Aula"/>
      <sheetName val="1_Preliminares"/>
      <sheetName val="2_Cimentación_Est.Met"/>
      <sheetName val="3_Mampost"/>
      <sheetName val="6_In_elec"/>
      <sheetName val="7_Pisos"/>
      <sheetName val="8_Cub_CM"/>
      <sheetName val="10_Pintura"/>
      <sheetName val="11_Dotación"/>
      <sheetName val="Insumos"/>
      <sheetName val="Equipo_Trans "/>
      <sheetName val="M.Ob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Base Datos Insumos"/>
      <sheetName val="Base Datos Sueldo"/>
      <sheetName val="Resumen"/>
      <sheetName val="Resumen (2)"/>
      <sheetName val="MINICAR. 753 (011-01)"/>
      <sheetName val="MINICAR.873 (011-02)"/>
      <sheetName val="MINICAR. 751 (011-03)"/>
      <sheetName val="CARGADOR 966C (011-05)"/>
      <sheetName val="CARGADOR 950B (011-06)"/>
      <sheetName val="CARGADOR 966D (011-08)"/>
      <sheetName val="CARGADOR 966E (011-09)"/>
      <sheetName val="MINICAR. S130 (011-20)"/>
      <sheetName val="MINICAR. S130 (011-21)"/>
      <sheetName val="MINICAR. 175 (011-22)"/>
      <sheetName val="BARREDORAS (012-01)"/>
      <sheetName val="BARREDORAS (012-02)"/>
      <sheetName val="VIBRO SD77DATF (022-01)"/>
      <sheetName val="VIBRO CS533E (022-02)"/>
      <sheetName val="VIBRO SD100 (022-05)"/>
      <sheetName val="VIBRO SD100 (022-06)"/>
      <sheetName val="VIBRO SD100 (022-07)"/>
      <sheetName val="VIBRO SD100 (022-08)"/>
      <sheetName val="VIBRO CS433B (022-09)"/>
      <sheetName val="VIBRO CS433B (022-12)"/>
      <sheetName val="VIBRO CS433B (022-13)"/>
      <sheetName val="VIBRO HYSTER 850A (022-14)"/>
      <sheetName val="VIBRO DYNAPAC CA-15 (022-15)"/>
      <sheetName val="VIBRO TANDEN DD65 (023-02)"/>
      <sheetName val="VIBRO TANDEN CB434C (023-03)"/>
      <sheetName val="VIBRO TANDEM DD-22 (023-12)"/>
      <sheetName val="VIBRO HYSTER C530A (024-03)"/>
      <sheetName val="VIBRO ING.RAND PT125R (024-05)"/>
      <sheetName val="VIBRO HYSTER C530A (024-11)"/>
      <sheetName val="VIBRO HYSTER C530A (024-15)"/>
      <sheetName val="COMPRESOR QUINCY QTH-15 (030-01"/>
      <sheetName val="COMPRESOR KHOLER (030-02)"/>
      <sheetName val="COMPRESOR INGERSOLL (030-07)"/>
      <sheetName val="COMPRESOR KAESER (030-08)"/>
      <sheetName val="COMPRESOR KAESER (030-09)"/>
      <sheetName val="COMPRESOR KAESER (030-10)"/>
      <sheetName val="MARTILLO H. KRUPP (031-01)"/>
      <sheetName val="MARTILLO H. KRUPP (031-04)"/>
      <sheetName val="MARTILLO H. KRUPP (031-05)"/>
      <sheetName val="MARTILLO H. KRUPP (031-06)"/>
      <sheetName val="DERRETIDORA (033-01)"/>
      <sheetName val="DERRETIDORA (033-02)"/>
      <sheetName val="RETRO 428 B (051-02)"/>
      <sheetName val="RETRO 436 B (051-03)"/>
      <sheetName val="RETRO VOLVO BL60 (051-10)"/>
      <sheetName val="RETRO VOLVO BL60 (051-11)"/>
      <sheetName val="RETRO 320R (052-03)"/>
      <sheetName val="RETRO 320R (052-04)"/>
      <sheetName val="RETRO 690ELC (052-05)"/>
      <sheetName val="RETRO 330ME (052-06)"/>
      <sheetName val="RETRO 330ME (052-07)"/>
      <sheetName val="RETRO 200C LC (052-08)"/>
      <sheetName val="RETRO 200C LC (052-09)"/>
      <sheetName val="RETRO 345BL (052-10)"/>
      <sheetName val="RETRO 200C LC (052-11)"/>
      <sheetName val="IRRIGADOR( 060-01)"/>
      <sheetName val="IRRIGADOR 211(060-03)"/>
      <sheetName val="PAVIMENTADORA BG260 (071-01)"/>
      <sheetName val="PAVIMENTADORA SB140 (071-12)"/>
      <sheetName val="PAVIMENTADORA BG245B (072-01)"/>
      <sheetName val="PAVIMENTADORA BG2455C (072-02)"/>
      <sheetName val="MOTO 670CH (090-01)"/>
      <sheetName val="MOTO 12G (090-03)"/>
      <sheetName val="MOTO 12G (090-04)"/>
      <sheetName val="MOTO 12G (090-05)"/>
      <sheetName val="MOTO 120G (090-06)"/>
      <sheetName val="MOTO 12G (090-07)"/>
      <sheetName val="MOTO 670CH (090-09)"/>
      <sheetName val="MOTO 12G (090-16)"/>
      <sheetName val="RECUPERADORA RM350 (100-01)"/>
      <sheetName val="FRESADORA ASFALTO 1000R (100-02"/>
      <sheetName val="FRESADORA PAV. W-1900 (100-03)"/>
      <sheetName val="PERFILADORA PAV. PR-450 (101-01"/>
      <sheetName val="TRACTOR AGRICOLA (111-06)"/>
      <sheetName val="TRACTOR-ORUGAS CAT-D6D (112-01)"/>
      <sheetName val="TRACTOR-ORUGA CAT-D8N (112-02)"/>
      <sheetName val="TRACTOR CAT-D7G (112-06)"/>
      <sheetName val="TRACTOR CAT-D7H (112-07)"/>
      <sheetName val="TRITURADORA MANDIBULA (120-03)"/>
      <sheetName val="VOLQ. CHEVROLET 131-05"/>
      <sheetName val="VOLQ. KENWORTH (132-10)"/>
      <sheetName val="VOLQ. KENWORTH (132-11)"/>
      <sheetName val="VOLQ. KENWORTH (132-12)"/>
      <sheetName val="VOLQ. INTERN.(132-14)"/>
      <sheetName val="VOLQ. INTERN.(132-15)"/>
      <sheetName val="VOLQ. INTERN.(132-16)"/>
      <sheetName val="VOLQ. INTERN.(132-17)"/>
      <sheetName val="VOLQ. INTERN.(132-18)"/>
      <sheetName val="VOLQ. INTERN.(132-19)"/>
      <sheetName val="VOLQ. INTERN.(132-20)"/>
      <sheetName val="VOLQ. INTERN.(132-21)"/>
      <sheetName val="VOLQ. (132-25)"/>
      <sheetName val="VOLQ. (132-26)"/>
      <sheetName val="VOLQ. (132-27)"/>
      <sheetName val="VOLQ. (132-28)"/>
      <sheetName val="VOLQ. (132-31)"/>
      <sheetName val="VOLQ. (132-32)"/>
      <sheetName val="VOLQ. (132-33)"/>
      <sheetName val="VOLQ. (132-34)"/>
      <sheetName val="VOLQ. (132-35)"/>
      <sheetName val="VOLQ. (132-36)"/>
      <sheetName val="VOLQ. (132-37)"/>
      <sheetName val="VOLQ. (132-38)"/>
      <sheetName val="VOLQ. (132-39)"/>
      <sheetName val="VOLQ. (132-41)"/>
      <sheetName val="VOLQ. (132-42)"/>
      <sheetName val="VOLQ. 132-43"/>
      <sheetName val="CARROTANQUE 140-04"/>
      <sheetName val="CARROTANQUE 140-05"/>
      <sheetName val="CARROTANQUE 140-07"/>
      <sheetName val="TRACTOMULA 150-03"/>
      <sheetName val="CAMABAJA 3 EJES 155-10"/>
      <sheetName val="CAMABAJA 2 EJES (155)-11-13"/>
      <sheetName val="CAMIONETA 161-01"/>
      <sheetName val="CAMIONETA 161-02"/>
      <sheetName val="CAMIONETA 161-04"/>
      <sheetName val="CAMIONETA 161-08"/>
      <sheetName val="CAMPERO 161-11"/>
      <sheetName val="CAMION FURGON 162-01"/>
      <sheetName val="CAMION ESTACA 162-05"/>
      <sheetName val="CAMION CABINADO 162-06"/>
      <sheetName val="CAMION FURGO 162-07"/>
      <sheetName val="CAMION FERRETERO 163-02"/>
      <sheetName val="CAMION MTTO. 163-03"/>
      <sheetName val="CAMION MTTO. 163-06"/>
      <sheetName val="MOTOBOMBA THOMPSON (182)-01-03"/>
      <sheetName val="MOTOBOMBA THOMPSON 182-02"/>
      <sheetName val="CORTADORA PAV. GRAFCO 232-04"/>
      <sheetName val="GENERADOR CAT 240-08"/>
      <sheetName val="GENERADOR CUMMINS 240-09"/>
      <sheetName val="GENERADOR WILSON 240-10"/>
      <sheetName val="TORRE ILUMIN ING.RAND 242-01"/>
      <sheetName val="TORRE ILUMIN ING.RAND 242-04"/>
      <sheetName val="TORRE ILUMIN ING.RAND 242-05"/>
      <sheetName val="TORRE SEÑALIZACION (243)-01-02"/>
      <sheetName val="TANQUE REMOLQUE (250)-03-04"/>
      <sheetName val="PLANTA ASFALTO (260-01)"/>
      <sheetName val="TRAILER-DOLLY (270) 01 AL 06"/>
      <sheetName val="Equipo107"/>
      <sheetName val="Equipo108"/>
      <sheetName val="Equipo109"/>
      <sheetName val="Equipo110"/>
      <sheetName val="Equipo111"/>
      <sheetName val="Equipo112"/>
      <sheetName val="Equipo113"/>
      <sheetName val="Equipo114"/>
      <sheetName val="Equipo115"/>
      <sheetName val="Equipo116"/>
      <sheetName val="Equipo117"/>
      <sheetName val="Equipo118"/>
      <sheetName val="Equipo119"/>
      <sheetName val="Equipo120"/>
      <sheetName val="Equipo121"/>
      <sheetName val="Equipo122"/>
      <sheetName val="Equipo123"/>
      <sheetName val="Equipo124"/>
      <sheetName val="Equipo125"/>
      <sheetName val="Equipo126"/>
      <sheetName val="Equipo127"/>
      <sheetName val="Equipo128"/>
      <sheetName val="Equipo129"/>
      <sheetName val="Equipo130"/>
      <sheetName val="Equipo131"/>
      <sheetName val="Equipo132"/>
      <sheetName val="Equipo133"/>
      <sheetName val="Equipo134"/>
      <sheetName val="Equipo135"/>
      <sheetName val="Equipo136"/>
      <sheetName val="Equipo137"/>
      <sheetName val="Equipo138"/>
      <sheetName val="Equipo139"/>
      <sheetName val="Equipo140"/>
      <sheetName val="Equipo141"/>
      <sheetName val="Equipo142"/>
      <sheetName val="Equipo143"/>
      <sheetName val="Equipo144"/>
      <sheetName val="Equipo145"/>
      <sheetName val="Equipo146"/>
      <sheetName val="Equipo147"/>
      <sheetName val="Equipo148"/>
      <sheetName val="Equipo149"/>
      <sheetName val="Equipo150"/>
      <sheetName val="Anexos"/>
      <sheetName val="PRESUPUESTO DE OPERACION"/>
      <sheetName val="C.OPER.CONSTRUPLAN"/>
      <sheetName val="TARIFAS DE EQUIPOS CTC"/>
      <sheetName val="C&amp;T"/>
      <sheetName val="U.T. Y CONSOR."/>
      <sheetName val="CAT-D7H"/>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refreshError="1"/>
      <sheetData sheetId="19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1 (2)"/>
      <sheetName val="Hoja4"/>
      <sheetName val="Hoja4 (2)"/>
      <sheetName val="Hoja4 (3)"/>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00"/>
      <sheetName val="June00"/>
      <sheetName val="Sheet3"/>
      <sheetName val="Sheet4"/>
      <sheetName val="Sheet6"/>
      <sheetName val="Sheet7"/>
      <sheetName val="Sheet9"/>
      <sheetName val="Sheet10"/>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CPFRCA1"/>
      <sheetName val="TREN"/>
      <sheetName val="ESTRUC"/>
      <sheetName val="CPFRCA3"/>
      <sheetName val="ROTOR"/>
      <sheetName val="CPFRCA4"/>
      <sheetName val="MOTRIZ"/>
      <sheetName val="CPFRCA5"/>
      <sheetName val="AVION"/>
      <sheetName val="CPFRCA6"/>
      <sheetName val="COMBUS"/>
      <sheetName val="CPFRRCA7"/>
      <sheetName val="ELECTR."/>
      <sheetName val="CPFRCA8"/>
      <sheetName val="HIDRA."/>
      <sheetName val="CPFRCA9"/>
      <sheetName val="INSTR."/>
      <sheetName val="CPFRCA10"/>
      <sheetName val="MISCE."/>
      <sheetName val="CPFRCA11"/>
      <sheetName val="PINTU."/>
      <sheetName val="CPFRCA12"/>
      <sheetName val="PESO"/>
      <sheetName val="CPFRCA13"/>
      <sheetName val="CABINA"/>
      <sheetName val="CPFTOT"/>
    </sheetNames>
    <sheetDataSet>
      <sheetData sheetId="0"/>
      <sheetData sheetId="1" refreshError="1"/>
      <sheetData sheetId="2"/>
      <sheetData sheetId="3"/>
      <sheetData sheetId="4" refreshError="1"/>
      <sheetData sheetId="5"/>
      <sheetData sheetId="6" refreshError="1"/>
      <sheetData sheetId="7"/>
      <sheetData sheetId="8" refreshError="1"/>
      <sheetData sheetId="9"/>
      <sheetData sheetId="10" refreshError="1"/>
      <sheetData sheetId="11"/>
      <sheetData sheetId="12" refreshError="1"/>
      <sheetData sheetId="13"/>
      <sheetData sheetId="14" refreshError="1"/>
      <sheetData sheetId="15"/>
      <sheetData sheetId="16" refreshError="1"/>
      <sheetData sheetId="17"/>
      <sheetData sheetId="18" refreshError="1"/>
      <sheetData sheetId="19"/>
      <sheetData sheetId="20" refreshError="1"/>
      <sheetData sheetId="21"/>
      <sheetData sheetId="22" refreshError="1"/>
      <sheetData sheetId="23"/>
      <sheetData sheetId="24" refreshError="1"/>
      <sheetData sheetId="25"/>
      <sheetData sheetId="2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A. PRELIMINAR"/>
      <sheetName val="APU-1."/>
      <sheetName val="2. VIASYURBANISMO"/>
      <sheetName val="APU-2."/>
      <sheetName val="3. ESTRUC Y ARQ"/>
      <sheetName val="APU-3."/>
      <sheetName val="4. FRIO"/>
      <sheetName val="5. ELECTRICO"/>
      <sheetName val="6.REDES ALCANTARILLADO"/>
      <sheetName val="7.RED DE ABASTO"/>
      <sheetName val="APU-6-7"/>
      <sheetName val="8. REDGAS"/>
      <sheetName val="APU-8."/>
      <sheetName val="9. AMBIENTAL"/>
      <sheetName val="10. EQUIPOS"/>
      <sheetName val="11.OYM"/>
      <sheetName val="12. RESUMEN"/>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A. PRELIMINAR"/>
      <sheetName val="APU-1."/>
      <sheetName val="2. VIASYURBANISMO"/>
      <sheetName val="APU-2."/>
      <sheetName val="3. ESTRUC Y ARQ"/>
      <sheetName val="APU-3."/>
      <sheetName val="5. ELECTRICO"/>
      <sheetName val="6.REDES ALCANTARILLADO"/>
      <sheetName val="7.RED DE ABASTO"/>
      <sheetName val="APU-6-7"/>
      <sheetName val="8. REDGAS"/>
      <sheetName val="APU-8."/>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onte"/>
      <sheetName val="ESCARIFICACION"/>
      <sheetName val="Datos"/>
      <sheetName val="PUNITARIOS PARA 241201 2S"/>
      <sheetName val="items"/>
      <sheetName val="PR 1"/>
      <sheetName val="ESTADO RED TEC"/>
      <sheetName val="Hoja1"/>
      <sheetName val="A-HOR"/>
      <sheetName val="INSUMOS"/>
      <sheetName val="BANCOS"/>
      <sheetName val="CARGOS"/>
      <sheetName val="EPS"/>
      <sheetName val="PENSIONES"/>
      <sheetName val="PREACTA 10"/>
      <sheetName val="PREACTA 9"/>
      <sheetName val="Res-Accide-10"/>
      <sheetName val="TARIFAS"/>
      <sheetName val="TRANSPORTE"/>
      <sheetName val="c2.5y2.6"/>
      <sheetName val="PRECIOS"/>
      <sheetName val="PREACTA 6"/>
      <sheetName val="TABLA 2008"/>
      <sheetName val="PRESUPUESTO"/>
      <sheetName val="ESTADO VÍA-CRIT.TECNICO"/>
      <sheetName val="5. ELECTRICO"/>
      <sheetName val="A.P.U"/>
      <sheetName val="ESTADO_RED_TEC"/>
      <sheetName val="PR_1"/>
      <sheetName val="PUNITARIOS_PARA_241201_2S"/>
      <sheetName val="PREACTA_10"/>
      <sheetName val="PREACTA_9"/>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PUNITARIOS_PARA_241201_2S10"/>
      <sheetName val="PR_110"/>
      <sheetName val="ESTADO_RED_TEC10"/>
      <sheetName val="PREACTA_1010"/>
      <sheetName val="PREACTA_910"/>
      <sheetName val="Lp"/>
      <sheetName val="Listas"/>
      <sheetName val="Insum"/>
      <sheetName val="Excavación Mat. Común Estacione"/>
      <sheetName val="Demolición Pavimento"/>
      <sheetName val="SUB APU"/>
      <sheetName val="EVA"/>
      <sheetName val="AIU"/>
      <sheetName val="Program"/>
      <sheetName val="062"/>
      <sheetName val="REC-COD,"/>
      <sheetName val="CLASIFICACION"/>
      <sheetName val="GCB2000"/>
      <sheetName val="Equipo"/>
      <sheetName val="Presup_Cancha"/>
      <sheetName val="PUNITARIOS%20PARA%20241201%202S"/>
      <sheetName val="Cuad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RESU HH"/>
      <sheetName val="ENTREGABLES"/>
      <sheetName val="Analisis.Tarifas"/>
      <sheetName val="C.LABORALES"/>
      <sheetName val="ADMON"/>
      <sheetName val="desmonte"/>
      <sheetName val="Objetivos de Política"/>
      <sheetName val="procesos"/>
      <sheetName val="Programa Presupuestal"/>
      <sheetName val="Subprograma"/>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J"/>
      <sheetName val="Gráfico1"/>
      <sheetName val="MD"/>
      <sheetName val="AXD"/>
      <sheetName val="MI"/>
      <sheetName val="JAGUA198"/>
      <sheetName val="Dólar"/>
      <sheetName val="Gastos"/>
    </sheetNames>
    <sheetDataSet>
      <sheetData sheetId="0"/>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sheetName val="ORGANIGRAMA"/>
      <sheetName val="FLUJO DE FONDOS"/>
      <sheetName val="CRONOGRAMA"/>
      <sheetName val="INSUMOS"/>
      <sheetName val="A.E.B"/>
      <sheetName val="PRESUPUESTO"/>
      <sheetName val="A.P.U (3)"/>
      <sheetName val="A.P.U (2)"/>
      <sheetName val="P.S"/>
      <sheetName val="A.I.U"/>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devdics"/>
      <sheetName val="ACTA DE MODIFICACION  (2)"/>
      <sheetName val="VrEqpBasica"/>
      <sheetName val="PROGR_1"/>
      <sheetName val="PROGR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refreshError="1"/>
      <sheetData sheetId="21" refreshError="1"/>
      <sheetData sheetId="22"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ia de Actividades"/>
      <sheetName val="2.1"/>
      <sheetName val="Memorias de calculo"/>
      <sheetName val="Analisis de Mercado"/>
      <sheetName val="Mano de obra "/>
      <sheetName val="Rendimientos"/>
    </sheetNames>
    <sheetDataSet>
      <sheetData sheetId="0"/>
      <sheetData sheetId="1"/>
      <sheetData sheetId="2"/>
      <sheetData sheetId="3"/>
      <sheetData sheetId="4"/>
      <sheetData sheetId="5"/>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sumen"/>
      <sheetName val="Presupuesto MGA"/>
      <sheetName val="Presupuesto General"/>
      <sheetName val="Presupuesto viviendas"/>
      <sheetName val="Presupuesto instituciones"/>
      <sheetName val="Análisis AIU"/>
      <sheetName val="MPMA"/>
      <sheetName val="Presupuesto Interventoría"/>
      <sheetName val="Socializaciones"/>
      <sheetName val="Capacitación Técnica"/>
      <sheetName val="Cronograma y Flujo de Fondos"/>
      <sheetName val="Factor Prestacional"/>
      <sheetName val="Factor Multiplicador"/>
      <sheetName val="Gastos de Legalización"/>
      <sheetName val="Mano de Ob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8"/>
      <sheetName val="2009"/>
      <sheetName val="2010"/>
      <sheetName val="2011"/>
      <sheetName val="Consolidado"/>
      <sheetName val="WACC - VPN FC"/>
      <sheetName val="Activos"/>
      <sheetName val="Impuestos Temp."/>
      <sheetName val="CatFin - Suleasing(Plamort)"/>
      <sheetName val="Dólar"/>
      <sheetName val="Produccio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ACCIDENTALIDAD"/>
      <sheetName val="ACC.EJECUTIVO"/>
      <sheetName val="ACC.EJECUTIVO-OCT-02"/>
      <sheetName val="EJEC-AGO-2002"/>
      <sheetName val="TABLA"/>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 val="EQUIPO"/>
      <sheetName val="MATERIAL"/>
      <sheetName val="Presup_Cancha"/>
      <sheetName val="Presup Av 1o de mayo con 73a "/>
      <sheetName val="materiales"/>
      <sheetName val="otros"/>
      <sheetName val="Insumos"/>
      <sheetName val="APU"/>
      <sheetName val="BASE"/>
      <sheetName val="SKJ452"/>
      <sheetName val="ITA878"/>
      <sheetName val="AEA-944"/>
      <sheetName val="DUB-823"/>
      <sheetName val="GPI 526"/>
      <sheetName val="XXJ617"/>
      <sheetName val="SNG_855"/>
      <sheetName val="VEA 374"/>
      <sheetName val="HFB024"/>
      <sheetName val="PAJ825"/>
      <sheetName val="Res-Accide-10"/>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 val="EQUIPO"/>
      <sheetName val="MATERIAL"/>
      <sheetName val="Presup_Cancha"/>
      <sheetName val="Presup Av 1o de mayo con 73a "/>
      <sheetName val="materiales"/>
      <sheetName val="otros"/>
      <sheetName val="Insumos"/>
      <sheetName val="APU"/>
      <sheetName val="BASE"/>
      <sheetName val="SKJ452"/>
      <sheetName val="ITA878"/>
      <sheetName val="AEA-944"/>
      <sheetName val="DUB-823"/>
      <sheetName val="GPI 526"/>
      <sheetName val="XXJ617"/>
      <sheetName val="SNG_855"/>
      <sheetName val="VEA 374"/>
      <sheetName val="HFB024"/>
      <sheetName val="PAJ825"/>
      <sheetName val="Res-Accide-10"/>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ES"/>
      <sheetName val="COMBUSTIBLE"/>
      <sheetName val="relacion de equipo"/>
      <sheetName val="CUADRILLAS"/>
      <sheetName val="PRESTACIONES"/>
      <sheetName val="ANALISIS"/>
      <sheetName val="PRES OSW"/>
    </sheetNames>
    <sheetDataSet>
      <sheetData sheetId="0"/>
      <sheetData sheetId="1"/>
      <sheetData sheetId="2"/>
      <sheetData sheetId="3"/>
      <sheetData sheetId="4"/>
      <sheetData sheetId="5"/>
      <sheetData sheetId="6"/>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 MT"/>
      <sheetName val="FP"/>
      <sheetName val="PERSONAL"/>
      <sheetName val="IMPUESTOS"/>
      <sheetName val="AIU"/>
      <sheetName val="TOTAL OBRA"/>
      <sheetName val="FM (2)"/>
      <sheetName val="Componente minimo"/>
      <sheetName val="COSTEO FM"/>
      <sheetName val="IPC"/>
      <sheetName val="Ensayos Laboratori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 MT"/>
      <sheetName val="FP"/>
      <sheetName val="PERSONAL"/>
      <sheetName val="IMPUESTOS"/>
      <sheetName val="AIU"/>
      <sheetName val="TOTAL OBRA"/>
      <sheetName val="FM (2)"/>
      <sheetName val="Componente minimo"/>
      <sheetName val="COSTEO FM"/>
      <sheetName val="IPC"/>
      <sheetName val="Ensayos Laboratori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up_Cancha"/>
      <sheetName val="1_Preliminares"/>
      <sheetName val="2_Cimentación_Est.Met"/>
      <sheetName val="3_HS"/>
      <sheetName val="Apus_In.Elect"/>
      <sheetName val="Apus_Cubierta"/>
      <sheetName val="Apus_Dotación_Pintura"/>
      <sheetName val="Insumos"/>
      <sheetName val="Equipo_Trans "/>
      <sheetName val="M.Obra"/>
      <sheetName val="ESP.GENERALES"/>
      <sheetName val="ESP. ELECTRICAS"/>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_PGS"/>
      <sheetName val="APU_ESTUDIO DE MERCADO"/>
    </sheetNames>
    <sheetDataSet>
      <sheetData sheetId="0" refreshError="1"/>
      <sheetData sheetId="1">
        <row r="41">
          <cell r="D41">
            <v>142350</v>
          </cell>
        </row>
      </sheetData>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SISFV MGA"/>
      <sheetName val="PRES. SISFV"/>
      <sheetName val="1.1"/>
      <sheetName val="1.2"/>
      <sheetName val="1.3"/>
      <sheetName val="1.4"/>
      <sheetName val="1.5"/>
      <sheetName val="1.6"/>
      <sheetName val="1.7"/>
      <sheetName val="1.8"/>
      <sheetName val="1.9"/>
      <sheetName val="1.10"/>
      <sheetName val="1.11"/>
      <sheetName val="1.12"/>
      <sheetName val="1.13"/>
      <sheetName val="2.1"/>
      <sheetName val="2.2"/>
      <sheetName val="2.3"/>
      <sheetName val="3.1"/>
      <sheetName val="3.2"/>
      <sheetName val="MATERIALES"/>
      <sheetName val="EQUIPO Y HERRAMIENTA"/>
      <sheetName val="TRANSPORTE"/>
      <sheetName val="MANO DE OBRA"/>
      <sheetName val="FP"/>
      <sheetName val="AIU"/>
      <sheetName val="INTERVENTORÍA"/>
      <sheetName val="GERENCIA"/>
      <sheetName val="FIDUCIA"/>
      <sheetName val="CAPACITACIÓN"/>
      <sheetName val="PMA"/>
      <sheetName val="IMPORT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7">
          <cell r="E27">
            <v>1.61</v>
          </cell>
        </row>
      </sheetData>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HERRAMIENTA CIVIL"/>
      <sheetName val="EQUIPO Y HERRAMIENTA"/>
      <sheetName val="TRANSPORTE"/>
      <sheetName val="Hoja1"/>
      <sheetName val="FP"/>
      <sheetName val="TASAS POLIZAS"/>
      <sheetName val="RENDIMIENTOS"/>
      <sheetName val="TIEMPO EJECUCIÓN"/>
      <sheetName val="MANO DE OBRA"/>
      <sheetName val="ENSAYOS DE LABORATORIO"/>
      <sheetName val="AIU Proyecto"/>
      <sheetName val="INT. REDES"/>
      <sheetName val="Presupuesto Interventoría"/>
      <sheetName val="Factor Multiplicador"/>
      <sheetName val="USUARIOS"/>
      <sheetName val="PMAA"/>
      <sheetName val="APU_PGS (2)"/>
      <sheetName val="FIDUCIA"/>
      <sheetName val="GERENCIA"/>
      <sheetName val="equipos"/>
      <sheetName val="CRONOGRAMA Y FLUJO (OXI)"/>
      <sheetName val="CRONOGRAMA Y FLUJO ."/>
      <sheetName val="CADENA DE VALOR"/>
      <sheetName val="PRES GENERAL MR(OXI)"/>
      <sheetName val="2. PRES. SISFV 2010 W B200"/>
      <sheetName val="3. PRES MR 5 KW"/>
      <sheetName val="4. PRES MR 10 KW"/>
      <sheetName val="5. PRES MR 15 KW"/>
      <sheetName val="1"/>
      <sheetName val="211"/>
      <sheetName val="212"/>
      <sheetName val="213"/>
      <sheetName val="214"/>
      <sheetName val="215 (2)"/>
      <sheetName val="216"/>
      <sheetName val="217"/>
      <sheetName val="218"/>
      <sheetName val="221"/>
      <sheetName val="222"/>
      <sheetName val="231"/>
      <sheetName val="311 411 511"/>
      <sheetName val="312"/>
      <sheetName val="313"/>
      <sheetName val="314 414 514"/>
      <sheetName val="315"/>
      <sheetName val="316"/>
      <sheetName val="317 417 517"/>
      <sheetName val="318"/>
      <sheetName val="319"/>
      <sheetName val="3110"/>
      <sheetName val="3111"/>
      <sheetName val="3112 4112 5112"/>
      <sheetName val="3113 4113"/>
      <sheetName val="321 421 521"/>
      <sheetName val="322 422 522"/>
      <sheetName val="323 423 523"/>
      <sheetName val="324 424 524"/>
      <sheetName val="325 425 525"/>
      <sheetName val="326 426 526"/>
      <sheetName val="327 427 527"/>
      <sheetName val="328 428 528"/>
      <sheetName val="329 429 529"/>
      <sheetName val="3210 4210 5210"/>
      <sheetName val="331 431 531"/>
      <sheetName val="341 441 541"/>
      <sheetName val="352 452 552"/>
      <sheetName val="353 453 553"/>
      <sheetName val="354 454 554"/>
      <sheetName val="356 456 556"/>
      <sheetName val="412"/>
      <sheetName val="413"/>
      <sheetName val="415"/>
      <sheetName val="416"/>
      <sheetName val="418"/>
      <sheetName val="419"/>
      <sheetName val="4110"/>
      <sheetName val="4111"/>
      <sheetName val="512"/>
      <sheetName val="513"/>
      <sheetName val="515"/>
      <sheetName val="516"/>
      <sheetName val="518"/>
      <sheetName val="519"/>
      <sheetName val="5110"/>
      <sheetName val="5111"/>
      <sheetName val="5113"/>
      <sheetName val="61"/>
      <sheetName val="MATERIALES"/>
      <sheetName val="61000"/>
      <sheetName val="INTERVENTORÍA"/>
      <sheetName val="SUPERVISIÓN"/>
      <sheetName val="CAPACITACIÓN"/>
      <sheetName val="IMPORTACIÓ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IMPLEMENTACIÓN DE SOLUCIONES ENERGÉTICAS CON FUENTES NO CONVENCIONALES DE ENERGÍA PARA USUARIOS EN ZONAS RURALES DEL MUNICIPIO DE TEORAMA EN EL DEPARTAMENTO DE NORTE DE SANTANDER</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Copia de Actividades"/>
      <sheetName val="Analisis de Cuadrilla"/>
      <sheetName val="Analisis de Mercado"/>
      <sheetName val="1.1"/>
      <sheetName val="1.2 "/>
      <sheetName val="1.3 "/>
      <sheetName val="1.4"/>
      <sheetName val="1.5 "/>
      <sheetName val="1.6 "/>
      <sheetName val="1.7 "/>
      <sheetName val="1.8"/>
      <sheetName val="1.9 "/>
      <sheetName val="2.1"/>
      <sheetName val="3.1 "/>
      <sheetName val="3.2 "/>
      <sheetName val="Rendimien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GENERAL MR (2)"/>
      <sheetName val="HERRAMIENTA CIVIL"/>
      <sheetName val="EQUIPO Y HERRAMIENTA"/>
      <sheetName val="TRANSPORTE"/>
      <sheetName val="Hoja1"/>
      <sheetName val="MANO DE OBRA"/>
      <sheetName val="FP"/>
      <sheetName val="TASAS POLIZAS"/>
      <sheetName val="RENDIMIENTOS"/>
      <sheetName val="TIEMPO EJECUCIÓN"/>
      <sheetName val="1"/>
      <sheetName val="APU_PGS"/>
      <sheetName val="CRONOGRAMA Y FLUJO"/>
      <sheetName val="Presup Interventoría (2)"/>
      <sheetName val="Factor mult "/>
      <sheetName val="INT. REDES"/>
      <sheetName val="MATERIALES"/>
      <sheetName val="USUARIOS"/>
      <sheetName val="PRES GENERAL MR"/>
      <sheetName val="PRES. SISFV 1100 W "/>
      <sheetName val="PRES MR 8 US"/>
      <sheetName val="PRES MR 16 U"/>
      <sheetName val="PRES MR 24 U"/>
      <sheetName val="AIU Proyecto"/>
      <sheetName val="211 311 411 511"/>
      <sheetName val="212"/>
      <sheetName val="213"/>
      <sheetName val="214"/>
      <sheetName val="215"/>
      <sheetName val="216"/>
      <sheetName val="217 342 442 542"/>
      <sheetName val="221"/>
      <sheetName val="222"/>
      <sheetName val="231"/>
      <sheetName val="312"/>
      <sheetName val="313"/>
      <sheetName val="314 414 514"/>
      <sheetName val="315"/>
      <sheetName val="316"/>
      <sheetName val="317 417 517"/>
      <sheetName val="318"/>
      <sheetName val="319 419"/>
      <sheetName val="3110"/>
      <sheetName val="3111"/>
      <sheetName val="3112 4112 5112"/>
      <sheetName val="3113"/>
      <sheetName val="321 421 521"/>
      <sheetName val="322 422 522"/>
      <sheetName val="323 423 523"/>
      <sheetName val="324 424 524"/>
      <sheetName val="325 425 525"/>
      <sheetName val="326 426 526"/>
      <sheetName val="327 427 527"/>
      <sheetName val="328 428 528"/>
      <sheetName val="329 429 529"/>
      <sheetName val="3210 4210 5210"/>
      <sheetName val="331 431 531"/>
      <sheetName val="341 441 541"/>
      <sheetName val="343 443 543"/>
      <sheetName val="351 451 551"/>
      <sheetName val="352 452 552"/>
      <sheetName val="353 453 553"/>
      <sheetName val="354 454 554"/>
      <sheetName val="356 456 556"/>
      <sheetName val="412"/>
      <sheetName val="413"/>
      <sheetName val="415"/>
      <sheetName val="416"/>
      <sheetName val="418"/>
      <sheetName val="4110"/>
      <sheetName val="4111"/>
      <sheetName val="4113"/>
      <sheetName val="512"/>
      <sheetName val="513"/>
      <sheetName val="515"/>
      <sheetName val="516"/>
      <sheetName val="518"/>
      <sheetName val="519"/>
      <sheetName val="5110"/>
      <sheetName val="5111"/>
      <sheetName val="5113"/>
      <sheetName val="61"/>
      <sheetName val="71"/>
      <sheetName val="AIU"/>
      <sheetName val="INTERVENTORÍA"/>
      <sheetName val="SUPERVISIÓN"/>
      <sheetName val="CAPACITACIÓN"/>
      <sheetName val="IMPORTACIÓN"/>
    </sheetNames>
    <sheetDataSet>
      <sheetData sheetId="0" refreshError="1"/>
      <sheetData sheetId="1" refreshError="1"/>
      <sheetData sheetId="2" refreshError="1"/>
      <sheetData sheetId="3" refreshError="1"/>
      <sheetData sheetId="4" refreshError="1"/>
      <sheetData sheetId="5" refreshError="1"/>
      <sheetData sheetId="6" refreshError="1">
        <row r="28">
          <cell r="B28">
            <v>1.6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9">
          <cell r="C19" t="str">
            <v>m2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EXIBLE"/>
      <sheetName val="Presupuesto del Proyecto"/>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s>
    <definedNames>
      <definedName name="absc"/>
    </defined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iniciales "/>
      <sheetName val="Equipo"/>
      <sheetName val="Mano de obra "/>
      <sheetName val="Cuadrillas"/>
      <sheetName val="Transporte"/>
      <sheetName val="Concretos y morteros"/>
      <sheetName val="Materiales"/>
      <sheetName val="APUS"/>
      <sheetName val="Total "/>
      <sheetName val="Presupuesto de obra "/>
      <sheetName val="Cronograma "/>
      <sheetName val="Cantidades placa huella"/>
      <sheetName val="Flujo de fondos "/>
      <sheetName val="Graf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DE AIU"/>
      <sheetName val="AIU-ROSARIO"/>
      <sheetName val="Datos Principales"/>
      <sheetName val="PRESUP COMP."/>
      <sheetName val="PRESUP ACT."/>
      <sheetName val="Presup Resum"/>
      <sheetName val="Reporte Viabilidad"/>
      <sheetName val="Dotacion"/>
      <sheetName val="Transp."/>
      <sheetName val="Equipo"/>
      <sheetName val="Cuadrilla"/>
      <sheetName val="M.Obra"/>
      <sheetName val="Material"/>
      <sheetName val="Mort.1-3"/>
      <sheetName val="Mortero 1-3 imperm"/>
      <sheetName val="Mortero 1-4"/>
      <sheetName val="Mortero 1-4 imperm."/>
      <sheetName val="Mortero 1-6"/>
      <sheetName val="Concreto de 2000 psi"/>
      <sheetName val="Concreto de 2500"/>
      <sheetName val="Concreto de 3000 psi"/>
      <sheetName val="Acero de 37.000 psi "/>
      <sheetName val="Acero de 60.000psi"/>
      <sheetName val="1.1.1campamento"/>
      <sheetName val="1.1.2. Cerram.prov"/>
      <sheetName val="1.1.3Limp. Desca. y Retiro"/>
      <sheetName val="1.1.4Localización y Rep."/>
      <sheetName val="1.1.7Localiz y rep"/>
      <sheetName val="1.3.1Demol.const exit"/>
      <sheetName val="1.3.3Demol de muros"/>
      <sheetName val="1.3.6Demol placa maciza"/>
      <sheetName val="1.3.7Demol const manual"/>
      <sheetName val="1.4.2Traslado poste"/>
      <sheetName val="2.1.1Excav.Mecan."/>
      <sheetName val="2.1.2Excav. man."/>
      <sheetName val="2.1.3xcav man receb"/>
      <sheetName val="2.1.5Relleno mat com"/>
      <sheetName val="2.1.06 Recebo Comun"/>
      <sheetName val="2.1.10Relleno Recebo B-200"/>
      <sheetName val="2.2.1Concreto pobre"/>
      <sheetName val="2.2.2Conc.ciclopeo"/>
      <sheetName val="2.2.3Muro contencion"/>
      <sheetName val="2.2.4Concreto Zapatas"/>
      <sheetName val="2.2.5Viga Ciment"/>
      <sheetName val="2.2.6PILOTES"/>
      <sheetName val="2.2.7DADOS"/>
      <sheetName val="2.2.8.1Placa Contrapiso"/>
      <sheetName val="2.2.8.2Placa aligerada 50cm"/>
      <sheetName val="2.3.3Malla Electros."/>
      <sheetName val="3,1,2,3Tubo novafor 4&quot;"/>
      <sheetName val="3.1.2.4Tubo novafor 10"/>
      <sheetName val="3.1.2.5Tuberia novafor12&quot;"/>
      <sheetName val="3.2.1.2Tubo PVC sanit4"/>
      <sheetName val="3.1.1.3Tuberia sanitr6&quot;"/>
      <sheetName val="3.4.1.1Caja de Insp.60"/>
      <sheetName val="3.4.5canalteta aguas ll"/>
      <sheetName val="3.4.9Caja insp.0.8"/>
      <sheetName val="3.4.10Caja insp 1"/>
      <sheetName val="3.4.11Caja insp.0.4"/>
      <sheetName val="3.5.1Excavacion manual"/>
      <sheetName val="3.5.5Retiro de Sobrantes"/>
      <sheetName val="3,5,6Relleno en grava3-4"/>
      <sheetName val="3.6.1Empate camara"/>
      <sheetName val="4.1.1Conc. Columnas"/>
      <sheetName val="4.2.1Viga Aerea"/>
      <sheetName val="4.2.2Viga Canal"/>
      <sheetName val="4.3.2Losa aliger"/>
      <sheetName val="4.3.3.1Losa con lamina"/>
      <sheetName val="4.3.1.4Placa e=.2"/>
      <sheetName val="4.3.1.1Placa e=.1"/>
      <sheetName val="4.3.1,3Placa e=.15"/>
      <sheetName val="4.3.1.2Placa e=.12"/>
      <sheetName val="4.3.10Placa alig 30"/>
      <sheetName val="4.3.11Placa alig 50"/>
      <sheetName val="4.4.1Escal en concret"/>
      <sheetName val="4.4.2Rampa en concret"/>
      <sheetName val="4.4.3concreto tanque"/>
      <sheetName val="4,5,1Acero34000"/>
      <sheetName val="4.5.2Acero 6000 psi"/>
      <sheetName val="4.6.1perfil metalico placa"/>
      <sheetName val="4.7.4.1Perfil metalico"/>
      <sheetName val="4.6.2.6Anclajes"/>
      <sheetName val="4.6.2.7Columna metalica"/>
      <sheetName val="4.6.2.8Viga Met."/>
      <sheetName val="4.6.2.9Viga met 60"/>
      <sheetName val="4.6.2.10Viga met 65"/>
      <sheetName val="5.1.3.1bloque piedra"/>
      <sheetName val="5.1.2.4Bloque cocr 12"/>
      <sheetName val="5.1.1.3Bloque concr19"/>
      <sheetName val="5.2.2Ladrillo Tolete Fino 2 car"/>
      <sheetName val="5.2.3Ladrillo toletefino 1 cara"/>
      <sheetName val="5.2.7Muro Bloque 5"/>
      <sheetName val="5.2.6.1Muro Bloque 4"/>
      <sheetName val="5,3,4Remates ladrillo tolete "/>
      <sheetName val="5.4.1Grouting"/>
      <sheetName val="5,6,1 Chazos para carpinteria"/>
      <sheetName val="6.1.1Alfajia"/>
      <sheetName val="COLUMNETA MAMPOSTERIA"/>
      <sheetName val="6.1.3Pref conc a la vista"/>
      <sheetName val="6,1,9Gargola"/>
      <sheetName val="6.1.12Zocalo"/>
      <sheetName val="6.1.14 ventana prefab concreto"/>
      <sheetName val="6.1.18Cañuela perim ag lluvias"/>
      <sheetName val="6.1.19.1Pref piso"/>
      <sheetName val="6.2.2Meson lavamanos"/>
      <sheetName val="6.2.3.2Meson laboratorio"/>
      <sheetName val="6.2.1.Meson laborat"/>
      <sheetName val="6,2,5Banca en concreto"/>
      <sheetName val="6.3.6Alero concreto"/>
      <sheetName val="6.2.3.1Mezon vidrio"/>
      <sheetName val="7.1.3.1.1Tubo hg1&quot;"/>
      <sheetName val="7.1.3.1.2Tubo hg1 1-2"/>
      <sheetName val="7.1.3.1.3Tubp hg2"/>
      <sheetName val="7.1.3.1.4Tubo hg3"/>
      <sheetName val="7.1.3.3.3Registro 1 1-2"/>
      <sheetName val="7.1.3.3.5Registro 3"/>
      <sheetName val="7.1.3.4.1Cheque 1 "/>
      <sheetName val="7.1.6.3Tuberia 1&quot;PVCP13.5"/>
      <sheetName val="7.1.1.4 Cheque 1&quot;"/>
      <sheetName val=" 7.1.11.5Bajante Amaz"/>
      <sheetName val="7.1.2.4Sumin Tanq 1000 lts"/>
      <sheetName val="7.1.6.1Tuberia PVCP Media"/>
      <sheetName val="7.1.6.2Tuberia PVCP1&quot;"/>
      <sheetName val="7.1.6.8Registro de media"/>
      <sheetName val="7.1.6.10Registro1&quot;"/>
      <sheetName val="7.1.6.4TuboPVC1.1-4"/>
      <sheetName val="7.1.6.6Tubo PVC2&quot;"/>
      <sheetName val="7.1.6.13Caja plastica reg"/>
      <sheetName val="7.1.6.5Tub. y acc. de 1y1-2"/>
      <sheetName val="7.1.6.9Registro de 3-4"/>
      <sheetName val="7.1.6.11Registro 1 1-4"/>
      <sheetName val="7.1.6.12Registro 2&quot;"/>
      <sheetName val="7.1.6.2TuberiaPVC 3-4"/>
      <sheetName val="7.1.8.1Pto agua Lavamanos"/>
      <sheetName val="7.1.8.3Pto agua Sanitario "/>
      <sheetName val="7.1.8.4Pto agua Orinal"/>
      <sheetName val="7.1.8.12Recamara HG para orinal"/>
      <sheetName val="7.1.8.13Camara de Aire"/>
      <sheetName val="7.1.9.1Pto sanit lavamanos"/>
      <sheetName val="7.1.10.3Bajant sanit 4&quot;"/>
      <sheetName val="7.1.10.1Bajnte sanit 2&quot;"/>
      <sheetName val="7,1,10,2Tubo sanit3&quot;"/>
      <sheetName val="7.1.11.3 Bajante Ag Ll 4&quot;"/>
      <sheetName val="7.1.11.1Tubo PVCL2&quot;"/>
      <sheetName val="7,1,11,5 Tubo PVCfiltro 4&quot;"/>
      <sheetName val="7.1.11.6Bajantt tipo Amaz"/>
      <sheetName val="7.1.12.1Montaje lavamanos"/>
      <sheetName val="7.1.12.8Llave de mang"/>
      <sheetName val="7,2,1,4Tubo 12 galv"/>
      <sheetName val="7.2.1.11registro 1-2 gas"/>
      <sheetName val="7.2.1.12Regulador"/>
      <sheetName val="7.2.1.17Punto gas"/>
      <sheetName val="7.2.1.18Tapon HG 1-2"/>
      <sheetName val="8.1.1Salida lamp Fluor."/>
      <sheetName val="8.1.2Salida Lamp incan"/>
      <sheetName val="8.1.4Salida pto"/>
      <sheetName val="8.1.5Salida Toma"/>
      <sheetName val="8.1.8Salida Toma GFCI"/>
      <sheetName val="8.3.4Acom a T1"/>
      <sheetName val="8.3.7Tubo Galvanizado"/>
      <sheetName val="8.3.9Acometida"/>
      <sheetName val="8.3.14Acometida 1&quot; 2#8"/>
      <sheetName val="8,3,14Acometida4#6"/>
      <sheetName val="8.3.15Canaliz. conduit nedia"/>
      <sheetName val="8.3.16Ducto 3-4"/>
      <sheetName val="8.4.2Tablero18circuitos"/>
      <sheetName val="8.4.5Caja Medidor"/>
      <sheetName val="8.4.7Interruptor"/>
      <sheetName val="8.4.8Interrup 60 A"/>
      <sheetName val="8.4.11Caja 6 Circuit"/>
      <sheetName val="8.4.13Tablero de 12 circ"/>
      <sheetName val="8.4.14Tablero30circuit"/>
      <sheetName val="8.6.1Salida TV"/>
      <sheetName val="8.6.4Salid ventilador"/>
      <sheetName val="8.8.2Tierra"/>
      <sheetName val="8.11.1Camara CS 274"/>
      <sheetName val="8.11.4Caja de Insp"/>
      <sheetName val="9.1.1 PAÑETE IMPERMEA 1 3"/>
      <sheetName val="9.1.2Pañete Int"/>
      <sheetName val="9.1.3Pañete Ext"/>
      <sheetName val="9.1.5Pañete int ml"/>
      <sheetName val="9.1.5.1Pañete rustico exterior"/>
      <sheetName val="9.2.1Pañete Bajo Placa"/>
      <sheetName val="10.1.2Alist pisos"/>
      <sheetName val="10.1.3 ALISTADO DE PISOS CON MO"/>
      <sheetName val="10.1.5.1Mortero afin piso"/>
      <sheetName val="10,2,1,3Ceramica 20 20 trafico"/>
      <sheetName val="10.2.1.2Duropiso"/>
      <sheetName val="10.2.2.4Concreto esmaltado"/>
      <sheetName val="10.2.2.5Concreto es+tabla etrus"/>
      <sheetName val="10.2.3.4Tablon30x30"/>
      <sheetName val="10.2.3.9Tableta etrusca"/>
      <sheetName val="10,2,3,6Tableta cuarto26"/>
      <sheetName val="10.3,2,1Tableta cuarto ml"/>
      <sheetName val="10.2.3.7Tableta cuarto ml"/>
      <sheetName val="10.2.4.1Baldosa grano marmol"/>
      <sheetName val="10.2.4.4Tableta"/>
      <sheetName val="10.3.3.6 Guardaescob granito"/>
      <sheetName val="10.3.2.3Media caña mort"/>
      <sheetName val="10.3.2.6Tableta ml"/>
      <sheetName val="10.3.7.2remate ladrillo"/>
      <sheetName val="10.4.2Gradas en Gravilla"/>
      <sheetName val="11,1,3Afinado Vigas Canales imp"/>
      <sheetName val="11,1,4Impermeh manto asfalt"/>
      <sheetName val="11.1.4Impermehab manto asfaltic"/>
      <sheetName val="11,2,6,2Remate superior"/>
      <sheetName val="11.2.6.3Remate lateral"/>
      <sheetName val="11.2.4Teja Sandwich"/>
      <sheetName val="11.4.1Teja termoacustica"/>
      <sheetName val="11.6.1Teja cindu"/>
      <sheetName val="11.7.1.1Canal lamina"/>
      <sheetName val="11.3.5Canal PVC"/>
      <sheetName val="12.1.1Ventana aluminio fija"/>
      <sheetName val="12.1.3 Ventana aluminio"/>
      <sheetName val="12.1.4Persiana alumin"/>
      <sheetName val="12.2.7Puerta Metalica 0.6"/>
      <sheetName val="12.2.4Puerta Metalica ,70"/>
      <sheetName val="12.2.2Puerta Metalica 1.55x2.95"/>
      <sheetName val="12,2,3Puerta metalica1.55x2.85"/>
      <sheetName val="12.2.5Puertalamina 1x2.1"/>
      <sheetName val="12.2.6Puerta1.5x2.1"/>
      <sheetName val="12.2.3.1Ventana Acero rect2.85"/>
      <sheetName val="12.2.6.2Ventana Acero rect.m2"/>
      <sheetName val="12.2.1.8Ventana Acerorect.1"/>
      <sheetName val="12,2,2,2Pasamanos 2&quot;"/>
      <sheetName val="12.3.2.1Baranda en Tubo 1 1 2&quot;"/>
      <sheetName val="12.3.2.2Baranda en Tubo 3&quot;"/>
      <sheetName val="12.2.3.1Reja varilla cuad"/>
      <sheetName val="12.2.3.7Ventana "/>
      <sheetName val="12.2.3.8Ventana"/>
      <sheetName val="12.2.3.9Puertas"/>
      <sheetName val="12.2.3.10Pta vent."/>
      <sheetName val="12.2.3.2.2 Persiana metalica"/>
      <sheetName val="12.3.5Baranda tubo 3&quot;y2&quot;"/>
      <sheetName val="12.4.2.1Reja perfilovalado"/>
      <sheetName val="12.5.10estruct lavamanos"/>
      <sheetName val="14.1.1Enchape en ceramica 20x20"/>
      <sheetName val="14.3.1 Poceta en granito"/>
      <sheetName val="15.1.3 Lampara fluorecente"/>
      <sheetName val="15.1.6Lampara tortuga"/>
      <sheetName val="16.1.1Sanitario discap"/>
      <sheetName val="16.1.2Sanitario Infantil"/>
      <sheetName val="16.1.3Sanitario"/>
      <sheetName val="16.1.4Orinal"/>
      <sheetName val="16.1.5Lavamalos de sobreponer"/>
      <sheetName val="16.1.7Lavamalos de colgar"/>
      <sheetName val="16.1.11Lavamanos acero inox"/>
      <sheetName val="16.2.1Dispensador papel hig"/>
      <sheetName val="16.2.3 Dispensador jabon"/>
      <sheetName val="16.2.7Barra discap"/>
      <sheetName val="16.2.8.1GriferiaPush"/>
      <sheetName val="18.1.1Hidrofugo"/>
      <sheetName val="18.1.2Pintura Plast"/>
      <sheetName val="18.1.3Pintura plast fachadas"/>
      <sheetName val="18.1.2Esmalte epoxico"/>
      <sheetName val="18.1.4Vinilo"/>
      <sheetName val="18.1.7pint coraza"/>
      <sheetName val="19.3.3Vidrio temp 6mm"/>
      <sheetName val="18.2,1,Esmalte sobre marcos lam"/>
      <sheetName val="18.3,6Esmalte sobre mueble bajo"/>
      <sheetName val="19.1,1Cerradura baños y aulas"/>
      <sheetName val="19.3.1Espejo"/>
      <sheetName val="20,4,3Jardinera"/>
      <sheetName val="21.1.3Aseo "/>
      <sheetName val="20,2,6Adoquin gress"/>
      <sheetName val="1.2.1. Instalacion prov. agua"/>
      <sheetName val="1.2.2. Instalacion prov. energi"/>
      <sheetName val="1.2.3. Instalacion prov. tel."/>
      <sheetName val="5.1.3.1bloque en concreto estru"/>
      <sheetName val="Concreto de 4000 psi "/>
      <sheetName val="Concreto de 3500 psi "/>
      <sheetName val="APU 12"/>
      <sheetName val="APU 11"/>
      <sheetName val="APU 10"/>
      <sheetName val="APU 9"/>
      <sheetName val="APU 8"/>
      <sheetName val="APU 7"/>
      <sheetName val="APU 6"/>
      <sheetName val="APU 5"/>
      <sheetName val="APU 4"/>
      <sheetName val="APU 3"/>
      <sheetName val="APU 2"/>
      <sheetName val="APU 1"/>
      <sheetName val="5.2.2. Ladrillo Prensado"/>
      <sheetName val="10.3.3.4.1. GUARDAESCOBA EN CEM"/>
      <sheetName val="Hoja13"/>
      <sheetName val="3.1.4. ACCESORIO SANIT."/>
      <sheetName val="21.1.2.aseo muros interiores"/>
      <sheetName val="21.1.4.RETIRO DE ESCOMBROS"/>
      <sheetName val="21.1.2. ASEO FACHAD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
      <sheetName val="Apu Basicos"/>
      <sheetName val="M.O."/>
      <sheetName val="RESUMEN"/>
      <sheetName val="AULAS ESCOLARES"/>
      <sheetName val="4 AULAS ESCOLARES, BAÑOS COM   "/>
      <sheetName val="APU"/>
      <sheetName val="PTO BAÑO"/>
      <sheetName val="Costos Ind. (2)"/>
    </sheetNames>
    <sheetDataSet>
      <sheetData sheetId="0"/>
      <sheetData sheetId="1"/>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
      <sheetName val="N.COSPIQUE"/>
      <sheetName val="ECOP 110 kV"/>
      <sheetName val="ECOP 13.8 kV "/>
      <sheetName val="L SUBT 110"/>
      <sheetName val="RESUMEN"/>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ctividad"/>
      <sheetName val="aCant"/>
      <sheetName val="retropliegos"/>
      <sheetName val="orden"/>
      <sheetName val="precmatuni"/>
      <sheetName val="Prest"/>
      <sheetName val="dMO no calificada"/>
      <sheetName val="dCuadrilla"/>
      <sheetName val="cAnalisisbas"/>
      <sheetName val="cAnalisis"/>
      <sheetName val="precmatuni "/>
      <sheetName val="AUI"/>
      <sheetName val="cPresup"/>
      <sheetName val="rCuadrillas"/>
      <sheetName val="PPTO"/>
      <sheetName val="bEDT"/>
      <sheetName val="bCantDurRen"/>
      <sheetName val="btiempo"/>
      <sheetName val="bmatrizacti"/>
      <sheetName val="dganttpersonal"/>
      <sheetName val="distrib1"/>
      <sheetName val="distrib1 (2)"/>
      <sheetName val="distrib1 (3)"/>
      <sheetName val="distrib1 (4)"/>
      <sheetName val="distrib1 (5)"/>
      <sheetName val="histograma"/>
      <sheetName val="dganttequipos"/>
      <sheetName val="efondoscerc"/>
      <sheetName val="efondoslejano"/>
      <sheetName val="efondosnivelado"/>
      <sheetName val="ecurvaScosto"/>
      <sheetName val="bPertTiempo"/>
      <sheetName val="bCPM"/>
      <sheetName val="bMatSec"/>
      <sheetName val="bGanntPersonal"/>
      <sheetName val="bPertCosto"/>
      <sheetName val="bFlujoFonLejano"/>
      <sheetName val="bFlujoFonNivelado"/>
      <sheetName val="ecurvaScosto "/>
      <sheetName val="aUnitb"/>
      <sheetName val="zprocedimiento"/>
      <sheetName val="Mater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Indice"/>
      <sheetName val="PE-01"/>
      <sheetName val="PE-02"/>
      <sheetName val="PE-03"/>
      <sheetName val="PE-04"/>
      <sheetName val="PE-05"/>
      <sheetName val="PE-06"/>
      <sheetName val="PE-07"/>
      <sheetName val="PE-08"/>
      <sheetName val="PE-09"/>
      <sheetName val="PE-10"/>
      <sheetName val="PE-11"/>
      <sheetName val="PE-12"/>
      <sheetName val="PE-13"/>
      <sheetName val="PE-14"/>
      <sheetName val="PE-15"/>
      <sheetName val="PE-16"/>
      <sheetName val="PE-17"/>
      <sheetName val="PE-18"/>
      <sheetName val="PE-19"/>
      <sheetName val="PE-20"/>
      <sheetName val="PE-21"/>
      <sheetName val="PE-22"/>
      <sheetName val="PE-23"/>
      <sheetName val="PE-24"/>
      <sheetName val="PE-25"/>
      <sheetName val="PE-26"/>
      <sheetName val="Entidades Financiadoras"/>
      <sheetName val="Control"/>
      <sheetName val="preinversion"/>
      <sheetName val="ejecucion"/>
      <sheetName val="mantenimiento"/>
      <sheetName val="List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Indice"/>
      <sheetName val="ID-01"/>
      <sheetName val="ID-02"/>
      <sheetName val="ID-03"/>
      <sheetName val="ID-04"/>
      <sheetName val="ID-05"/>
      <sheetName val="ID-06"/>
      <sheetName val="ID-07"/>
      <sheetName val="ID-08"/>
      <sheetName val="ID-09"/>
      <sheetName val="ID-10"/>
      <sheetName val="ID-11"/>
      <sheetName val="ID-12"/>
      <sheetName val="ID-13"/>
      <sheetName val="Indicadores de Producto"/>
      <sheetName val="Indicadores de Impacto"/>
      <sheetName val="Indicadores Gestión"/>
      <sheetName val="Programa Presupuestal"/>
      <sheetName val="Objetivos de Política"/>
      <sheetName val="Descentralizadas"/>
      <sheetName val="Subprograma"/>
      <sheetName val="Control"/>
      <sheetName val="List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CN-01"/>
      <sheetName val="SEMAFORO 55CN-03"/>
      <sheetName val="SEMAFORO 56-07"/>
      <sheetName val="TORTA EST. VIAS "/>
      <sheetName val="EST. VIAS"/>
      <sheetName val="MAPA EST RED"/>
      <sheetName val="NECESIDAD VIA"/>
      <sheetName val="Necesidades cr."/>
      <sheetName val="SITIOS CRITICOS"/>
      <sheetName val="CANT OBRA C-G"/>
      <sheetName val="CANT OBRA B-T"/>
      <sheetName val="CANT OBRA S-B"/>
      <sheetName val="INF. EMERGENCIAS"/>
      <sheetName val="PUENTES"/>
      <sheetName val="NEC PTES"/>
      <sheetName val="PONTONES"/>
      <sheetName val="NEC. PONTONES"/>
      <sheetName val="señal v"/>
      <sheetName val="señal H"/>
      <sheetName val="ACCIDENTALIDAD NOV"/>
      <sheetName val="ACCIDENT."/>
      <sheetName val="DEFENSA VIAS"/>
      <sheetName val="ZONAS RETIRO"/>
      <sheetName val="SEGUIMIENTO"/>
      <sheetName val="CUANTI AMV"/>
      <sheetName val="CUALI AMV"/>
      <sheetName val="CUANTI MICRO"/>
      <sheetName val="CUALI MICRO"/>
      <sheetName val="CALIDAD"/>
      <sheetName val="PRENSA"/>
      <sheetName val="COMENT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
      <sheetName val="Apu Basicos"/>
      <sheetName val="M.O."/>
      <sheetName val="Presupuesto"/>
      <sheetName val="CERRAMIENTO MORINDO"/>
      <sheetName val="APU"/>
      <sheetName val="avance de obra"/>
      <sheetName val="Costos Ind. (2)"/>
    </sheetNames>
    <sheetDataSet>
      <sheetData sheetId="0"/>
      <sheetData sheetId="1"/>
      <sheetData sheetId="2"/>
      <sheetData sheetId="3"/>
      <sheetData sheetId="4"/>
      <sheetData sheetId="5"/>
      <sheetData sheetId="6"/>
      <sheetData sheetId="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 ECOP"/>
      <sheetName val="Datos"/>
      <sheetName val="GESTION S"/>
      <sheetName val="Resumen"/>
      <sheetName val="Cronograma y Flujo de Fondos"/>
      <sheetName val="Discriminación Presupuesto"/>
      <sheetName val="PRESUPUESTO GENERAL SEGÚN MGA"/>
      <sheetName val="MPMA"/>
      <sheetName val="Presupesto Interventoría"/>
      <sheetName val="Gerencia Proyecto"/>
      <sheetName val="Fiducia"/>
      <sheetName val="Factor Multiplicador"/>
      <sheetName val="Factor Prestacional"/>
      <sheetName val="Gastos de Legalización"/>
      <sheetName val="Mano de Obra"/>
      <sheetName val="CADENA VALOR"/>
      <sheetName val="Presupuesto General"/>
      <sheetName val="Análisis AIU"/>
      <sheetName val="1.1"/>
      <sheetName val="2.1"/>
      <sheetName val="2.2"/>
      <sheetName val="2.3"/>
      <sheetName val="2.4"/>
      <sheetName val="2.5"/>
      <sheetName val="2.6"/>
      <sheetName val="2.7"/>
      <sheetName val="2.8"/>
      <sheetName val="3.1"/>
      <sheetName val="3.2"/>
      <sheetName val="4.1"/>
      <sheetName val="5.1"/>
      <sheetName val="Materiales"/>
      <sheetName val="Rendimiento"/>
      <sheetName val="Transporte"/>
      <sheetName val="Equipos"/>
    </sheetNames>
    <sheetDataSet>
      <sheetData sheetId="0"/>
      <sheetData sheetId="1"/>
      <sheetData sheetId="2"/>
      <sheetData sheetId="3">
        <row r="11">
          <cell r="B11">
            <v>72</v>
          </cell>
        </row>
        <row r="28">
          <cell r="G28">
            <v>1</v>
          </cell>
        </row>
        <row r="29">
          <cell r="G29">
            <v>1</v>
          </cell>
        </row>
        <row r="30">
          <cell r="G30">
            <v>0.5</v>
          </cell>
        </row>
        <row r="31">
          <cell r="G31">
            <v>0.5</v>
          </cell>
        </row>
        <row r="32">
          <cell r="G32">
            <v>0.5</v>
          </cell>
        </row>
        <row r="33">
          <cell r="G33">
            <v>1</v>
          </cell>
        </row>
        <row r="34">
          <cell r="G34">
            <v>0.5</v>
          </cell>
        </row>
        <row r="35">
          <cell r="G35">
            <v>2.5</v>
          </cell>
        </row>
        <row r="36">
          <cell r="G36">
            <v>0.5</v>
          </cell>
        </row>
        <row r="37">
          <cell r="G37">
            <v>1</v>
          </cell>
        </row>
        <row r="38">
          <cell r="G38">
            <v>1</v>
          </cell>
        </row>
        <row r="39">
          <cell r="G39">
            <v>1</v>
          </cell>
        </row>
        <row r="40">
          <cell r="G40">
            <v>1</v>
          </cell>
        </row>
        <row r="41">
          <cell r="G41">
            <v>1</v>
          </cell>
        </row>
        <row r="45">
          <cell r="G45">
            <v>10</v>
          </cell>
        </row>
      </sheetData>
      <sheetData sheetId="4"/>
      <sheetData sheetId="5"/>
      <sheetData sheetId="6"/>
      <sheetData sheetId="7"/>
      <sheetData sheetId="8">
        <row r="43">
          <cell r="F43">
            <v>7.5227143886189188E-2</v>
          </cell>
        </row>
      </sheetData>
      <sheetData sheetId="9"/>
      <sheetData sheetId="10"/>
      <sheetData sheetId="11"/>
      <sheetData sheetId="12"/>
      <sheetData sheetId="13">
        <row r="31">
          <cell r="B31">
            <v>8.0000000000000002E-3</v>
          </cell>
        </row>
      </sheetData>
      <sheetData sheetId="14">
        <row r="1">
          <cell r="B1">
            <v>1300000</v>
          </cell>
        </row>
        <row r="2">
          <cell r="B2">
            <v>162000</v>
          </cell>
        </row>
        <row r="72">
          <cell r="I72">
            <v>1.6000333333333332</v>
          </cell>
        </row>
        <row r="91">
          <cell r="I91">
            <v>1.5600333333333332</v>
          </cell>
        </row>
        <row r="96">
          <cell r="B96">
            <v>24.583333333333332</v>
          </cell>
        </row>
      </sheetData>
      <sheetData sheetId="15"/>
      <sheetData sheetId="16">
        <row r="24">
          <cell r="L24">
            <v>1932979516.6540697</v>
          </cell>
        </row>
        <row r="30">
          <cell r="L30">
            <v>2277106004</v>
          </cell>
        </row>
      </sheetData>
      <sheetData sheetId="17">
        <row r="71">
          <cell r="F71">
            <v>0.10852903969787721</v>
          </cell>
        </row>
        <row r="72">
          <cell r="F72">
            <v>0.01</v>
          </cell>
        </row>
        <row r="73">
          <cell r="F73">
            <v>0.05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sumen"/>
      <sheetName val="Discriminación Presupuesto"/>
      <sheetName val="PMA"/>
      <sheetName val="Factor Prestacional"/>
      <sheetName val="Gastos de Legalización"/>
      <sheetName val="Factor Multiplicador"/>
      <sheetName val="Mano de Obra"/>
      <sheetName val="GERENCIA"/>
      <sheetName val="FIDUCIA"/>
      <sheetName val="PRESUPUESTO PGS"/>
      <sheetName val="PGS"/>
      <sheetName val="Cronograma y Flujo de Fondos"/>
      <sheetName val="Presupuesto Interventoría"/>
      <sheetName val="Apoyo a la supervision"/>
      <sheetName val="CADENA VALOR"/>
      <sheetName val="Presupuesto General"/>
      <sheetName val="Análisis AIU"/>
      <sheetName val="1.1"/>
      <sheetName val="2.1"/>
      <sheetName val="2.2"/>
      <sheetName val="2.3"/>
      <sheetName val="2.4"/>
      <sheetName val="2.5"/>
      <sheetName val="2.6"/>
      <sheetName val="2.7"/>
      <sheetName val="2.8"/>
      <sheetName val="3.1"/>
      <sheetName val="3.2"/>
      <sheetName val="4.1"/>
      <sheetName val="5.1"/>
      <sheetName val="Materiales"/>
      <sheetName val="Rendimiento"/>
      <sheetName val="Transporte"/>
      <sheetName val="Hoja1"/>
      <sheetName val="Equipos"/>
    </sheetNames>
    <sheetDataSet>
      <sheetData sheetId="0" refreshError="1"/>
      <sheetData sheetId="1" refreshError="1">
        <row r="11">
          <cell r="B11">
            <v>108</v>
          </cell>
        </row>
        <row r="29">
          <cell r="G29">
            <v>1.5</v>
          </cell>
        </row>
        <row r="30">
          <cell r="G30">
            <v>0.5</v>
          </cell>
        </row>
        <row r="31">
          <cell r="G31">
            <v>2.5</v>
          </cell>
        </row>
        <row r="32">
          <cell r="G32">
            <v>0.5</v>
          </cell>
        </row>
        <row r="33">
          <cell r="G33">
            <v>3</v>
          </cell>
        </row>
        <row r="38">
          <cell r="G38">
            <v>6</v>
          </cell>
        </row>
      </sheetData>
      <sheetData sheetId="2" refreshError="1"/>
      <sheetData sheetId="3" refreshError="1"/>
      <sheetData sheetId="4" refreshError="1"/>
      <sheetData sheetId="5" refreshError="1"/>
      <sheetData sheetId="6" refreshError="1">
        <row r="41">
          <cell r="L41">
            <v>1.8768413333333334</v>
          </cell>
          <cell r="Z41">
            <v>1.8304413333333334</v>
          </cell>
        </row>
        <row r="86">
          <cell r="L86">
            <v>1.1808799999999999</v>
          </cell>
        </row>
      </sheetData>
      <sheetData sheetId="7" refreshError="1">
        <row r="2">
          <cell r="B2">
            <v>1300000</v>
          </cell>
        </row>
        <row r="3">
          <cell r="B3">
            <v>162000</v>
          </cell>
        </row>
        <row r="25">
          <cell r="H25">
            <v>0</v>
          </cell>
        </row>
        <row r="26">
          <cell r="H26">
            <v>0</v>
          </cell>
        </row>
        <row r="29">
          <cell r="H29">
            <v>0</v>
          </cell>
        </row>
        <row r="73">
          <cell r="I73">
            <v>1.6000333333333332</v>
          </cell>
        </row>
        <row r="92">
          <cell r="I92">
            <v>1.5600333333333332</v>
          </cell>
        </row>
        <row r="97">
          <cell r="B97">
            <v>24.583333333333332</v>
          </cell>
        </row>
      </sheetData>
      <sheetData sheetId="8" refreshError="1"/>
      <sheetData sheetId="9" refreshError="1"/>
      <sheetData sheetId="10" refreshError="1"/>
      <sheetData sheetId="11" refreshError="1"/>
      <sheetData sheetId="12" refreshError="1"/>
      <sheetData sheetId="13" refreshError="1">
        <row r="8">
          <cell r="F8">
            <v>9</v>
          </cell>
        </row>
        <row r="44">
          <cell r="F44">
            <v>7.1181524451029751E-2</v>
          </cell>
        </row>
      </sheetData>
      <sheetData sheetId="14" refreshError="1"/>
      <sheetData sheetId="15" refreshError="1"/>
      <sheetData sheetId="16" refreshError="1">
        <row r="24">
          <cell r="L24">
            <v>3126464378.465754</v>
          </cell>
        </row>
        <row r="30">
          <cell r="L30">
            <v>4084737862</v>
          </cell>
        </row>
        <row r="39">
          <cell r="L39">
            <v>5071400225</v>
          </cell>
        </row>
      </sheetData>
      <sheetData sheetId="17" refreshError="1">
        <row r="74">
          <cell r="F74">
            <v>0.23700388672461248</v>
          </cell>
        </row>
        <row r="75">
          <cell r="F75">
            <v>0.01</v>
          </cell>
        </row>
        <row r="76">
          <cell r="F76">
            <v>0.05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DE VALOR"/>
      <sheetName val="Datos"/>
      <sheetName val="Resumen"/>
      <sheetName val="Presupuesto MGA"/>
      <sheetName val="Cronograma y Flujo de Fondos"/>
      <sheetName val="PMA"/>
      <sheetName val="GERENCIA (2)"/>
      <sheetName val="FIDUCIA"/>
      <sheetName val="Presupuesto viviendas"/>
      <sheetName val="Presupuesto instituciones"/>
      <sheetName val="Presupuesto Interventoría"/>
      <sheetName val="Capacitación Técnica"/>
      <sheetName val="Presupuesto General"/>
      <sheetName val="Análisis AIU"/>
      <sheetName val="Factor Prestacional"/>
      <sheetName val="Factor Multiplicador"/>
      <sheetName val="Gastos de Legalización"/>
      <sheetName val="Mano de Obra"/>
      <sheetName val="6. PPTO Consolidado TAMARA V4"/>
      <sheetName val="GESTION SOCIAL"/>
      <sheetName val="ajuste ec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DE VALOR"/>
      <sheetName val="Datos"/>
      <sheetName val="Resumen"/>
      <sheetName val="Presupuesto MGA"/>
      <sheetName val="Cronograma y Flujo de Fondos"/>
      <sheetName val="PMA"/>
      <sheetName val="GERENCIA (2)"/>
      <sheetName val="FIDUCIA"/>
      <sheetName val="Presupuesto viviendas"/>
      <sheetName val="Presupuesto instituciones"/>
      <sheetName val="Presupuesto Interventoría"/>
      <sheetName val="Capacitación Técnica"/>
      <sheetName val="Presupuesto General"/>
      <sheetName val="Análisis AIU"/>
      <sheetName val="Factor Prestacional"/>
      <sheetName val="Factor Multiplicador"/>
      <sheetName val="Gastos de Legalización"/>
      <sheetName val="Mano de Obra"/>
      <sheetName val="6. PPTO Consolidado TAMARA V4"/>
      <sheetName val="GESTION SOCIAL"/>
      <sheetName val="ajuste ec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 CONTENIDO"/>
      <sheetName val="GENERALIDADES"/>
      <sheetName val="CUMPLIMIENTO"/>
      <sheetName val="EST.RED"/>
      <sheetName val="SEMAFORO"/>
      <sheetName val="Comp. TORTAS "/>
      <sheetName val="CRITE. TECN."/>
      <sheetName val="MAPA EST RED"/>
      <sheetName val="NECESIDAD VIA"/>
      <sheetName val="Necesidades cr."/>
      <sheetName val="CANTID.Y COSTOS NEC."/>
      <sheetName val="SITIOS CRITICOS"/>
      <sheetName val="EMERG."/>
      <sheetName val="PUENTES"/>
      <sheetName val="PRIOR-PTES"/>
      <sheetName val="PONTONES"/>
      <sheetName val="señal v"/>
      <sheetName val="señal H"/>
      <sheetName val="Accidentalidad"/>
      <sheetName val="Mapa- Acci."/>
      <sheetName val="DEFENSA VIAS"/>
      <sheetName val="SEGUIMIENTO"/>
      <sheetName val="CUANTI AMV"/>
      <sheetName val="CUALI AMV"/>
      <sheetName val="CUANTI MICRO"/>
      <sheetName val="CUALI MICRO"/>
      <sheetName val="COMENTAR.GLES"/>
      <sheetName val="RES.FO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idades"/>
      <sheetName val="Evaluac. Rmendtos"/>
      <sheetName val="INDICMICROEMP"/>
      <sheetName val="PUENTES"/>
      <sheetName val="CONTRATEJEC."/>
      <sheetName val="INF. EMERGENCIAS"/>
      <sheetName val="NECESID. VIA"/>
      <sheetName val="CALC. CANTIDADES"/>
      <sheetName val="CUADRO SEGUIMIENTO"/>
      <sheetName val="ACCIDENTALIDAD"/>
      <sheetName val="ESTADO GENERAL"/>
      <sheetName val="TORTAS VIAS"/>
      <sheetName val="COMENTARIOS"/>
      <sheetName val="ANEXO FOTO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EMS"/>
      <sheetName val="precios-básicos2002"/>
      <sheetName val="UNITARIO"/>
      <sheetName val="Hoja3"/>
      <sheetName val="RESUMEN"/>
      <sheetName val="lecho ri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ed"/>
      <sheetName val="Presup_Aulas"/>
      <sheetName val="1_Preliminares"/>
      <sheetName val="2_Cimentación_Est.Met"/>
      <sheetName val="5_Mamp"/>
      <sheetName val="6_In_elec"/>
      <sheetName val="7_Pisos"/>
      <sheetName val="8_Cub_CM"/>
      <sheetName val="9,10,11_Dotación_Pintura"/>
      <sheetName val="Insumos"/>
      <sheetName val="Equipo_Trans "/>
      <sheetName val="M.Ob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 val="Est_y_Dis"/>
      <sheetName val="Fondo_Ensayos"/>
      <sheetName val="Obra_puente"/>
      <sheetName val="Fondo_Ajustes"/>
      <sheetName val="FACTOR_MULTIPLICADOR"/>
      <sheetName val="Datos_Generales"/>
      <sheetName val="APU_ANTICORROSIVO"/>
      <sheetName val="APU_LIMPIEZA_Y_PINTURA"/>
      <sheetName val="APU_REFUERZOS"/>
      <sheetName val="APU_ADECUACIÓN_PASAMANOS"/>
      <sheetName val="APU_DESMONTE_BARANDA"/>
      <sheetName val="APU_REINSTALACIÓN_BARANDA"/>
      <sheetName val="APU_BARANDA_NUEVA"/>
      <sheetName val="APU_PINTURA_BARANDA"/>
      <sheetName val="APU_CONCRETO_-_METALDECK"/>
      <sheetName val="DATOS DE ENTRADA"/>
      <sheetName val="Est_y_Dis1"/>
      <sheetName val="Fondo_Ensayos1"/>
      <sheetName val="Obra_puente1"/>
      <sheetName val="Fondo_Ajustes1"/>
      <sheetName val="FACTOR_MULTIPLICADOR1"/>
      <sheetName val="Datos_Generales1"/>
      <sheetName val="APU_ANTICORROSIVO1"/>
      <sheetName val="APU_LIMPIEZA_Y_PINTURA1"/>
      <sheetName val="APU_REFUERZOS1"/>
      <sheetName val="APU_ADECUACIÓN_PASAMANOS1"/>
      <sheetName val="APU_DESMONTE_BARANDA1"/>
      <sheetName val="APU_REINSTALACIÓN_BARANDA1"/>
      <sheetName val="APU_BARANDA_NUEVA1"/>
      <sheetName val="APU_PINTURA_BARANDA1"/>
      <sheetName val="APU_CONCRETO_-_METALDECK1"/>
      <sheetName val="Est_y_Dis4"/>
      <sheetName val="Fondo_Ensayos4"/>
      <sheetName val="Obra_puente4"/>
      <sheetName val="Fondo_Ajustes4"/>
      <sheetName val="FACTOR_MULTIPLICADOR4"/>
      <sheetName val="Datos_Generales4"/>
      <sheetName val="APU_ANTICORROSIVO4"/>
      <sheetName val="APU_LIMPIEZA_Y_PINTURA4"/>
      <sheetName val="APU_REFUERZOS4"/>
      <sheetName val="APU_ADECUACIÓN_PASAMANOS4"/>
      <sheetName val="APU_DESMONTE_BARANDA4"/>
      <sheetName val="APU_REINSTALACIÓN_BARANDA4"/>
      <sheetName val="APU_BARANDA_NUEVA4"/>
      <sheetName val="APU_PINTURA_BARANDA4"/>
      <sheetName val="APU_CONCRETO_-_METALDECK4"/>
      <sheetName val="Est_y_Dis2"/>
      <sheetName val="Fondo_Ensayos2"/>
      <sheetName val="Obra_puente2"/>
      <sheetName val="Fondo_Ajustes2"/>
      <sheetName val="FACTOR_MULTIPLICADOR2"/>
      <sheetName val="Datos_Generales2"/>
      <sheetName val="APU_ANTICORROSIVO2"/>
      <sheetName val="APU_LIMPIEZA_Y_PINTURA2"/>
      <sheetName val="APU_REFUERZOS2"/>
      <sheetName val="APU_ADECUACIÓN_PASAMANOS2"/>
      <sheetName val="APU_DESMONTE_BARANDA2"/>
      <sheetName val="APU_REINSTALACIÓN_BARANDA2"/>
      <sheetName val="APU_BARANDA_NUEVA2"/>
      <sheetName val="APU_PINTURA_BARANDA2"/>
      <sheetName val="APU_CONCRETO_-_METALDECK2"/>
      <sheetName val="Est_y_Dis3"/>
      <sheetName val="Fondo_Ensayos3"/>
      <sheetName val="Obra_puente3"/>
      <sheetName val="Fondo_Ajustes3"/>
      <sheetName val="FACTOR_MULTIPLICADOR3"/>
      <sheetName val="Datos_Generales3"/>
      <sheetName val="APU_ANTICORROSIVO3"/>
      <sheetName val="APU_LIMPIEZA_Y_PINTURA3"/>
      <sheetName val="APU_REFUERZOS3"/>
      <sheetName val="APU_ADECUACIÓN_PASAMANOS3"/>
      <sheetName val="APU_DESMONTE_BARANDA3"/>
      <sheetName val="APU_REINSTALACIÓN_BARANDA3"/>
      <sheetName val="APU_BARANDA_NUEVA3"/>
      <sheetName val="APU_PINTURA_BARANDA3"/>
      <sheetName val="APU_CONCRETO_-_METALDECK3"/>
      <sheetName val="Est_y_Dis5"/>
      <sheetName val="Fondo_Ensayos5"/>
      <sheetName val="Obra_puente5"/>
      <sheetName val="Fondo_Ajustes5"/>
      <sheetName val="FACTOR_MULTIPLICADOR5"/>
      <sheetName val="Datos_Generales5"/>
      <sheetName val="APU_ANTICORROSIVO5"/>
      <sheetName val="APU_LIMPIEZA_Y_PINTURA5"/>
      <sheetName val="APU_REFUERZOS5"/>
      <sheetName val="APU_ADECUACIÓN_PASAMANOS5"/>
      <sheetName val="APU_DESMONTE_BARANDA5"/>
      <sheetName val="APU_REINSTALACIÓN_BARANDA5"/>
      <sheetName val="APU_BARANDA_NUEVA5"/>
      <sheetName val="APU_PINTURA_BARANDA5"/>
      <sheetName val="APU_CONCRETO_-_METALDECK5"/>
      <sheetName val="Est_y_Dis6"/>
      <sheetName val="Fondo_Ensayos6"/>
      <sheetName val="Obra_puente6"/>
      <sheetName val="Fondo_Ajustes6"/>
      <sheetName val="FACTOR_MULTIPLICADOR6"/>
      <sheetName val="Datos_Generales6"/>
      <sheetName val="APU_ANTICORROSIVO6"/>
      <sheetName val="APU_LIMPIEZA_Y_PINTURA6"/>
      <sheetName val="APU_REFUERZOS6"/>
      <sheetName val="APU_ADECUACIÓN_PASAMANOS6"/>
      <sheetName val="APU_DESMONTE_BARANDA6"/>
      <sheetName val="APU_REINSTALACIÓN_BARANDA6"/>
      <sheetName val="APU_BARANDA_NUEVA6"/>
      <sheetName val="APU_PINTURA_BARANDA6"/>
      <sheetName val="APU_CONCRETO_-_METALDECK6"/>
      <sheetName val="MEMORIAS"/>
      <sheetName val="Datos básicos"/>
      <sheetName val="días habiles 2015"/>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a  aaInformación GRUPO 4\A MIn"/>
      <sheetName val="#¡REF"/>
      <sheetName val="INDICMICROEMP"/>
      <sheetName val="Informacion"/>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Informe"/>
      <sheetName val="Seguim-16"/>
      <sheetName val="otros"/>
      <sheetName val="PRESUPUESTO"/>
      <sheetName val="MATERIALES"/>
      <sheetName val="Datos Básicos"/>
      <sheetName val="SALARIOS"/>
      <sheetName val="SUB APU"/>
      <sheetName val="INV"/>
      <sheetName val="AASHTO"/>
      <sheetName val="PESOS"/>
      <sheetName val="Formulario N° 4"/>
      <sheetName val="EQUIPO"/>
      <sheetName val="Base Muestras"/>
      <sheetName val="[aCCIDENTES DE 1995 - 1996.xls]"/>
      <sheetName val="Res-Accide-10"/>
      <sheetName val="aCCIDENTES_DE_1995_-_1996"/>
      <sheetName val="aCCIDENTES_DE_1995_-_1996_xls"/>
      <sheetName val="ACTA_DE_MODIFICACION__(2)"/>
      <sheetName val="aCCIDENTES_DE_1995_-_19961"/>
      <sheetName val="aCCIDENTES_DE_1995_-_1996_xls1"/>
      <sheetName val="ACTA_DE_MODIFICACION__(2)1"/>
      <sheetName val="SUB_APU"/>
      <sheetName val="Datos_Básicos"/>
      <sheetName val="aCCIDENTES_DE_1995_-_19962"/>
      <sheetName val="aCCIDENTES_DE_1995_-_1996_xls2"/>
      <sheetName val="ACTA_DE_MODIFICACION__(2)2"/>
      <sheetName val="SUB_APU1"/>
      <sheetName val="Datos_Básicos1"/>
      <sheetName val="\a__aaInformación_GRUPO_4\A_MIn"/>
      <sheetName val="\a__aaInformación_GRUPO_4\A_MI1"/>
      <sheetName val="\a__aaInformación_GRUPO_4\A_MI2"/>
      <sheetName val="\AMV _ no borrar\PRESUPUESTOS\a"/>
      <sheetName val="\I\AMV _ no borrar\PRESUPUESTOS"/>
      <sheetName val="\G\I\AMV _ no borrar\PRESUPUEST"/>
      <sheetName val="\A\a  aaInformación GRUPO 4\A M"/>
      <sheetName val="\G\A\a  aaInformación GRUPO 4\A"/>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_a  aaInformación GRUPO 4_A MIn"/>
      <sheetName val="\\Giovanni\administracion vial\"/>
      <sheetName val="\MONTO AGOTABLE 2010\a  aaInfor"/>
      <sheetName val="\I\A\a  aaInformación GRUPO 4\A"/>
      <sheetName val="\K\a  aaInformación GRUPO 4\A M"/>
      <sheetName val="\I\K\a  aaInformación GRUPO 4\A"/>
      <sheetName val="\H\a  aaInformación GRUPO 4\A M"/>
      <sheetName val="\I\H\a  aaInformación GRUPO 4\A"/>
      <sheetName val="\\INTERVIALNUBE\Documents and S"/>
      <sheetName val="Lista obra"/>
      <sheetName val="\Documents and Settings\Pedro "/>
      <sheetName val="\Users\Administrador\Desktop\AM"/>
      <sheetName val="\\Ing-her"/>
      <sheetName val="\Users\cmeza\Documents\INVIAS\D"/>
      <sheetName val="\Documents and Settings\jviteri"/>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PR 1"/>
      <sheetName val="\Users\USUARIO\Downloads\a  aaI"/>
      <sheetName val="\Users\HP\AppData\Local\Microso"/>
      <sheetName val="SEGUIM Y REPROG MES 1 (2)"/>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sheetData sheetId="143" refreshError="1"/>
      <sheetData sheetId="144"/>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ook"/>
      <sheetName val="Budget 2009"/>
      <sheetName val="Pivot"/>
      <sheetName val="Hoja1"/>
      <sheetName val="2009 Jagua"/>
      <sheetName val="Carry Over Jagua"/>
      <sheetName val="M1-229- 2009"/>
      <sheetName val="M1-229-2010"/>
      <sheetName val="M1-229-2011"/>
      <sheetName val="M3-026-2009"/>
      <sheetName val="M3-026-2010"/>
      <sheetName val="M3-026-2011"/>
      <sheetName val="M2-312"/>
      <sheetName val="M2-313"/>
      <sheetName val="M2-314"/>
      <sheetName val="M2-315"/>
      <sheetName val="M2-110"/>
      <sheetName val="M2-162"/>
      <sheetName val="M2-165"/>
      <sheetName val="M2-169"/>
      <sheetName val="M2-180"/>
      <sheetName val="M2-203"/>
      <sheetName val="M2-219"/>
      <sheetName val="M2-280"/>
      <sheetName val="M2-281"/>
      <sheetName val="M2-282"/>
      <sheetName val="M2-283"/>
      <sheetName val="M2-284"/>
      <sheetName val="M2-285"/>
      <sheetName val="M2-286"/>
      <sheetName val="M2-287"/>
      <sheetName val="M2-288"/>
      <sheetName val="M2-289"/>
      <sheetName val="M2-290"/>
      <sheetName val="M2-291"/>
      <sheetName val="M2-292"/>
      <sheetName val="M2-293"/>
      <sheetName val="M2-294"/>
      <sheetName val="M2-295"/>
      <sheetName val="M2-296"/>
      <sheetName val="M2-297"/>
      <sheetName val="M2-298"/>
      <sheetName val="M2-299"/>
      <sheetName val="M2-300"/>
      <sheetName val="M2-301"/>
      <sheetName val="M2-302"/>
      <sheetName val="M2-303"/>
      <sheetName val="M2-304"/>
      <sheetName val="M2-305"/>
      <sheetName val="M2-306"/>
      <sheetName val="M2-307"/>
      <sheetName val="M2-308"/>
      <sheetName val="M2-309"/>
      <sheetName val="M2-310"/>
      <sheetName val="M2-311"/>
      <sheetName val="REF - Listas"/>
      <sheetName val="% aprobados"/>
      <sheetName val="M2-210"/>
      <sheetName val="M2-231"/>
      <sheetName val="Forecast"/>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iniciales "/>
      <sheetName val="Equipo"/>
      <sheetName val="Mano de obra "/>
      <sheetName val="Cuadrillas"/>
      <sheetName val="Transporte"/>
      <sheetName val="Concretos y morteros"/>
      <sheetName val="Materiales"/>
      <sheetName val="Pre Descriminado"/>
      <sheetName val="Cantidades tuberia principal"/>
      <sheetName val="Cantidades domiciliarias"/>
      <sheetName val="APUS"/>
      <sheetName val="Presupuesto de obra"/>
      <sheetName val="Cantidades pavimento calles "/>
      <sheetName val="Cantidades acueducto"/>
      <sheetName val="Cant. Pavimento"/>
      <sheetName val="Total "/>
      <sheetName val="Cronograma "/>
      <sheetName val="Flujo de fondos "/>
      <sheetName val="Grafica"/>
      <sheetName val="PRESUPUESTO GUALMATAN V.2.1"/>
      <sheetName val="Listado"/>
      <sheetName val="des_r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TACIONES SOCIALES"/>
      <sheetName val="PERSONAL"/>
      <sheetName val="lisprecios"/>
      <sheetName val="PRESU"/>
    </sheetNames>
    <sheetDataSet>
      <sheetData sheetId="0"/>
      <sheetData sheetId="1"/>
      <sheetData sheetId="2"/>
      <sheetData sheetId="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 val="\MANTENIMIENTO RUTA 1001_MARZO "/>
      <sheetName val="Presupuesto"/>
      <sheetName val="ANEXO IX"/>
      <sheetName val="otros"/>
      <sheetName val="\Users\USUARIO\Downloads\MANTEN"/>
      <sheetName val="APUs"/>
      <sheetName val="INSUMOS"/>
      <sheetName val="PptoGral"/>
      <sheetName val="\I\MANTENIMIENTO RUTA 1001_MARZ"/>
      <sheetName val="\F\MANTENIMIENTO RUTA 1001_MARZ"/>
      <sheetName val="a__aaInformación"/>
      <sheetName val="a__aaInformación1"/>
      <sheetName val="a__aaInformación2"/>
      <sheetName val="Formulario N° 4"/>
      <sheetName val="MATERIALES"/>
      <sheetName val="EQUIPO"/>
      <sheetName val="\\SERVIDOR\Public2\MANTENIMIENT"/>
      <sheetName val="CONT_ADI"/>
      <sheetName val="INDICMICROEMP"/>
      <sheetName val="INDICE"/>
      <sheetName val="Datos"/>
      <sheetName val="Cuadrillas"/>
      <sheetName val="Jornal"/>
      <sheetName val="\G\I\MANTENIMIENTO RUTA 1001_MA"/>
      <sheetName val="\D\MANTENIMIENTO RUTA 1001_MARZ"/>
      <sheetName val="\G\D\MANTENIMIENTO RUTA 1001_MA"/>
      <sheetName val="#REF"/>
      <sheetName val="Fornato 6"/>
      <sheetName val="Concretos y morteros"/>
      <sheetName val="Datos iniciales "/>
      <sheetName val="Transporte"/>
      <sheetName val="\I\I\MANTENIMIENTO RUTA 1001_MA"/>
      <sheetName val="\Users\Personal\Downloads\MANTE"/>
      <sheetName val="TOTALES"/>
      <sheetName val="precios-básicos2002"/>
      <sheetName val="[a  aaInformación]__cceficien_2"/>
      <sheetName val="[a  aaInformación]__cceficien_3"/>
      <sheetName val="[a  aaInformación]__cceficien_4"/>
      <sheetName val="[a  aaInformación]__cceficien_5"/>
      <sheetName val="[a  aaInformación]__cceficien_6"/>
      <sheetName val="[a  aaInformación]__cceficien_7"/>
      <sheetName val="[a  aaInformación]__cceficien_8"/>
      <sheetName val="[a  aaInformación]__cceficien_9"/>
      <sheetName val="[a  aaInformación]__cceficie_10"/>
      <sheetName val="[a  aaInformación]__cceficie_11"/>
      <sheetName val="[a  aaInformación]__cceficie_12"/>
      <sheetName val="[a  aaInformación]__cceficie_13"/>
      <sheetName val="[a  aaInformación]__cceficie_14"/>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L. MAT."/>
      <sheetName val="A.BAS."/>
      <sheetName val="CUAD."/>
      <sheetName val="APU"/>
      <sheetName val="AUI"/>
      <sheetName val="C.FIN."/>
      <sheetName val="P.INV"/>
      <sheetName val="P.S."/>
      <sheetName val="P.INV.ANTIC."/>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 val="AIU"/>
      <sheetName val="CDItem"/>
      <sheetName val="VentaMes"/>
      <sheetName val="ForPago"/>
      <sheetName val="PryFinc"/>
      <sheetName val="APO"/>
      <sheetName val="Tecn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 val="Est_y_Dis"/>
      <sheetName val="Fondo_Ensayos"/>
      <sheetName val="Obra_puente"/>
      <sheetName val="Fondo_Ajustes"/>
      <sheetName val="FACTOR_MULTIPLICADOR"/>
      <sheetName val="Datos_Generales"/>
      <sheetName val="APU_ANTICORROSIVO"/>
      <sheetName val="APU_LIMPIEZA_Y_PINTURA"/>
      <sheetName val="APU_REFUERZOS"/>
      <sheetName val="APU_ADECUACIÓN_PASAMANOS"/>
      <sheetName val="APU_DESMONTE_BARANDA"/>
      <sheetName val="APU_REINSTALACIÓN_BARANDA"/>
      <sheetName val="APU_BARANDA_NUEVA"/>
      <sheetName val="APU_PINTURA_BARANDA"/>
      <sheetName val="APU_CONCRETO_-_METALDECK"/>
      <sheetName val="DATOS DE ENTRADA"/>
      <sheetName val="Est_y_Dis1"/>
      <sheetName val="Fondo_Ensayos1"/>
      <sheetName val="Obra_puente1"/>
      <sheetName val="Fondo_Ajustes1"/>
      <sheetName val="FACTOR_MULTIPLICADOR1"/>
      <sheetName val="Datos_Generales1"/>
      <sheetName val="APU_ANTICORROSIVO1"/>
      <sheetName val="APU_LIMPIEZA_Y_PINTURA1"/>
      <sheetName val="APU_REFUERZOS1"/>
      <sheetName val="APU_ADECUACIÓN_PASAMANOS1"/>
      <sheetName val="APU_DESMONTE_BARANDA1"/>
      <sheetName val="APU_REINSTALACIÓN_BARANDA1"/>
      <sheetName val="APU_BARANDA_NUEVA1"/>
      <sheetName val="APU_PINTURA_BARANDA1"/>
      <sheetName val="APU_CONCRETO_-_METALDECK1"/>
      <sheetName val="Est_y_Dis4"/>
      <sheetName val="Fondo_Ensayos4"/>
      <sheetName val="Obra_puente4"/>
      <sheetName val="Fondo_Ajustes4"/>
      <sheetName val="FACTOR_MULTIPLICADOR4"/>
      <sheetName val="Datos_Generales4"/>
      <sheetName val="APU_ANTICORROSIVO4"/>
      <sheetName val="APU_LIMPIEZA_Y_PINTURA4"/>
      <sheetName val="APU_REFUERZOS4"/>
      <sheetName val="APU_ADECUACIÓN_PASAMANOS4"/>
      <sheetName val="APU_DESMONTE_BARANDA4"/>
      <sheetName val="APU_REINSTALACIÓN_BARANDA4"/>
      <sheetName val="APU_BARANDA_NUEVA4"/>
      <sheetName val="APU_PINTURA_BARANDA4"/>
      <sheetName val="APU_CONCRETO_-_METALDECK4"/>
      <sheetName val="Est_y_Dis2"/>
      <sheetName val="Fondo_Ensayos2"/>
      <sheetName val="Obra_puente2"/>
      <sheetName val="Fondo_Ajustes2"/>
      <sheetName val="FACTOR_MULTIPLICADOR2"/>
      <sheetName val="Datos_Generales2"/>
      <sheetName val="APU_ANTICORROSIVO2"/>
      <sheetName val="APU_LIMPIEZA_Y_PINTURA2"/>
      <sheetName val="APU_REFUERZOS2"/>
      <sheetName val="APU_ADECUACIÓN_PASAMANOS2"/>
      <sheetName val="APU_DESMONTE_BARANDA2"/>
      <sheetName val="APU_REINSTALACIÓN_BARANDA2"/>
      <sheetName val="APU_BARANDA_NUEVA2"/>
      <sheetName val="APU_PINTURA_BARANDA2"/>
      <sheetName val="APU_CONCRETO_-_METALDECK2"/>
      <sheetName val="Est_y_Dis3"/>
      <sheetName val="Fondo_Ensayos3"/>
      <sheetName val="Obra_puente3"/>
      <sheetName val="Fondo_Ajustes3"/>
      <sheetName val="FACTOR_MULTIPLICADOR3"/>
      <sheetName val="Datos_Generales3"/>
      <sheetName val="APU_ANTICORROSIVO3"/>
      <sheetName val="APU_LIMPIEZA_Y_PINTURA3"/>
      <sheetName val="APU_REFUERZOS3"/>
      <sheetName val="APU_ADECUACIÓN_PASAMANOS3"/>
      <sheetName val="APU_DESMONTE_BARANDA3"/>
      <sheetName val="APU_REINSTALACIÓN_BARANDA3"/>
      <sheetName val="APU_BARANDA_NUEVA3"/>
      <sheetName val="APU_PINTURA_BARANDA3"/>
      <sheetName val="APU_CONCRETO_-_METALDECK3"/>
      <sheetName val="Est_y_Dis5"/>
      <sheetName val="Fondo_Ensayos5"/>
      <sheetName val="Obra_puente5"/>
      <sheetName val="Fondo_Ajustes5"/>
      <sheetName val="FACTOR_MULTIPLICADOR5"/>
      <sheetName val="Datos_Generales5"/>
      <sheetName val="APU_ANTICORROSIVO5"/>
      <sheetName val="APU_LIMPIEZA_Y_PINTURA5"/>
      <sheetName val="APU_REFUERZOS5"/>
      <sheetName val="APU_ADECUACIÓN_PASAMANOS5"/>
      <sheetName val="APU_DESMONTE_BARANDA5"/>
      <sheetName val="APU_REINSTALACIÓN_BARANDA5"/>
      <sheetName val="APU_BARANDA_NUEVA5"/>
      <sheetName val="APU_PINTURA_BARANDA5"/>
      <sheetName val="APU_CONCRETO_-_METALDECK5"/>
      <sheetName val="Est_y_Dis6"/>
      <sheetName val="Fondo_Ensayos6"/>
      <sheetName val="Obra_puente6"/>
      <sheetName val="Fondo_Ajustes6"/>
      <sheetName val="FACTOR_MULTIPLICADOR6"/>
      <sheetName val="Datos_Generales6"/>
      <sheetName val="APU_ANTICORROSIVO6"/>
      <sheetName val="APU_LIMPIEZA_Y_PINTURA6"/>
      <sheetName val="APU_REFUERZOS6"/>
      <sheetName val="APU_ADECUACIÓN_PASAMANOS6"/>
      <sheetName val="APU_DESMONTE_BARANDA6"/>
      <sheetName val="APU_REINSTALACIÓN_BARANDA6"/>
      <sheetName val="APU_BARANDA_NUEVA6"/>
      <sheetName val="APU_PINTURA_BARANDA6"/>
      <sheetName val="APU_CONCRETO_-_METALDECK6"/>
      <sheetName val="MEMORIAS"/>
      <sheetName val="Datos básicos"/>
      <sheetName val="días habiles 2015"/>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 val="AIU"/>
      <sheetName val="CDItem"/>
      <sheetName val="VentaMes"/>
      <sheetName val="ForPago"/>
      <sheetName val="PryFinc"/>
      <sheetName val="APO"/>
      <sheetName val="Tecn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s>
    <sheetDataSet>
      <sheetData sheetId="0" refreshError="1"/>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CN-01"/>
      <sheetName val="SEMAFORO 55CN-03"/>
      <sheetName val="SEMAFORO 56-07"/>
      <sheetName val="TORTA EST. VIAS "/>
      <sheetName val="EST. VIAS"/>
      <sheetName val="MAPA EST RED"/>
      <sheetName val="NECESIDAD VIA"/>
      <sheetName val="Necesidades cr."/>
      <sheetName val="SITIOS CRITICOS"/>
      <sheetName val="CANT OBRA C-G"/>
      <sheetName val="CANT OBRA B-T"/>
      <sheetName val="CANT OBRA S-B"/>
      <sheetName val="INF. EMERGENCIAS"/>
      <sheetName val="PUENTES"/>
      <sheetName val="NEC PTES"/>
      <sheetName val="PONTONES"/>
      <sheetName val="NEC. PONTONES"/>
      <sheetName val="señal v"/>
      <sheetName val="señal H"/>
      <sheetName val="ACCIDENTALIDAD NOV"/>
      <sheetName val="ACCIDENT."/>
      <sheetName val="DEFENSA VIAS"/>
      <sheetName val="ZONAS RETIRO"/>
      <sheetName val="SEGUIMIENTO"/>
      <sheetName val="CUANTI AMV"/>
      <sheetName val="CUALI AMV"/>
      <sheetName val="CUANTI MICRO"/>
      <sheetName val="CUALI MICRO"/>
      <sheetName val="CALIDAD"/>
      <sheetName val="PRENSA"/>
      <sheetName val="COMENT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Materiales"/>
      <sheetName val="Cuadrillas"/>
      <sheetName val="Concretos y morteros"/>
      <sheetName val="Equipo"/>
      <sheetName val="Datos iniciales "/>
      <sheetName val="Transpor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PACIO PÚBLICO"/>
      <sheetName val="Indices"/>
    </sheetNames>
    <sheetDataSet>
      <sheetData sheetId="0"/>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mRepSem"/>
      <sheetName val="InfSem"/>
      <sheetName val="InfAcm"/>
      <sheetName val="InfGraf"/>
      <sheetName val="InfInd"/>
      <sheetName val="infProg"/>
      <sheetName val="dts"/>
      <sheetName val="Pres"/>
      <sheetName val="Avc"/>
      <sheetName val="Acm"/>
      <sheetName val="Acm$"/>
      <sheetName val="auxProgr"/>
      <sheetName val="ctb"/>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Res-Accide-10"/>
    </sheetNames>
    <definedNames>
      <definedName name="absc"/>
    </definedNames>
    <sheetDataSet>
      <sheetData sheetId="0" refreshError="1"/>
      <sheetData sheetId="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  PROPUESTA"/>
      <sheetName val="CANT  ALTERNATIVAS"/>
      <sheetName val="CANT "/>
      <sheetName val="MATERIALES"/>
      <sheetName val="APU"/>
      <sheetName val="DETALLES (2)"/>
      <sheetName val="DETALLES"/>
      <sheetName val="FLUJO "/>
      <sheetName val="CANT. MAT. "/>
    </sheetNames>
    <sheetDataSet>
      <sheetData sheetId="0"/>
      <sheetData sheetId="1"/>
      <sheetData sheetId="2"/>
      <sheetData sheetId="3"/>
      <sheetData sheetId="4"/>
      <sheetData sheetId="5"/>
      <sheetData sheetId="6"/>
      <sheetData sheetId="7"/>
      <sheetData sheetId="8"/>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o de Obra"/>
      <sheetName val="CADENA VALOR"/>
      <sheetName val="GESTION SOCIAL"/>
      <sheetName val="PMA"/>
      <sheetName val="GERENCIA (2)"/>
      <sheetName val="FIDUCIA"/>
      <sheetName val="PRESUPUESTO"/>
      <sheetName val="AIU Proyecto"/>
      <sheetName val="A.P.U."/>
      <sheetName val="MATERIALES"/>
      <sheetName val="FLUJO DE FONDOS"/>
      <sheetName val="Nomina"/>
      <sheetName val="Presup Interventoría"/>
      <sheetName val="Rendimiento Actividades"/>
      <sheetName val="Esp. Te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JUSTE ECOP"/>
      <sheetName val="APU_PGS"/>
      <sheetName val="MANEJO AMBIENTAL"/>
      <sheetName val="CADENA VALOR"/>
      <sheetName val="GERENCIA (2)"/>
      <sheetName val="FIDUCIA"/>
      <sheetName val="Mano de Obra"/>
      <sheetName val="Nomina"/>
      <sheetName val="PRESUPUESTO"/>
      <sheetName val="AIU Proyecto"/>
      <sheetName val="A.P.U."/>
      <sheetName val="MATERIALES"/>
      <sheetName val="FLUJO DE FONDOS"/>
      <sheetName val="Presup Interventoría"/>
      <sheetName val="Rendimiento Actividades"/>
      <sheetName val="Esp. T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mulación"/>
      <sheetName val="PPTO Villacaro"/>
      <sheetName val="Pto Bucarasica"/>
      <sheetName val="Cálculo del AIU"/>
      <sheetName val="Materiales"/>
      <sheetName val="1.1"/>
      <sheetName val="1.2"/>
      <sheetName val="1.3"/>
      <sheetName val="1.4"/>
      <sheetName val="1.5"/>
      <sheetName val="1.6"/>
      <sheetName val="1.7"/>
      <sheetName val="1.8"/>
      <sheetName val="1.9"/>
      <sheetName val="1.10"/>
      <sheetName val="1.11"/>
      <sheetName val="1.12"/>
      <sheetName val="1.13"/>
      <sheetName val="DATOS"/>
      <sheetName val="2.1"/>
      <sheetName val="2.2"/>
      <sheetName val="MAT"/>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o de Obra"/>
      <sheetName val="CADENA VALOR"/>
      <sheetName val="GESTION SOCIAL"/>
      <sheetName val="PMA"/>
      <sheetName val="GERENCIA (2)"/>
      <sheetName val="FIDUCIA"/>
      <sheetName val="PRESUPUESTO"/>
      <sheetName val="AIU Proyecto"/>
      <sheetName val="A.P.U."/>
      <sheetName val="MATERIALES"/>
      <sheetName val="FLUJO DE FONDOS"/>
      <sheetName val="Nomina"/>
      <sheetName val="Presup Interventoría"/>
      <sheetName val="Rendimiento Actividades"/>
      <sheetName val="Esp. Te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J"/>
      <sheetName val="Gráfico1"/>
      <sheetName val="MD"/>
      <sheetName val="AXD"/>
      <sheetName val="MI"/>
    </sheetNames>
    <sheetDataSet>
      <sheetData sheetId="0" refreshError="1"/>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TarifaMT"/>
      <sheetName val="INFORMACION DEL FP"/>
      <sheetName val="PERSONAL Y OTROS"/>
      <sheetName val="IMPUESTOS Y VR TOTAL"/>
      <sheetName val="FM"/>
      <sheetName val="COSTEO"/>
      <sheetName val="AIU"/>
      <sheetName val="COSTEO TOTAL OBRA"/>
      <sheetName val="Componente minimo"/>
      <sheetName val="IPC"/>
      <sheetName val="Ensayos Laboratorio"/>
      <sheetName val="proyecc desembol"/>
      <sheetName val="Top_Y_Batimetria"/>
    </sheetNames>
    <sheetDataSet>
      <sheetData sheetId="0" refreshError="1"/>
      <sheetData sheetId="1"/>
      <sheetData sheetId="2"/>
      <sheetData sheetId="3"/>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table"/>
      <sheetName val="Summary"/>
      <sheetName val="Pivot table (2)"/>
      <sheetName val="Budget Book"/>
      <sheetName val="Cal forecast"/>
      <sheetName val="Items"/>
      <sheetName val="% aprobados"/>
      <sheetName val="M1-157"/>
      <sheetName val="M1-158"/>
      <sheetName val="M1-161"/>
      <sheetName val="M1-166"/>
      <sheetName val="M1-179"/>
      <sheetName val="M1-188 A"/>
      <sheetName val="M1-188 B"/>
      <sheetName val="M1-188 2009 C"/>
      <sheetName val="M1-188 2010 C"/>
      <sheetName val="M1-188 D"/>
      <sheetName val="M1-188 E"/>
      <sheetName val="M1-193"/>
      <sheetName val="M1-196"/>
      <sheetName val="M1-204"/>
      <sheetName val="M1-228 A"/>
      <sheetName val="M1-228 B"/>
      <sheetName val="M1-228 C"/>
      <sheetName val="M1-229-2009"/>
      <sheetName val="M1-229-2010"/>
      <sheetName val="M1-229-2011"/>
      <sheetName val="M1-234"/>
      <sheetName val="M1-244"/>
      <sheetName val="M1-251"/>
      <sheetName val="M1-252"/>
      <sheetName val="M1-256"/>
      <sheetName val="M1-257"/>
      <sheetName val="M1-259"/>
      <sheetName val="M1-260"/>
      <sheetName val="M1-261"/>
      <sheetName val="M1-262"/>
      <sheetName val="M1-263"/>
      <sheetName val="M1-264"/>
      <sheetName val="M1-266"/>
      <sheetName val="M1-267 A"/>
      <sheetName val="M1-267 B"/>
      <sheetName val="M1-267 C"/>
      <sheetName val="M1-267 D"/>
      <sheetName val="M1-267 E"/>
      <sheetName val="M1-267 F"/>
      <sheetName val="M1-267 G"/>
      <sheetName val="M1-268"/>
      <sheetName val="M1-270"/>
      <sheetName val="M1-272"/>
      <sheetName val="M1-273"/>
      <sheetName val="M1-274"/>
      <sheetName val="M1-275"/>
      <sheetName val="M1-276"/>
      <sheetName val="M1-277"/>
      <sheetName val="M1-279"/>
      <sheetName val="M1-283"/>
      <sheetName val="M1-289"/>
      <sheetName val="M1-290"/>
      <sheetName val="M1-291"/>
      <sheetName val="M1-293"/>
      <sheetName val="M1-294"/>
      <sheetName val="M1-308"/>
      <sheetName val="M1-313"/>
      <sheetName val="M1-314"/>
      <sheetName val="M1-315"/>
      <sheetName val="M1-316"/>
      <sheetName val="M1-317"/>
      <sheetName val="M1-318"/>
      <sheetName val="M1-319"/>
      <sheetName val="M1-320"/>
      <sheetName val="M1-322-2009"/>
      <sheetName val="M1-322-2010"/>
      <sheetName val="M1-322-2011"/>
      <sheetName val="M1-324"/>
      <sheetName val="M1-325"/>
      <sheetName val="M1-326"/>
      <sheetName val="REF - Lista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IO"/>
      <sheetName val="PRODUCCION"/>
      <sheetName val="Prod. x Nivel"/>
      <sheetName val="CRONOG."/>
      <sheetName val="CALIDAD"/>
      <sheetName val="CIVILES"/>
      <sheetName val="BASE DATOS"/>
    </sheetNames>
    <sheetDataSet>
      <sheetData sheetId="0"/>
      <sheetData sheetId="1"/>
      <sheetData sheetId="2"/>
      <sheetData sheetId="3"/>
      <sheetData sheetId="4"/>
      <sheetData sheetId="5"/>
      <sheetData sheetId="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turitas Valuation Summary"/>
      <sheetName val="Title"/>
      <sheetName val="Options"/>
      <sheetName val="Project Finance"/>
      <sheetName val="Equipment Leasing"/>
      <sheetName val="Parameters"/>
      <sheetName val="Pricing"/>
      <sheetName val="NPV Summary"/>
      <sheetName val="Cost Summ"/>
      <sheetName val="Sensitivities"/>
      <sheetName val="Economic  Graphs"/>
      <sheetName val="Quantity Graphs"/>
      <sheetName val="Deprec"/>
      <sheetName val="Coal Stocks &amp; Wkg Cap"/>
      <sheetName val="Total Cap"/>
      <sheetName val="Other Cap"/>
      <sheetName val="Init Cap"/>
      <sheetName val="Repl Cap"/>
      <sheetName val="Init"/>
      <sheetName val="Repl"/>
      <sheetName val="Total Op Costs"/>
      <sheetName val="Other Op Costs"/>
      <sheetName val="Royalties"/>
      <sheetName val="Blasting"/>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Utilisation"/>
      <sheetName val="Roster"/>
      <sheetName val="Fleet"/>
      <sheetName val="Combined Schedule Summary"/>
      <sheetName val="Paste in 2007 Capex"/>
      <sheetName val="Paste In Schedule_CDJ"/>
      <sheetName val="Paste In Schedule_Cal"/>
      <sheetName val="Paste In Utilisation"/>
      <sheetName val="Paste In Fleet"/>
      <sheetName val="Paste in Roster"/>
      <sheetName val="Equip Data"/>
      <sheetName val="Not Used ------&gt;"/>
      <sheetName val="Update_Header_Foo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IO"/>
      <sheetName val="EQUIPOS"/>
      <sheetName val="PRODUCC"/>
      <sheetName val="Grono-Pala"/>
      <sheetName val="CALIDAD"/>
      <sheetName val="BD_831"/>
      <sheetName val="BD_OREG1"/>
      <sheetName val="BD_OREG2"/>
      <sheetName val="BD100-45"/>
      <sheetName val="BD100_45"/>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IO"/>
      <sheetName val="PRODUCCION"/>
      <sheetName val="Prod. x Nivel"/>
      <sheetName val="CRONOG."/>
      <sheetName val="CIVILES"/>
      <sheetName val="BD-831"/>
      <sheetName val="BD100-45-P1"/>
      <sheetName val="ANEXO"/>
      <sheetName val="BD100_45_P1"/>
    </sheetNames>
    <sheetDataSet>
      <sheetData sheetId="0"/>
      <sheetData sheetId="1"/>
      <sheetData sheetId="2"/>
      <sheetData sheetId="3"/>
      <sheetData sheetId="4"/>
      <sheetData sheetId="5"/>
      <sheetData sheetId="6"/>
      <sheetData sheetId="7" refreshError="1"/>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mulación"/>
      <sheetName val="PPTO Villacaro"/>
      <sheetName val="Pto Bucarasica"/>
      <sheetName val="Cálculo del AIU"/>
      <sheetName val="Materiales"/>
      <sheetName val="1.1"/>
      <sheetName val="1.2"/>
      <sheetName val="1.3"/>
      <sheetName val="1.4"/>
      <sheetName val="1.5"/>
      <sheetName val="1.6"/>
      <sheetName val="1.7"/>
      <sheetName val="1.8"/>
      <sheetName val="1.9"/>
      <sheetName val="1.10"/>
      <sheetName val="1.11"/>
      <sheetName val="1.12"/>
      <sheetName val="1.13"/>
      <sheetName val="DATOS"/>
      <sheetName val="2.1"/>
      <sheetName val="2.2"/>
      <sheetName val="MAT"/>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ización"/>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Hoja2"/>
      <sheetName val="Hoja1"/>
      <sheetName val="BASE DE DATOS ORIG"/>
      <sheetName val="pv orig"/>
      <sheetName val="bd victoria"/>
      <sheetName val="secu limpia abril"/>
      <sheetName val="secu limpia abril 27"/>
      <sheetName val="secuencia abril por mnatos"/>
      <sheetName val="BD no 4-4a-8 limpia CUIDAR bck"/>
      <sheetName val="BD no 4-4a-8 limp CUIDAR jun18"/>
      <sheetName val="secuencia cuidar jun18 (2)"/>
      <sheetName val="pv DB CUIDAR jun30"/>
      <sheetName val="pv DB CUIDAR jun30 SUMM"/>
      <sheetName val="BD no 4-4a-8 limp CUIDAR jun30"/>
      <sheetName val="sec DB CUIDAR jun30 "/>
      <sheetName val="sec DB CUIDAR jun30 RE-FOR"/>
      <sheetName val="SEC DB CUIDAR JUL08 RE-FO"/>
      <sheetName val="SEC DB CUIDAR JUL30 plan agos"/>
      <sheetName val="SEC DB CUIDAR jun30 AGO10"/>
      <sheetName val="SEC DB CUIDAR jun30 SUMM "/>
      <sheetName val="SEC DB CUIDAR BUD OCT03 BCK"/>
      <sheetName val="SEC DB CUIDAR BUD OCT03 SE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INSUMOS"/>
      <sheetName val="Estruc.ICEL"/>
      <sheetName val="LISTADO DE PERSO_"/>
      <sheetName val="MAT_REDES"/>
      <sheetName val="Estruc_ICEL"/>
      <sheetName val="DATOS GENERAL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
      <sheetName val="INSUMOS"/>
      <sheetName val="Equipos "/>
      <sheetName val="PRESUPUESTO"/>
      <sheetName val="Estructuras"/>
      <sheetName val="Listado de Materiales"/>
      <sheetName val="APU"/>
      <sheetName val="MATERIALES LINEA 13.2"/>
      <sheetName val="Estruc_ICEL"/>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INSUMOS"/>
      <sheetName val="Estruc.ICEL"/>
      <sheetName val="LISTADO DE PERSO_"/>
      <sheetName val="MAT_REDES"/>
      <sheetName val="Estruc_ICEL"/>
      <sheetName val="DATOS GENERAL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General"/>
      <sheetName val="AIU"/>
      <sheetName val="Presup_Cancha"/>
      <sheetName val="1_Preliminares"/>
      <sheetName val="2_Cimentación_Est.Met"/>
      <sheetName val="3_HS"/>
      <sheetName val="Apus_In.Elect"/>
      <sheetName val="Apus_Cubierta"/>
      <sheetName val="Apus_Dotación_Pintura"/>
      <sheetName val="Insumos"/>
      <sheetName val="Equipo_Trans "/>
      <sheetName val="M.Obra"/>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General"/>
      <sheetName val="AIU"/>
      <sheetName val="Presup_Cancha"/>
      <sheetName val="1_Preliminares"/>
      <sheetName val="2_Cimentación_Est.Met"/>
      <sheetName val="3_HS"/>
      <sheetName val="Apus_In.Elect"/>
      <sheetName val="Apus_Cubierta"/>
      <sheetName val="Apus_Dotación_Pintura"/>
      <sheetName val="Insumos"/>
      <sheetName val="Equipo_Trans "/>
      <sheetName val="M.Obra"/>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_BT"/>
      <sheetName val="P_XHHW"/>
      <sheetName val="XHHW-2"/>
      <sheetName val="P_RHW-2"/>
      <sheetName val="RHW-2 0.6"/>
      <sheetName val="RHW-2 2"/>
      <sheetName val="P_USE-2"/>
      <sheetName val="USE-2"/>
      <sheetName val="P_TTU"/>
      <sheetName val="TTU 0.6"/>
      <sheetName val="TTU 2"/>
      <sheetName val="POTENCIA"/>
      <sheetName val="PVC-PVC"/>
      <sheetName val="PVC-PVC PC"/>
      <sheetName val="PVC-PVC_AH"/>
      <sheetName val="PVC-PVC_AF"/>
      <sheetName val="PVC-PVC_IL"/>
      <sheetName val="XLPE-PVC"/>
      <sheetName val="XLPE-PVC PC"/>
      <sheetName val="XLPE-PVC_AH"/>
      <sheetName val="XLPE-PVC_IL"/>
      <sheetName val="XLPE-PVC_AF"/>
      <sheetName val="POT mm2"/>
      <sheetName val="P_MLPLX"/>
      <sheetName val="DPLX"/>
      <sheetName val="TPLX"/>
      <sheetName val="QPLX"/>
      <sheetName val="NM GC-SW"/>
      <sheetName val="P_SEU_SER"/>
      <sheetName val="SER"/>
      <sheetName val="P_APE_ARE"/>
      <sheetName val="ARE"/>
      <sheetName val="APE"/>
      <sheetName val="Cab"/>
      <sheetName val="CG"/>
      <sheetName val="AMPACITY"/>
      <sheetName val="FACTORES"/>
      <sheetName val="Esp"/>
      <sheetName val="TPLX UD 600"/>
      <sheetName val="Single UD 600"/>
      <sheetName val="TPLX-Cu"/>
      <sheetName val="SER-AL"/>
      <sheetName val="S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2005 CONTRATO"/>
      <sheetName val="Datos del 2005 CONTRATO (2)"/>
      <sheetName val="PARAMETROS 2005"/>
      <sheetName val="Datos del 2005 PROPIA"/>
      <sheetName val="Datos del 2005 PROPIA (2)"/>
      <sheetName val="Datos del 2005 CONTRATO bck"/>
      <sheetName val="Datos del 2005 CONTRATO (3)"/>
      <sheetName val="Datos del 2005 CONTRATO 375"/>
      <sheetName val="RESUMEN SEC TESORO"/>
      <sheetName val="Datos del 2005 CONTRATO 120 FEB"/>
      <sheetName val="Datos del 2005 CONT 120 MAR10"/>
      <sheetName val="Datos del 2005 CONT 120 ABRIL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 Port Expansion"/>
      <sheetName val="M&amp;N"/>
      <sheetName val="Phase 2 - RAPISCOL"/>
      <sheetName val="PSM05-053"/>
      <sheetName val="PSM04-049"/>
      <sheetName val="PSM05-054"/>
      <sheetName val="PSM05-055"/>
      <sheetName val="Tiburon recv 12-9-05"/>
      <sheetName val="PSM05-057"/>
      <sheetName val="PSM05-060"/>
      <sheetName val="PSM05-062"/>
      <sheetName val="PSM05-063"/>
      <sheetName val="PSM05-064"/>
      <sheetName val="PSM05-071"/>
      <sheetName val="PSM05-072"/>
      <sheetName val="PSM05-076"/>
      <sheetName val="PSM05-078"/>
      <sheetName val="PSM05-081"/>
      <sheetName val="PSM05-083"/>
      <sheetName val="PSM05-088"/>
      <sheetName val="PSM05-090"/>
      <sheetName val="PSM05-091"/>
      <sheetName val="PSM05-095"/>
      <sheetName val="PSM06-097"/>
      <sheetName val="PSM06-099"/>
      <sheetName val="PSM06-100"/>
      <sheetName val="PSM06-103"/>
      <sheetName val="PSM06-1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 ORIGINAL"/>
      <sheetName val="PRESUP"/>
      <sheetName val="INV"/>
      <sheetName val="AASHTO"/>
      <sheetName val="PRECIOS"/>
      <sheetName val="PROY_ORIGINAL"/>
      <sheetName val="COSTOS UNITARIOS"/>
      <sheetName val="CA-2909"/>
      <sheetName val="TRAYECTO 1"/>
      <sheetName val="Datos"/>
      <sheetName val="PRESUPUESTOS-REV1"/>
      <sheetName val="G&amp;G"/>
      <sheetName val="PU (2)"/>
      <sheetName val="CABG"/>
      <sheetName val="PESOS"/>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Seguim-16"/>
      <sheetName val="Información"/>
      <sheetName val="ACTIVIDADES"/>
      <sheetName val="Vario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ó&gt;j0$#j_$#LÓu"/>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6"/>
      <sheetName val="PU_(2)5"/>
      <sheetName val="COSTOS_UNITARIOS"/>
      <sheetName val="TRAYECTO_1"/>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VALOR_ENSAYOS"/>
      <sheetName val="resumen_preacta"/>
      <sheetName val="Resalto_en_asfalto"/>
      <sheetName val="Mat_fresado_para_ampliacion"/>
      <sheetName val="Tuberia_filtro_D=6&quot;"/>
      <sheetName val="Realce_de_bordillo"/>
      <sheetName val="Remocion_tuberia_d=24&quot;"/>
      <sheetName val="GRAVA_ATRAQUES_DE_ALCANTARILLA"/>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TORTA EST"/>
      <sheetName val="BD"/>
      <sheetName val="Tramo 2"/>
      <sheetName val="Accidentalidad"/>
      <sheetName val="Causa Posible"/>
      <sheetName val="TARIFAS MATERIALES"/>
      <sheetName val="TARIFAS EQUIPOS "/>
      <sheetName val="TARIFA SALARIOS"/>
      <sheetName val="PRES"/>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Base de Datos"/>
      <sheetName val="Elementos Involucrados"/>
      <sheetName val="SNP7 Anclajes pasivos6j_x0000_"/>
      <sheetName val="ó&gt;_x005f_x0000__x005f_x0001__x005f_x0000__x005f_x0000__"/>
      <sheetName val="CRA.MODI"/>
      <sheetName val="MYE OBRA"/>
      <sheetName val="LISTADO_APU"/>
      <sheetName val="Operation"/>
      <sheetName val="Inputs"/>
      <sheetName val="Concesionaria_-_Administrativo1"/>
      <sheetName val="Concesionaria_-_Sistemas1"/>
      <sheetName val="Control"/>
      <sheetName val="Construction"/>
      <sheetName val="MDC-1 COLOCACION "/>
      <sheetName val="D-20 COLOCACION "/>
      <sheetName val="TRANSPORTE MEZCLA ASFALTICA"/>
      <sheetName val="Fresado"/>
      <sheetName val="EXT microagomerado"/>
      <sheetName val="Hoja5"/>
      <sheetName val="Hoja3"/>
      <sheetName val="Hoja2"/>
      <sheetName val="Transportes"/>
      <sheetName val="Indicadores Y Listas"/>
      <sheetName val="Grafico Avance"/>
      <sheetName val="ó&gt;?_x0001_???j0$?#???j.$?#???L_x0012_Óu????"/>
      <sheetName val="sap"/>
      <sheetName val="P2"/>
      <sheetName val="P1"/>
      <sheetName val="31-05-18"/>
      <sheetName val="F-7857-308"/>
      <sheetName val="Equipo Menor"/>
      <sheetName val="ALQUILADO F-7857-308 "/>
      <sheetName val="Real Para tarifas"/>
      <sheetName val="RESISTENCIA_"/>
      <sheetName val="Memorias"/>
      <sheetName val="CANOBRA"/>
      <sheetName val="INCREMENTOS"/>
      <sheetName val="LISTMATE"/>
      <sheetName val="MATERIALES"/>
      <sheetName val="CONSTANTES"/>
      <sheetName val="LISTAS"/>
      <sheetName val="CONSTANTES_"/>
      <sheetName val="41"/>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PRESU"/>
      <sheetName val="LISTA"/>
      <sheetName val="BASE DE DATOS DE PRECIOS"/>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ó&gt;"/>
      <sheetName val="Patrimonio neto personal"/>
      <sheetName val="Cálculos"/>
      <sheetName val="_x0000_㈀㰰⌀_x0000_㈀㰮⌀_x0000_䰀଒v_x0000__x0000__x0000_頀"/>
      <sheetName val="Paral. 1"/>
      <sheetName val="Paral. 2"/>
      <sheetName val="Paral. 3"/>
      <sheetName val="Paral.4"/>
      <sheetName val="AMOBLAMINETO"/>
      <sheetName val="Skid Lifting Lug"/>
      <sheetName val="CABLE CONTROL"/>
      <sheetName val="Datos_CO"/>
      <sheetName val="CCONC"/>
      <sheetName val="ACTA PROVEEDORES"/>
      <sheetName val="ACTA INICIO"/>
      <sheetName val="ACTA PARCIAL"/>
      <sheetName val="ACTA TERMINACION"/>
      <sheetName val="PROY_ORIGINAL14"/>
      <sheetName val="PU_(2)13"/>
      <sheetName val="COSTOS_UNITARIOS8"/>
      <sheetName val="TRAYECTO_18"/>
      <sheetName val="200P_18"/>
      <sheetName val="210_2_28"/>
      <sheetName val="320_18"/>
      <sheetName val="640_18"/>
      <sheetName val="500P_18"/>
      <sheetName val="500P_28"/>
      <sheetName val="600_18"/>
      <sheetName val="610_18"/>
      <sheetName val="630_48"/>
      <sheetName val="640P_28"/>
      <sheetName val="640_1_(2)8"/>
      <sheetName val="672P_18"/>
      <sheetName val="2P_18"/>
      <sheetName val="900_28"/>
      <sheetName val="materiales_de_insumo8"/>
      <sheetName val="jornales_y_prestaciones8"/>
      <sheetName val="210_18"/>
      <sheetName val="310_18"/>
      <sheetName val="600_48"/>
      <sheetName val="661_18"/>
      <sheetName val="673_18"/>
      <sheetName val="673_28"/>
      <sheetName val="673_38"/>
      <sheetName val="672_18"/>
      <sheetName val="3P_18"/>
      <sheetName val="3P_28"/>
      <sheetName val="6_1P8"/>
      <sheetName val="6_2P8"/>
      <sheetName val="6_4P8"/>
      <sheetName val="VALOR_ENSAYOS8"/>
      <sheetName val="resumen_preacta8"/>
      <sheetName val="Resalto_en_asfalto8"/>
      <sheetName val="Mat_fresado_para_ampliacion8"/>
      <sheetName val="Tuberia_filtro_D=6&quot;8"/>
      <sheetName val="Realce_de_bordillo8"/>
      <sheetName val="Remocion_tuberia_d=24&quot;8"/>
      <sheetName val="GRAVA_ATRAQUES_DE_ALCANTARILLA8"/>
      <sheetName val="FORMATO_PREACTA8"/>
      <sheetName val="FORMATO_FECHA)8"/>
      <sheetName val="DESMONTE_LIMP_8"/>
      <sheetName val="REGISTRO_FOTOGRAFICO8"/>
      <sheetName val="S200_1_DESM__LIMP_B_8"/>
      <sheetName val="S200_2_DESM__LIMP__NB8"/>
      <sheetName val="S201_7_DEMO__ESTRUCTURAS8"/>
      <sheetName val="Remocion_alcantarillas_8"/>
      <sheetName val="Excav__Mat__Comun_8"/>
      <sheetName val="s201_15-remoción_de_alcantaril8"/>
      <sheetName val="s210_2_2-Exc_de_expl8"/>
      <sheetName val="s210_2_1-Exc_en_roca8"/>
      <sheetName val="s211_1_REMOCION_DERR_8"/>
      <sheetName val="s220_1_Terraplenes8"/>
      <sheetName val="s221_1_Pedraplen8"/>
      <sheetName val="S900_3_TRANS__DERRUMBE8"/>
      <sheetName val="s231_1_Geotextil8"/>
      <sheetName val="S230_2_Mejora__de_la_Sub-Ra8"/>
      <sheetName val="S320_1_Sub_base8"/>
      <sheetName val="S330_1_BASE_GRANULAR8"/>
      <sheetName val="CONFM__DE_CALZADA_EXISTENTE8"/>
      <sheetName val="S310_1_Confor__calzada_existe_8"/>
      <sheetName val="_S450_1_MEZCLA_MDC-18"/>
      <sheetName val="_S450_2MEZCLA_MDC-28"/>
      <sheetName val="S420_1_RIEGO_DE_IMPRIMACION_8"/>
      <sheetName val="S421_1_RIEGO_LIGA_CRR-18"/>
      <sheetName val="S460_1_FRESADO_8"/>
      <sheetName val="Excav__REPARACION_PAVIMENTO_8"/>
      <sheetName val="S465_1_EXC__PAV__ASFALTICO8"/>
      <sheetName val="S500_1_PAVIMENTO_CONCRETO8"/>
      <sheetName val="S510_1_PAVIMENTO_ADOQUIN8"/>
      <sheetName val="S600_1_EXCAV__VARIAS_8"/>
      <sheetName val="Relleno_Estructuras8"/>
      <sheetName val="eXCAVACIONES_VARIAS_EN_ROCA_8"/>
      <sheetName val="S600_2_EXCAV__ROCA8"/>
      <sheetName val="S610_1_Relleno_Estructuras8"/>
      <sheetName val="S623_1_Anclajes_8"/>
      <sheetName val="S623P1_Pantalla_Concreto8"/>
      <sheetName val="S630_3_Concretos_C8"/>
      <sheetName val="S630_4a_Concretos_D8"/>
      <sheetName val="S630_4b_Concretos_D8"/>
      <sheetName val="S630_6_CONCRETO_F8"/>
      <sheetName val="CONCRETO_G8"/>
      <sheetName val="S630_7_CONCRETO_G8"/>
      <sheetName val="s640_1_Acero_refuerzo8"/>
      <sheetName val="S642_13_Juntas_dilatacion8"/>
      <sheetName val="S644_2_Tuberia_PVC_4&quot;8"/>
      <sheetName val="_TUBERIA_36&quot;8"/>
      <sheetName val="S632_1_Baranda8"/>
      <sheetName val="_S661_1_TUBERIA_36&quot;_8"/>
      <sheetName val="S673_1_MAT__FILTRANTE8"/>
      <sheetName val="S673_2_GEOTEXTIL8"/>
      <sheetName val="TRANS__EXPLANACION8"/>
      <sheetName val="_S673_3_GEODREN_PLANAR_6&quot;8"/>
      <sheetName val="S681_1_GAVIONES8"/>
      <sheetName val="S700_1_Demarcacion8"/>
      <sheetName val="S700_2_Marca_víal8"/>
      <sheetName val="S701_1_tachas_reflectivas8"/>
      <sheetName val="S710_1_1_SEÑ_VERT__8"/>
      <sheetName val="S710_2_SEÑ_VERT_V8"/>
      <sheetName val="S710_1_2_SEÑ_VERT_8"/>
      <sheetName val="S730_1Defensas_8"/>
      <sheetName val="S800_2_CERCAS8"/>
      <sheetName val="S810_1_PROTECCION_TALUDES8"/>
      <sheetName val="S900_2Trans_explan8"/>
      <sheetName val="Tratamiento_fisuras8"/>
      <sheetName val="MARCAS_VIALES8"/>
      <sheetName val="Geomalla_con_fibra_de_vidrio8"/>
      <sheetName val="Anclajes_pasivos_4#68"/>
      <sheetName val="SNP1-geomalla_fibra_Vidrio8"/>
      <sheetName val="SNP2-geomalla_Biaxial8"/>
      <sheetName val="SNP3_concreto_3500_8"/>
      <sheetName val="SNP4_CEM__ASFALTICO8"/>
      <sheetName val="SNP5_MTTO_RUTINARIO8"/>
      <sheetName val="SNP6_Drenes8"/>
      <sheetName val="SNP7_Anclajes_pasivos_4#68"/>
      <sheetName val="SNP8_Anclajes_activos_2_Tor8"/>
      <sheetName val="SNP9_Anclajes_activos_4_Tor8"/>
      <sheetName val="SNP10_MATERIAL_3&quot;_TRIT8"/>
      <sheetName val="SNP11_Material_Relleno8"/>
      <sheetName val="SNP12_CUNETAS_3_0008"/>
      <sheetName val="SNP13_PARCHEO8"/>
      <sheetName val="SNP14_SELLO_JUNTAS8"/>
      <sheetName val="SNP15_Pilotes8"/>
      <sheetName val="SNP16_EXCAV__PAVIMENTO8"/>
      <sheetName val="SNP17_TRANS_BASE8"/>
      <sheetName val="SNP18_AFIRMADO_3&quot;8"/>
      <sheetName val="alcantarilla_K69+1038"/>
      <sheetName val="alcantarilla_K68+4378"/>
      <sheetName val="alcantarilla_K67+4558"/>
      <sheetName val="BOX_110+520_PUENTE_EL_VERDE8"/>
      <sheetName val="Muro_K99+07038"/>
      <sheetName val="MURO_K104+4548"/>
      <sheetName val="Muro_K109+05708"/>
      <sheetName val="BOX_K8"/>
      <sheetName val="Indicadores_Y_Listas4"/>
      <sheetName val="Indicadores_Y_Listas"/>
      <sheetName val="Indicadores_Y_Listas1"/>
      <sheetName val="Indicadores_Y_Listas2"/>
      <sheetName val="s221_1_Pedraplen7"/>
      <sheetName val="S900_3_TRANS__DERRUMBE7"/>
      <sheetName val="s231_1_Geotextil7"/>
      <sheetName val="S230_2_Mejora__de_la_Sub-Ra7"/>
      <sheetName val="S320_1_Sub_base7"/>
      <sheetName val="S330_1_BASE_GRANULAR7"/>
      <sheetName val="CONFM__DE_CALZADA_EXISTENTE7"/>
      <sheetName val="S310_1_Confor__calzada_existe_7"/>
      <sheetName val="_S450_1_MEZCLA_MDC-17"/>
      <sheetName val="_S450_2MEZCLA_MDC-27"/>
      <sheetName val="S420_1_RIEGO_DE_IMPRIMACION_7"/>
      <sheetName val="S421_1_RIEGO_LIGA_CRR-17"/>
      <sheetName val="S460_1_FRESADO_7"/>
      <sheetName val="Excav__REPARACION_PAVIMENTO_7"/>
      <sheetName val="S465_1_EXC__PAV__ASFALTICO7"/>
      <sheetName val="S500_1_PAVIMENTO_CONCRETO7"/>
      <sheetName val="S510_1_PAVIMENTO_ADOQUIN7"/>
      <sheetName val="S600_1_EXCAV__VARIAS_7"/>
      <sheetName val="Relleno_Estructuras7"/>
      <sheetName val="eXCAVACIONES_VARIAS_EN_ROCA_7"/>
      <sheetName val="S600_2_EXCAV__ROCA7"/>
      <sheetName val="S610_1_Relleno_Estructuras7"/>
      <sheetName val="S623_1_Anclajes_7"/>
      <sheetName val="S623P1_Pantalla_Concreto7"/>
      <sheetName val="S630_3_Concretos_C7"/>
      <sheetName val="S630_4a_Concretos_D7"/>
      <sheetName val="S630_4b_Concretos_D7"/>
      <sheetName val="S630_6_CONCRETO_F7"/>
      <sheetName val="CONCRETO_G7"/>
      <sheetName val="S630_7_CONCRETO_G7"/>
      <sheetName val="s640_1_Acero_refuerzo7"/>
      <sheetName val="S642_13_Juntas_dilatacion7"/>
      <sheetName val="S644_2_Tuberia_PVC_4&quot;7"/>
      <sheetName val="_TUBERIA_36&quot;7"/>
      <sheetName val="S632_1_Baranda7"/>
      <sheetName val="_S661_1_TUBERIA_36&quot;_7"/>
      <sheetName val="S673_1_MAT__FILTRANTE7"/>
      <sheetName val="S673_2_GEOTEXTIL7"/>
      <sheetName val="TRANS__EXPLANACION7"/>
      <sheetName val="_S673_3_GEODREN_PLANAR_6&quot;7"/>
      <sheetName val="S681_1_GAVIONES7"/>
      <sheetName val="S700_1_Demarcacion7"/>
      <sheetName val="S700_2_Marca_víal7"/>
      <sheetName val="S701_1_tachas_reflectivas7"/>
      <sheetName val="S710_1_1_SEÑ_VERT__7"/>
      <sheetName val="S710_2_SEÑ_VERT_V7"/>
      <sheetName val="S710_1_2_SEÑ_VERT_7"/>
      <sheetName val="S730_1Defensas_7"/>
      <sheetName val="S800_2_CERCAS7"/>
      <sheetName val="S810_1_PROTECCION_TALUDES7"/>
      <sheetName val="S900_2Trans_explan7"/>
      <sheetName val="Tratamiento_fisuras7"/>
      <sheetName val="MARCAS_VIALES7"/>
      <sheetName val="Geomalla_con_fibra_de_vidrio7"/>
      <sheetName val="Anclajes_pasivos_4#67"/>
      <sheetName val="SNP1-geomalla_fibra_Vidrio7"/>
      <sheetName val="SNP2-geomalla_Biaxial7"/>
      <sheetName val="SNP3_concreto_3500_7"/>
      <sheetName val="SNP4_CEM__ASFALTICO7"/>
      <sheetName val="SNP5_MTTO_RUTINARIO7"/>
      <sheetName val="SNP6_Drenes7"/>
      <sheetName val="SNP7_Anclajes_pasivos_4#67"/>
      <sheetName val="SNP8_Anclajes_activos_2_Tor7"/>
      <sheetName val="SNP9_Anclajes_activos_4_Tor7"/>
      <sheetName val="SNP10_MATERIAL_3&quot;_TRIT7"/>
      <sheetName val="SNP11_Material_Relleno7"/>
      <sheetName val="SNP12_CUNETAS_3_0007"/>
      <sheetName val="SNP13_PARCHEO7"/>
      <sheetName val="SNP14_SELLO_JUNTAS7"/>
      <sheetName val="SNP15_Pilotes7"/>
      <sheetName val="SNP16_EXCAV__PAVIMENTO7"/>
      <sheetName val="SNP17_TRANS_BASE7"/>
      <sheetName val="SNP18_AFIRMADO_3&quot;7"/>
      <sheetName val="alcantarilla_K69+1037"/>
      <sheetName val="alcantarilla_K68+4377"/>
      <sheetName val="alcantarilla_K67+4557"/>
      <sheetName val="BOX_110+520_PUENTE_EL_VERDE7"/>
      <sheetName val="Muro_K99+07037"/>
      <sheetName val="MURO_K104+4547"/>
      <sheetName val="Muro_K109+05707"/>
      <sheetName val="BOX_K7"/>
      <sheetName val="Indicadores_Y_Listas3"/>
      <sheetName val="PROY_ORIGINAL19"/>
      <sheetName val="PU_(2)18"/>
      <sheetName val="COSTOS_UNITARIOS13"/>
      <sheetName val="TRAYECTO_113"/>
      <sheetName val="200P_113"/>
      <sheetName val="210_2_213"/>
      <sheetName val="320_113"/>
      <sheetName val="640_113"/>
      <sheetName val="500P_113"/>
      <sheetName val="500P_213"/>
      <sheetName val="600_113"/>
      <sheetName val="610_113"/>
      <sheetName val="630_413"/>
      <sheetName val="640P_213"/>
      <sheetName val="640_1_(2)13"/>
      <sheetName val="672P_113"/>
      <sheetName val="2P_113"/>
      <sheetName val="900_213"/>
      <sheetName val="materiales_de_insumo13"/>
      <sheetName val="jornales_y_prestaciones13"/>
      <sheetName val="210_113"/>
      <sheetName val="310_113"/>
      <sheetName val="600_413"/>
      <sheetName val="661_113"/>
      <sheetName val="673_113"/>
      <sheetName val="673_213"/>
      <sheetName val="673_313"/>
      <sheetName val="672_113"/>
      <sheetName val="3P_113"/>
      <sheetName val="3P_213"/>
      <sheetName val="6_1P13"/>
      <sheetName val="6_2P13"/>
      <sheetName val="6_4P13"/>
      <sheetName val="VALOR_ENSAYOS13"/>
      <sheetName val="resumen_preacta13"/>
      <sheetName val="Resalto_en_asfalto13"/>
      <sheetName val="Mat_fresado_para_ampliacion13"/>
      <sheetName val="Tuberia_filtro_D=6&quot;13"/>
      <sheetName val="Realce_de_bordillo13"/>
      <sheetName val="Remocion_tuberia_d=24&quot;13"/>
      <sheetName val="GRAVA_ATRAQUES_DE_ALCANTARILL13"/>
      <sheetName val="FORMATO_PREACTA13"/>
      <sheetName val="FORMATO_FECHA)13"/>
      <sheetName val="DESMONTE_LIMP_13"/>
      <sheetName val="REGISTRO_FOTOGRAFICO13"/>
      <sheetName val="S200_1_DESM__LIMP_B_13"/>
      <sheetName val="S200_2_DESM__LIMP__NB13"/>
      <sheetName val="S201_7_DEMO__ESTRUCTURAS13"/>
      <sheetName val="Remocion_alcantarillas_13"/>
      <sheetName val="Excav__Mat__Comun_13"/>
      <sheetName val="s201_15-remoción_de_alcantari13"/>
      <sheetName val="s210_2_2-Exc_de_expl13"/>
      <sheetName val="s210_2_1-Exc_en_roca13"/>
      <sheetName val="s211_1_REMOCION_DERR_13"/>
      <sheetName val="s220_1_Terraplenes13"/>
      <sheetName val="s221_1_Pedraplen13"/>
      <sheetName val="S900_3_TRANS__DERRUMBE13"/>
      <sheetName val="s231_1_Geotextil13"/>
      <sheetName val="S230_2_Mejora__de_la_Sub-Ra13"/>
      <sheetName val="S320_1_Sub_base13"/>
      <sheetName val="S330_1_BASE_GRANULAR13"/>
      <sheetName val="CONFM__DE_CALZADA_EXISTENTE13"/>
      <sheetName val="S310_1_Confor__calzada_existe13"/>
      <sheetName val="_S450_1_MEZCLA_MDC-113"/>
      <sheetName val="_S450_2MEZCLA_MDC-213"/>
      <sheetName val="S420_1_RIEGO_DE_IMPRIMACION_13"/>
      <sheetName val="S421_1_RIEGO_LIGA_CRR-113"/>
      <sheetName val="S460_1_FRESADO_13"/>
      <sheetName val="Excav__REPARACION_PAVIMENTO_13"/>
      <sheetName val="S465_1_EXC__PAV__ASFALTICO13"/>
      <sheetName val="S500_1_PAVIMENTO_CONCRETO13"/>
      <sheetName val="S510_1_PAVIMENTO_ADOQUIN13"/>
      <sheetName val="S600_1_EXCAV__VARIAS_13"/>
      <sheetName val="Relleno_Estructuras13"/>
      <sheetName val="eXCAVACIONES_VARIAS_EN_ROCA_13"/>
      <sheetName val="S600_2_EXCAV__ROCA13"/>
      <sheetName val="S610_1_Relleno_Estructuras13"/>
      <sheetName val="S623_1_Anclajes_13"/>
      <sheetName val="S623P1_Pantalla_Concreto13"/>
      <sheetName val="S630_3_Concretos_C13"/>
      <sheetName val="S630_4a_Concretos_D13"/>
      <sheetName val="S630_4b_Concretos_D13"/>
      <sheetName val="S630_6_CONCRETO_F13"/>
      <sheetName val="CONCRETO_G13"/>
      <sheetName val="S630_7_CONCRETO_G13"/>
      <sheetName val="s640_1_Acero_refuerzo13"/>
      <sheetName val="S642_13_Juntas_dilatacion13"/>
      <sheetName val="S644_2_Tuberia_PVC_4&quot;13"/>
      <sheetName val="_TUBERIA_36&quot;13"/>
      <sheetName val="S632_1_Baranda13"/>
      <sheetName val="_S661_1_TUBERIA_36&quot;_13"/>
      <sheetName val="S673_1_MAT__FILTRANTE13"/>
      <sheetName val="S673_2_GEOTEXTIL13"/>
      <sheetName val="TRANS__EXPLANACION13"/>
      <sheetName val="_S673_3_GEODREN_PLANAR_6&quot;13"/>
      <sheetName val="S681_1_GAVIONES13"/>
      <sheetName val="S700_1_Demarcacion13"/>
      <sheetName val="S700_2_Marca_víal13"/>
      <sheetName val="S701_1_tachas_reflectivas13"/>
      <sheetName val="S710_1_1_SEÑ_VERT__13"/>
      <sheetName val="S710_2_SEÑ_VERT_V13"/>
      <sheetName val="S710_1_2_SEÑ_VERT_13"/>
      <sheetName val="S730_1Defensas_13"/>
      <sheetName val="S800_2_CERCAS13"/>
      <sheetName val="S810_1_PROTECCION_TALUDES13"/>
      <sheetName val="S900_2Trans_explan13"/>
      <sheetName val="Tratamiento_fisuras13"/>
      <sheetName val="MARCAS_VIALES13"/>
      <sheetName val="Geomalla_con_fibra_de_vidrio13"/>
      <sheetName val="Anclajes_pasivos_4#613"/>
      <sheetName val="SNP1-geomalla_fibra_Vidrio13"/>
      <sheetName val="SNP2-geomalla_Biaxial13"/>
      <sheetName val="SNP3_concreto_3500_13"/>
      <sheetName val="SNP4_CEM__ASFALTICO13"/>
      <sheetName val="SNP5_MTTO_RUTINARIO13"/>
      <sheetName val="SNP6_Drenes13"/>
      <sheetName val="SNP7_Anclajes_pasivos_4#613"/>
      <sheetName val="SNP8_Anclajes_activos_2_Tor13"/>
      <sheetName val="SNP9_Anclajes_activos_4_Tor13"/>
      <sheetName val="SNP10_MATERIAL_3&quot;_TRIT13"/>
      <sheetName val="SNP11_Material_Relleno13"/>
      <sheetName val="SNP12_CUNETAS_3_00013"/>
      <sheetName val="SNP13_PARCHEO13"/>
      <sheetName val="SNP14_SELLO_JUNTAS13"/>
      <sheetName val="SNP15_Pilotes13"/>
      <sheetName val="SNP16_EXCAV__PAVIMENTO13"/>
      <sheetName val="SNP17_TRANS_BASE13"/>
      <sheetName val="SNP18_AFIRMADO_3&quot;13"/>
      <sheetName val="alcantarilla_K69+10313"/>
      <sheetName val="alcantarilla_K68+43713"/>
      <sheetName val="alcantarilla_K67+45513"/>
      <sheetName val="BOX_110+520_PUENTE_EL_VERDE13"/>
      <sheetName val="Muro_K99+070313"/>
      <sheetName val="MURO_K104+45413"/>
      <sheetName val="Muro_K109+057013"/>
      <sheetName val="BOX_K13"/>
      <sheetName val="INFORME_SEMANAL10"/>
      <sheetName val="201_710"/>
      <sheetName val="211_110"/>
      <sheetName val="320_210"/>
      <sheetName val="330_110"/>
      <sheetName val="330_210"/>
      <sheetName val="411_210"/>
      <sheetName val="450_2P10"/>
      <sheetName val="450_9P10"/>
      <sheetName val="461_110"/>
      <sheetName val="465_110"/>
      <sheetName val="464_1P10"/>
      <sheetName val="600_210"/>
      <sheetName val="630_510"/>
      <sheetName val="630_610"/>
      <sheetName val="630_710"/>
      <sheetName val="681_110"/>
      <sheetName val="670_P10"/>
      <sheetName val="671_P10"/>
      <sheetName val="674_210"/>
      <sheetName val="450_3P10"/>
      <sheetName val="621_1P10"/>
      <sheetName val="610_2P10"/>
      <sheetName val="230_210"/>
      <sheetName val="230_2P10"/>
      <sheetName val="621_1-1P10"/>
      <sheetName val="621_1_2P10"/>
      <sheetName val="PESO_VARILLAS10"/>
      <sheetName val="210_1_19"/>
      <sheetName val="210_1_29"/>
      <sheetName val="210_2_19"/>
      <sheetName val="220_19"/>
      <sheetName val="420_19"/>
      <sheetName val="421_19"/>
      <sheetName val="630_4_19"/>
      <sheetName val="640_1_19"/>
      <sheetName val="4P_1_19"/>
      <sheetName val="671_19"/>
      <sheetName val="673P_19"/>
      <sheetName val="674p_29"/>
      <sheetName val="640_1_29"/>
      <sheetName val="640_1_49"/>
      <sheetName val="630_3_19"/>
      <sheetName val="700_19"/>
      <sheetName val="701_29"/>
      <sheetName val="710_19"/>
      <sheetName val="730_19"/>
      <sheetName val="TORTA_EST9"/>
      <sheetName val="Indicadores_Y_Listas9"/>
      <sheetName val="PROY_ORIGINAL15"/>
      <sheetName val="PU_(2)14"/>
      <sheetName val="COSTOS_UNITARIOS9"/>
      <sheetName val="TRAYECTO_19"/>
      <sheetName val="200P_19"/>
      <sheetName val="210_2_29"/>
      <sheetName val="320_19"/>
      <sheetName val="640_19"/>
      <sheetName val="500P_19"/>
      <sheetName val="500P_29"/>
      <sheetName val="600_19"/>
      <sheetName val="610_19"/>
      <sheetName val="630_49"/>
      <sheetName val="640P_29"/>
      <sheetName val="640_1_(2)9"/>
      <sheetName val="672P_19"/>
      <sheetName val="2P_19"/>
      <sheetName val="900_29"/>
      <sheetName val="materiales_de_insumo9"/>
      <sheetName val="jornales_y_prestaciones9"/>
      <sheetName val="210_19"/>
      <sheetName val="310_19"/>
      <sheetName val="600_49"/>
      <sheetName val="661_19"/>
      <sheetName val="673_19"/>
      <sheetName val="673_29"/>
      <sheetName val="673_39"/>
      <sheetName val="672_19"/>
      <sheetName val="3P_19"/>
      <sheetName val="3P_29"/>
      <sheetName val="6_1P9"/>
      <sheetName val="6_2P9"/>
      <sheetName val="6_4P9"/>
      <sheetName val="VALOR_ENSAYOS9"/>
      <sheetName val="resumen_preacta9"/>
      <sheetName val="Resalto_en_asfalto9"/>
      <sheetName val="Mat_fresado_para_ampliacion9"/>
      <sheetName val="Tuberia_filtro_D=6&quot;9"/>
      <sheetName val="Realce_de_bordillo9"/>
      <sheetName val="Remocion_tuberia_d=24&quot;9"/>
      <sheetName val="GRAVA_ATRAQUES_DE_ALCANTARILLA9"/>
      <sheetName val="FORMATO_PREACTA9"/>
      <sheetName val="FORMATO_FECHA)9"/>
      <sheetName val="DESMONTE_LIMP_9"/>
      <sheetName val="REGISTRO_FOTOGRAFICO9"/>
      <sheetName val="S200_1_DESM__LIMP_B_9"/>
      <sheetName val="S200_2_DESM__LIMP__NB9"/>
      <sheetName val="S201_7_DEMO__ESTRUCTURAS9"/>
      <sheetName val="Remocion_alcantarillas_9"/>
      <sheetName val="Excav__Mat__Comun_9"/>
      <sheetName val="s201_15-remoción_de_alcantaril9"/>
      <sheetName val="s210_2_2-Exc_de_expl9"/>
      <sheetName val="s210_2_1-Exc_en_roca9"/>
      <sheetName val="s211_1_REMOCION_DERR_9"/>
      <sheetName val="s220_1_Terraplenes9"/>
      <sheetName val="s221_1_Pedraplen9"/>
      <sheetName val="S900_3_TRANS__DERRUMBE9"/>
      <sheetName val="s231_1_Geotextil9"/>
      <sheetName val="S230_2_Mejora__de_la_Sub-Ra9"/>
      <sheetName val="S320_1_Sub_base9"/>
      <sheetName val="S330_1_BASE_GRANULAR9"/>
      <sheetName val="CONFM__DE_CALZADA_EXISTENTE9"/>
      <sheetName val="S310_1_Confor__calzada_existe_9"/>
      <sheetName val="_S450_1_MEZCLA_MDC-19"/>
      <sheetName val="_S450_2MEZCLA_MDC-29"/>
      <sheetName val="S420_1_RIEGO_DE_IMPRIMACION_9"/>
      <sheetName val="S421_1_RIEGO_LIGA_CRR-19"/>
      <sheetName val="S460_1_FRESADO_9"/>
      <sheetName val="Excav__REPARACION_PAVIMENTO_9"/>
      <sheetName val="S465_1_EXC__PAV__ASFALTICO9"/>
      <sheetName val="S500_1_PAVIMENTO_CONCRETO9"/>
      <sheetName val="S510_1_PAVIMENTO_ADOQUIN9"/>
      <sheetName val="S600_1_EXCAV__VARIAS_9"/>
      <sheetName val="Relleno_Estructuras9"/>
      <sheetName val="eXCAVACIONES_VARIAS_EN_ROCA_9"/>
      <sheetName val="S600_2_EXCAV__ROCA9"/>
      <sheetName val="S610_1_Relleno_Estructuras9"/>
      <sheetName val="S623_1_Anclajes_9"/>
      <sheetName val="S623P1_Pantalla_Concreto9"/>
      <sheetName val="S630_3_Concretos_C9"/>
      <sheetName val="S630_4a_Concretos_D9"/>
      <sheetName val="S630_4b_Concretos_D9"/>
      <sheetName val="S630_6_CONCRETO_F9"/>
      <sheetName val="CONCRETO_G9"/>
      <sheetName val="S630_7_CONCRETO_G9"/>
      <sheetName val="s640_1_Acero_refuerzo9"/>
      <sheetName val="S642_13_Juntas_dilatacion9"/>
      <sheetName val="S644_2_Tuberia_PVC_4&quot;9"/>
      <sheetName val="_TUBERIA_36&quot;9"/>
      <sheetName val="S632_1_Baranda9"/>
      <sheetName val="_S661_1_TUBERIA_36&quot;_9"/>
      <sheetName val="S673_1_MAT__FILTRANTE9"/>
      <sheetName val="S673_2_GEOTEXTIL9"/>
      <sheetName val="TRANS__EXPLANACION9"/>
      <sheetName val="_S673_3_GEODREN_PLANAR_6&quot;9"/>
      <sheetName val="S681_1_GAVIONES9"/>
      <sheetName val="S700_1_Demarcacion9"/>
      <sheetName val="S700_2_Marca_víal9"/>
      <sheetName val="S701_1_tachas_reflectivas9"/>
      <sheetName val="S710_1_1_SEÑ_VERT__9"/>
      <sheetName val="S710_2_SEÑ_VERT_V9"/>
      <sheetName val="S710_1_2_SEÑ_VERT_9"/>
      <sheetName val="S730_1Defensas_9"/>
      <sheetName val="S800_2_CERCAS9"/>
      <sheetName val="S810_1_PROTECCION_TALUDES9"/>
      <sheetName val="S900_2Trans_explan9"/>
      <sheetName val="Tratamiento_fisuras9"/>
      <sheetName val="MARCAS_VIALES9"/>
      <sheetName val="Geomalla_con_fibra_de_vidrio9"/>
      <sheetName val="Anclajes_pasivos_4#69"/>
      <sheetName val="SNP1-geomalla_fibra_Vidrio9"/>
      <sheetName val="SNP2-geomalla_Biaxial9"/>
      <sheetName val="SNP3_concreto_3500_9"/>
      <sheetName val="SNP4_CEM__ASFALTICO9"/>
      <sheetName val="SNP5_MTTO_RUTINARIO9"/>
      <sheetName val="SNP6_Drenes9"/>
      <sheetName val="SNP7_Anclajes_pasivos_4#69"/>
      <sheetName val="SNP8_Anclajes_activos_2_Tor9"/>
      <sheetName val="SNP9_Anclajes_activos_4_Tor9"/>
      <sheetName val="SNP10_MATERIAL_3&quot;_TRIT9"/>
      <sheetName val="SNP11_Material_Relleno9"/>
      <sheetName val="SNP12_CUNETAS_3_0009"/>
      <sheetName val="SNP13_PARCHEO9"/>
      <sheetName val="SNP14_SELLO_JUNTAS9"/>
      <sheetName val="SNP15_Pilotes9"/>
      <sheetName val="SNP16_EXCAV__PAVIMENTO9"/>
      <sheetName val="SNP17_TRANS_BASE9"/>
      <sheetName val="SNP18_AFIRMADO_3&quot;9"/>
      <sheetName val="alcantarilla_K69+1039"/>
      <sheetName val="alcantarilla_K68+4379"/>
      <sheetName val="alcantarilla_K67+4559"/>
      <sheetName val="BOX_110+520_PUENTE_EL_VERDE9"/>
      <sheetName val="Muro_K99+07039"/>
      <sheetName val="MURO_K104+4549"/>
      <sheetName val="Muro_K109+05709"/>
      <sheetName val="BOX_K9"/>
      <sheetName val="Indicadores_Y_Listas5"/>
      <sheetName val="PROY_ORIGINAL16"/>
      <sheetName val="PU_(2)15"/>
      <sheetName val="COSTOS_UNITARIOS10"/>
      <sheetName val="TRAYECTO_110"/>
      <sheetName val="200P_110"/>
      <sheetName val="210_2_210"/>
      <sheetName val="320_110"/>
      <sheetName val="640_110"/>
      <sheetName val="500P_110"/>
      <sheetName val="500P_210"/>
      <sheetName val="600_110"/>
      <sheetName val="610_110"/>
      <sheetName val="630_410"/>
      <sheetName val="640P_210"/>
      <sheetName val="640_1_(2)10"/>
      <sheetName val="672P_110"/>
      <sheetName val="2P_110"/>
      <sheetName val="900_210"/>
      <sheetName val="materiales_de_insumo10"/>
      <sheetName val="jornales_y_prestaciones10"/>
      <sheetName val="210_110"/>
      <sheetName val="310_110"/>
      <sheetName val="600_410"/>
      <sheetName val="661_110"/>
      <sheetName val="673_110"/>
      <sheetName val="673_210"/>
      <sheetName val="673_310"/>
      <sheetName val="672_110"/>
      <sheetName val="3P_110"/>
      <sheetName val="3P_210"/>
      <sheetName val="6_1P10"/>
      <sheetName val="6_2P10"/>
      <sheetName val="6_4P10"/>
      <sheetName val="VALOR_ENSAYOS10"/>
      <sheetName val="resumen_preacta10"/>
      <sheetName val="Resalto_en_asfalto10"/>
      <sheetName val="Mat_fresado_para_ampliacion10"/>
      <sheetName val="Tuberia_filtro_D=6&quot;10"/>
      <sheetName val="Realce_de_bordillo10"/>
      <sheetName val="Remocion_tuberia_d=24&quot;10"/>
      <sheetName val="GRAVA_ATRAQUES_DE_ALCANTARILL10"/>
      <sheetName val="FORMATO_PREACTA10"/>
      <sheetName val="FORMATO_FECHA)10"/>
      <sheetName val="DESMONTE_LIMP_10"/>
      <sheetName val="REGISTRO_FOTOGRAFICO10"/>
      <sheetName val="S200_1_DESM__LIMP_B_10"/>
      <sheetName val="S200_2_DESM__LIMP__NB10"/>
      <sheetName val="S201_7_DEMO__ESTRUCTURAS10"/>
      <sheetName val="Remocion_alcantarillas_10"/>
      <sheetName val="Excav__Mat__Comun_10"/>
      <sheetName val="s201_15-remoción_de_alcantari10"/>
      <sheetName val="s210_2_2-Exc_de_expl10"/>
      <sheetName val="s210_2_1-Exc_en_roca10"/>
      <sheetName val="s211_1_REMOCION_DERR_10"/>
      <sheetName val="s220_1_Terraplenes10"/>
      <sheetName val="s221_1_Pedraplen10"/>
      <sheetName val="S900_3_TRANS__DERRUMBE10"/>
      <sheetName val="s231_1_Geotextil10"/>
      <sheetName val="S230_2_Mejora__de_la_Sub-Ra10"/>
      <sheetName val="S320_1_Sub_base10"/>
      <sheetName val="S330_1_BASE_GRANULAR10"/>
      <sheetName val="CONFM__DE_CALZADA_EXISTENTE10"/>
      <sheetName val="S310_1_Confor__calzada_existe10"/>
      <sheetName val="_S450_1_MEZCLA_MDC-110"/>
      <sheetName val="_S450_2MEZCLA_MDC-210"/>
      <sheetName val="S420_1_RIEGO_DE_IMPRIMACION_10"/>
      <sheetName val="S421_1_RIEGO_LIGA_CRR-110"/>
      <sheetName val="S460_1_FRESADO_10"/>
      <sheetName val="Excav__REPARACION_PAVIMENTO_10"/>
      <sheetName val="S465_1_EXC__PAV__ASFALTICO10"/>
      <sheetName val="S500_1_PAVIMENTO_CONCRETO10"/>
      <sheetName val="S510_1_PAVIMENTO_ADOQUIN10"/>
      <sheetName val="S600_1_EXCAV__VARIAS_10"/>
      <sheetName val="Relleno_Estructuras10"/>
      <sheetName val="eXCAVACIONES_VARIAS_EN_ROCA_10"/>
      <sheetName val="S600_2_EXCAV__ROCA10"/>
      <sheetName val="S610_1_Relleno_Estructuras10"/>
      <sheetName val="S623_1_Anclajes_10"/>
      <sheetName val="S623P1_Pantalla_Concreto10"/>
      <sheetName val="S630_3_Concretos_C10"/>
      <sheetName val="S630_4a_Concretos_D10"/>
      <sheetName val="S630_4b_Concretos_D10"/>
      <sheetName val="S630_6_CONCRETO_F10"/>
      <sheetName val="CONCRETO_G10"/>
      <sheetName val="S630_7_CONCRETO_G10"/>
      <sheetName val="s640_1_Acero_refuerzo10"/>
      <sheetName val="S642_13_Juntas_dilatacion10"/>
      <sheetName val="S644_2_Tuberia_PVC_4&quot;10"/>
      <sheetName val="_TUBERIA_36&quot;10"/>
      <sheetName val="S632_1_Baranda10"/>
      <sheetName val="_S661_1_TUBERIA_36&quot;_10"/>
      <sheetName val="S673_1_MAT__FILTRANTE10"/>
      <sheetName val="S673_2_GEOTEXTIL10"/>
      <sheetName val="TRANS__EXPLANACION10"/>
      <sheetName val="_S673_3_GEODREN_PLANAR_6&quot;10"/>
      <sheetName val="S681_1_GAVIONES10"/>
      <sheetName val="S700_1_Demarcacion10"/>
      <sheetName val="S700_2_Marca_víal10"/>
      <sheetName val="S701_1_tachas_reflectivas10"/>
      <sheetName val="S710_1_1_SEÑ_VERT__10"/>
      <sheetName val="S710_2_SEÑ_VERT_V10"/>
      <sheetName val="S710_1_2_SEÑ_VERT_10"/>
      <sheetName val="S730_1Defensas_10"/>
      <sheetName val="S800_2_CERCAS10"/>
      <sheetName val="S810_1_PROTECCION_TALUDES10"/>
      <sheetName val="S900_2Trans_explan10"/>
      <sheetName val="Tratamiento_fisuras10"/>
      <sheetName val="MARCAS_VIALES10"/>
      <sheetName val="Geomalla_con_fibra_de_vidrio10"/>
      <sheetName val="Anclajes_pasivos_4#610"/>
      <sheetName val="SNP1-geomalla_fibra_Vidrio10"/>
      <sheetName val="SNP2-geomalla_Biaxial10"/>
      <sheetName val="SNP3_concreto_3500_10"/>
      <sheetName val="SNP4_CEM__ASFALTICO10"/>
      <sheetName val="SNP5_MTTO_RUTINARIO10"/>
      <sheetName val="SNP6_Drenes10"/>
      <sheetName val="SNP7_Anclajes_pasivos_4#610"/>
      <sheetName val="SNP8_Anclajes_activos_2_Tor10"/>
      <sheetName val="SNP9_Anclajes_activos_4_Tor10"/>
      <sheetName val="SNP10_MATERIAL_3&quot;_TRIT10"/>
      <sheetName val="SNP11_Material_Relleno10"/>
      <sheetName val="SNP12_CUNETAS_3_00010"/>
      <sheetName val="SNP13_PARCHEO10"/>
      <sheetName val="SNP14_SELLO_JUNTAS10"/>
      <sheetName val="SNP15_Pilotes10"/>
      <sheetName val="SNP16_EXCAV__PAVIMENTO10"/>
      <sheetName val="SNP17_TRANS_BASE10"/>
      <sheetName val="SNP18_AFIRMADO_3&quot;10"/>
      <sheetName val="alcantarilla_K69+10310"/>
      <sheetName val="alcantarilla_K68+43710"/>
      <sheetName val="alcantarilla_K67+45510"/>
      <sheetName val="BOX_110+520_PUENTE_EL_VERDE10"/>
      <sheetName val="Muro_K99+070310"/>
      <sheetName val="MURO_K104+45410"/>
      <sheetName val="Muro_K109+057010"/>
      <sheetName val="BOX_K10"/>
      <sheetName val="INFORME_SEMANAL7"/>
      <sheetName val="201_77"/>
      <sheetName val="211_17"/>
      <sheetName val="320_27"/>
      <sheetName val="330_17"/>
      <sheetName val="330_27"/>
      <sheetName val="411_27"/>
      <sheetName val="450_2P7"/>
      <sheetName val="450_9P7"/>
      <sheetName val="461_17"/>
      <sheetName val="465_17"/>
      <sheetName val="464_1P7"/>
      <sheetName val="600_27"/>
      <sheetName val="630_57"/>
      <sheetName val="630_67"/>
      <sheetName val="630_77"/>
      <sheetName val="681_17"/>
      <sheetName val="670_P7"/>
      <sheetName val="671_P7"/>
      <sheetName val="674_27"/>
      <sheetName val="450_3P7"/>
      <sheetName val="621_1P7"/>
      <sheetName val="610_2P7"/>
      <sheetName val="230_27"/>
      <sheetName val="230_2P7"/>
      <sheetName val="621_1-1P7"/>
      <sheetName val="621_1_2P7"/>
      <sheetName val="PESO_VARILLAS7"/>
      <sheetName val="210_1_16"/>
      <sheetName val="210_1_26"/>
      <sheetName val="210_2_16"/>
      <sheetName val="220_16"/>
      <sheetName val="420_16"/>
      <sheetName val="421_16"/>
      <sheetName val="630_4_16"/>
      <sheetName val="640_1_16"/>
      <sheetName val="4P_1_16"/>
      <sheetName val="671_16"/>
      <sheetName val="673P_16"/>
      <sheetName val="674p_26"/>
      <sheetName val="640_1_26"/>
      <sheetName val="640_1_46"/>
      <sheetName val="630_3_16"/>
      <sheetName val="700_16"/>
      <sheetName val="701_26"/>
      <sheetName val="710_16"/>
      <sheetName val="730_16"/>
      <sheetName val="TORTA_EST6"/>
      <sheetName val="Indicadores_Y_Listas6"/>
      <sheetName val="PROY_ORIGINAL17"/>
      <sheetName val="PU_(2)16"/>
      <sheetName val="COSTOS_UNITARIOS11"/>
      <sheetName val="TRAYECTO_111"/>
      <sheetName val="200P_111"/>
      <sheetName val="210_2_211"/>
      <sheetName val="320_111"/>
      <sheetName val="640_111"/>
      <sheetName val="500P_111"/>
      <sheetName val="500P_211"/>
      <sheetName val="600_111"/>
      <sheetName val="610_111"/>
      <sheetName val="630_411"/>
      <sheetName val="640P_211"/>
      <sheetName val="640_1_(2)11"/>
      <sheetName val="672P_111"/>
      <sheetName val="2P_111"/>
      <sheetName val="900_211"/>
      <sheetName val="materiales_de_insumo11"/>
      <sheetName val="jornales_y_prestaciones11"/>
      <sheetName val="210_111"/>
      <sheetName val="310_111"/>
      <sheetName val="600_411"/>
      <sheetName val="661_111"/>
      <sheetName val="673_111"/>
      <sheetName val="673_211"/>
      <sheetName val="673_311"/>
      <sheetName val="672_111"/>
      <sheetName val="3P_111"/>
      <sheetName val="3P_211"/>
      <sheetName val="6_1P11"/>
      <sheetName val="6_2P11"/>
      <sheetName val="6_4P11"/>
      <sheetName val="VALOR_ENSAYOS11"/>
      <sheetName val="resumen_preacta11"/>
      <sheetName val="Resalto_en_asfalto11"/>
      <sheetName val="Mat_fresado_para_ampliacion11"/>
      <sheetName val="Tuberia_filtro_D=6&quot;11"/>
      <sheetName val="Realce_de_bordillo11"/>
      <sheetName val="Remocion_tuberia_d=24&quot;11"/>
      <sheetName val="GRAVA_ATRAQUES_DE_ALCANTARILL11"/>
      <sheetName val="FORMATO_PREACTA11"/>
      <sheetName val="FORMATO_FECHA)11"/>
      <sheetName val="DESMONTE_LIMP_11"/>
      <sheetName val="REGISTRO_FOTOGRAFICO11"/>
      <sheetName val="S200_1_DESM__LIMP_B_11"/>
      <sheetName val="S200_2_DESM__LIMP__NB11"/>
      <sheetName val="S201_7_DEMO__ESTRUCTURAS11"/>
      <sheetName val="Remocion_alcantarillas_11"/>
      <sheetName val="Excav__Mat__Comun_11"/>
      <sheetName val="s201_15-remoción_de_alcantari11"/>
      <sheetName val="s210_2_2-Exc_de_expl11"/>
      <sheetName val="s210_2_1-Exc_en_roca11"/>
      <sheetName val="s211_1_REMOCION_DERR_11"/>
      <sheetName val="s220_1_Terraplenes11"/>
      <sheetName val="s221_1_Pedraplen11"/>
      <sheetName val="S900_3_TRANS__DERRUMBE11"/>
      <sheetName val="s231_1_Geotextil11"/>
      <sheetName val="S230_2_Mejora__de_la_Sub-Ra11"/>
      <sheetName val="S320_1_Sub_base11"/>
      <sheetName val="S330_1_BASE_GRANULAR11"/>
      <sheetName val="CONFM__DE_CALZADA_EXISTENTE11"/>
      <sheetName val="S310_1_Confor__calzada_existe11"/>
      <sheetName val="_S450_1_MEZCLA_MDC-111"/>
      <sheetName val="_S450_2MEZCLA_MDC-211"/>
      <sheetName val="S420_1_RIEGO_DE_IMPRIMACION_11"/>
      <sheetName val="S421_1_RIEGO_LIGA_CRR-111"/>
      <sheetName val="S460_1_FRESADO_11"/>
      <sheetName val="Excav__REPARACION_PAVIMENTO_11"/>
      <sheetName val="S465_1_EXC__PAV__ASFALTICO11"/>
      <sheetName val="S500_1_PAVIMENTO_CONCRETO11"/>
      <sheetName val="S510_1_PAVIMENTO_ADOQUIN11"/>
      <sheetName val="S600_1_EXCAV__VARIAS_11"/>
      <sheetName val="Relleno_Estructuras11"/>
      <sheetName val="eXCAVACIONES_VARIAS_EN_ROCA_11"/>
      <sheetName val="S600_2_EXCAV__ROCA11"/>
      <sheetName val="S610_1_Relleno_Estructuras11"/>
      <sheetName val="S623_1_Anclajes_11"/>
      <sheetName val="S623P1_Pantalla_Concreto11"/>
      <sheetName val="S630_3_Concretos_C11"/>
      <sheetName val="S630_4a_Concretos_D11"/>
      <sheetName val="S630_4b_Concretos_D11"/>
      <sheetName val="S630_6_CONCRETO_F11"/>
      <sheetName val="CONCRETO_G11"/>
      <sheetName val="S630_7_CONCRETO_G11"/>
      <sheetName val="s640_1_Acero_refuerzo11"/>
      <sheetName val="S642_13_Juntas_dilatacion11"/>
      <sheetName val="S644_2_Tuberia_PVC_4&quot;11"/>
      <sheetName val="_TUBERIA_36&quot;11"/>
      <sheetName val="S632_1_Baranda11"/>
      <sheetName val="_S661_1_TUBERIA_36&quot;_11"/>
      <sheetName val="S673_1_MAT__FILTRANTE11"/>
      <sheetName val="S673_2_GEOTEXTIL11"/>
      <sheetName val="TRANS__EXPLANACION11"/>
      <sheetName val="_S673_3_GEODREN_PLANAR_6&quot;11"/>
      <sheetName val="S681_1_GAVIONES11"/>
      <sheetName val="S700_1_Demarcacion11"/>
      <sheetName val="S700_2_Marca_víal11"/>
      <sheetName val="S701_1_tachas_reflectivas11"/>
      <sheetName val="S710_1_1_SEÑ_VERT__11"/>
      <sheetName val="S710_2_SEÑ_VERT_V11"/>
      <sheetName val="S710_1_2_SEÑ_VERT_11"/>
      <sheetName val="S730_1Defensas_11"/>
      <sheetName val="S800_2_CERCAS11"/>
      <sheetName val="S810_1_PROTECCION_TALUDES11"/>
      <sheetName val="S900_2Trans_explan11"/>
      <sheetName val="Tratamiento_fisuras11"/>
      <sheetName val="MARCAS_VIALES11"/>
      <sheetName val="Geomalla_con_fibra_de_vidrio11"/>
      <sheetName val="Anclajes_pasivos_4#611"/>
      <sheetName val="SNP1-geomalla_fibra_Vidrio11"/>
      <sheetName val="SNP2-geomalla_Biaxial11"/>
      <sheetName val="SNP3_concreto_3500_11"/>
      <sheetName val="SNP4_CEM__ASFALTICO11"/>
      <sheetName val="SNP5_MTTO_RUTINARIO11"/>
      <sheetName val="SNP6_Drenes11"/>
      <sheetName val="SNP7_Anclajes_pasivos_4#611"/>
      <sheetName val="SNP8_Anclajes_activos_2_Tor11"/>
      <sheetName val="SNP9_Anclajes_activos_4_Tor11"/>
      <sheetName val="SNP10_MATERIAL_3&quot;_TRIT11"/>
      <sheetName val="SNP11_Material_Relleno11"/>
      <sheetName val="SNP12_CUNETAS_3_00011"/>
      <sheetName val="SNP13_PARCHEO11"/>
      <sheetName val="SNP14_SELLO_JUNTAS11"/>
      <sheetName val="SNP15_Pilotes11"/>
      <sheetName val="SNP16_EXCAV__PAVIMENTO11"/>
      <sheetName val="SNP17_TRANS_BASE11"/>
      <sheetName val="SNP18_AFIRMADO_3&quot;11"/>
      <sheetName val="alcantarilla_K69+10311"/>
      <sheetName val="alcantarilla_K68+43711"/>
      <sheetName val="alcantarilla_K67+45511"/>
      <sheetName val="BOX_110+520_PUENTE_EL_VERDE11"/>
      <sheetName val="Muro_K99+070311"/>
      <sheetName val="MURO_K104+45411"/>
      <sheetName val="Muro_K109+057011"/>
      <sheetName val="BOX_K11"/>
      <sheetName val="INFORME_SEMANAL8"/>
      <sheetName val="201_78"/>
      <sheetName val="211_18"/>
      <sheetName val="320_28"/>
      <sheetName val="330_18"/>
      <sheetName val="330_28"/>
      <sheetName val="411_28"/>
      <sheetName val="450_2P8"/>
      <sheetName val="450_9P8"/>
      <sheetName val="461_18"/>
      <sheetName val="465_18"/>
      <sheetName val="464_1P8"/>
      <sheetName val="600_28"/>
      <sheetName val="630_58"/>
      <sheetName val="630_68"/>
      <sheetName val="630_78"/>
      <sheetName val="681_18"/>
      <sheetName val="670_P8"/>
      <sheetName val="671_P8"/>
      <sheetName val="674_28"/>
      <sheetName val="450_3P8"/>
      <sheetName val="621_1P8"/>
      <sheetName val="610_2P8"/>
      <sheetName val="230_28"/>
      <sheetName val="230_2P8"/>
      <sheetName val="621_1-1P8"/>
      <sheetName val="621_1_2P8"/>
      <sheetName val="PESO_VARILLAS8"/>
      <sheetName val="210_1_17"/>
      <sheetName val="210_1_27"/>
      <sheetName val="210_2_17"/>
      <sheetName val="220_17"/>
      <sheetName val="420_17"/>
      <sheetName val="421_17"/>
      <sheetName val="630_4_17"/>
      <sheetName val="640_1_17"/>
      <sheetName val="4P_1_17"/>
      <sheetName val="671_17"/>
      <sheetName val="673P_17"/>
      <sheetName val="674p_27"/>
      <sheetName val="640_1_27"/>
      <sheetName val="640_1_47"/>
      <sheetName val="630_3_17"/>
      <sheetName val="700_17"/>
      <sheetName val="701_27"/>
      <sheetName val="710_17"/>
      <sheetName val="730_17"/>
      <sheetName val="TORTA_EST7"/>
      <sheetName val="Indicadores_Y_Listas7"/>
      <sheetName val="PROY_ORIGINAL18"/>
      <sheetName val="PU_(2)17"/>
      <sheetName val="COSTOS_UNITARIOS12"/>
      <sheetName val="TRAYECTO_112"/>
      <sheetName val="200P_112"/>
      <sheetName val="210_2_212"/>
      <sheetName val="320_112"/>
      <sheetName val="640_112"/>
      <sheetName val="500P_112"/>
      <sheetName val="500P_212"/>
      <sheetName val="600_112"/>
      <sheetName val="610_112"/>
      <sheetName val="630_412"/>
      <sheetName val="640P_212"/>
      <sheetName val="640_1_(2)12"/>
      <sheetName val="672P_112"/>
      <sheetName val="2P_112"/>
      <sheetName val="900_212"/>
      <sheetName val="materiales_de_insumo12"/>
      <sheetName val="jornales_y_prestaciones12"/>
      <sheetName val="210_112"/>
      <sheetName val="310_112"/>
      <sheetName val="600_412"/>
      <sheetName val="661_112"/>
      <sheetName val="673_112"/>
      <sheetName val="673_212"/>
      <sheetName val="673_312"/>
      <sheetName val="672_112"/>
      <sheetName val="3P_112"/>
      <sheetName val="3P_212"/>
      <sheetName val="6_1P12"/>
      <sheetName val="6_2P12"/>
      <sheetName val="6_4P12"/>
      <sheetName val="VALOR_ENSAYOS12"/>
      <sheetName val="resumen_preacta12"/>
      <sheetName val="Resalto_en_asfalto12"/>
      <sheetName val="Mat_fresado_para_ampliacion12"/>
      <sheetName val="Tuberia_filtro_D=6&quot;12"/>
      <sheetName val="Realce_de_bordillo12"/>
      <sheetName val="Remocion_tuberia_d=24&quot;12"/>
      <sheetName val="GRAVA_ATRAQUES_DE_ALCANTARILL12"/>
      <sheetName val="FORMATO_PREACTA12"/>
      <sheetName val="FORMATO_FECHA)12"/>
      <sheetName val="DESMONTE_LIMP_12"/>
      <sheetName val="REGISTRO_FOTOGRAFICO12"/>
      <sheetName val="S200_1_DESM__LIMP_B_12"/>
      <sheetName val="S200_2_DESM__LIMP__NB12"/>
      <sheetName val="S201_7_DEMO__ESTRUCTURAS12"/>
      <sheetName val="Remocion_alcantarillas_12"/>
      <sheetName val="Excav__Mat__Comun_12"/>
      <sheetName val="s201_15-remoción_de_alcantari12"/>
      <sheetName val="s210_2_2-Exc_de_expl12"/>
      <sheetName val="s210_2_1-Exc_en_roca12"/>
      <sheetName val="s211_1_REMOCION_DERR_12"/>
      <sheetName val="s220_1_Terraplenes12"/>
      <sheetName val="s221_1_Pedraplen12"/>
      <sheetName val="S900_3_TRANS__DERRUMBE12"/>
      <sheetName val="s231_1_Geotextil12"/>
      <sheetName val="S230_2_Mejora__de_la_Sub-Ra12"/>
      <sheetName val="S320_1_Sub_base12"/>
      <sheetName val="S330_1_BASE_GRANULAR12"/>
      <sheetName val="CONFM__DE_CALZADA_EXISTENTE12"/>
      <sheetName val="S310_1_Confor__calzada_existe12"/>
      <sheetName val="_S450_1_MEZCLA_MDC-112"/>
      <sheetName val="_S450_2MEZCLA_MDC-212"/>
      <sheetName val="S420_1_RIEGO_DE_IMPRIMACION_12"/>
      <sheetName val="S421_1_RIEGO_LIGA_CRR-112"/>
      <sheetName val="S460_1_FRESADO_12"/>
      <sheetName val="Excav__REPARACION_PAVIMENTO_12"/>
      <sheetName val="S465_1_EXC__PAV__ASFALTICO12"/>
      <sheetName val="S500_1_PAVIMENTO_CONCRETO12"/>
      <sheetName val="S510_1_PAVIMENTO_ADOQUIN12"/>
      <sheetName val="S600_1_EXCAV__VARIAS_12"/>
      <sheetName val="Relleno_Estructuras12"/>
      <sheetName val="eXCAVACIONES_VARIAS_EN_ROCA_12"/>
      <sheetName val="S600_2_EXCAV__ROCA12"/>
      <sheetName val="S610_1_Relleno_Estructuras12"/>
      <sheetName val="S623_1_Anclajes_12"/>
      <sheetName val="S623P1_Pantalla_Concreto12"/>
      <sheetName val="S630_3_Concretos_C12"/>
      <sheetName val="S630_4a_Concretos_D12"/>
      <sheetName val="S630_4b_Concretos_D12"/>
      <sheetName val="S630_6_CONCRETO_F12"/>
      <sheetName val="CONCRETO_G12"/>
      <sheetName val="S630_7_CONCRETO_G12"/>
      <sheetName val="s640_1_Acero_refuerzo12"/>
      <sheetName val="S642_13_Juntas_dilatacion12"/>
      <sheetName val="S644_2_Tuberia_PVC_4&quot;12"/>
      <sheetName val="_TUBERIA_36&quot;12"/>
      <sheetName val="S632_1_Baranda12"/>
      <sheetName val="_S661_1_TUBERIA_36&quot;_12"/>
      <sheetName val="S673_1_MAT__FILTRANTE12"/>
      <sheetName val="S673_2_GEOTEXTIL12"/>
      <sheetName val="TRANS__EXPLANACION12"/>
      <sheetName val="_S673_3_GEODREN_PLANAR_6&quot;12"/>
      <sheetName val="S681_1_GAVIONES12"/>
      <sheetName val="S700_1_Demarcacion12"/>
      <sheetName val="S700_2_Marca_víal12"/>
      <sheetName val="S701_1_tachas_reflectivas12"/>
      <sheetName val="S710_1_1_SEÑ_VERT__12"/>
      <sheetName val="S710_2_SEÑ_VERT_V12"/>
      <sheetName val="S710_1_2_SEÑ_VERT_12"/>
      <sheetName val="S730_1Defensas_12"/>
      <sheetName val="S800_2_CERCAS12"/>
      <sheetName val="S810_1_PROTECCION_TALUDES12"/>
      <sheetName val="S900_2Trans_explan12"/>
      <sheetName val="Tratamiento_fisuras12"/>
      <sheetName val="MARCAS_VIALES12"/>
      <sheetName val="Geomalla_con_fibra_de_vidrio12"/>
      <sheetName val="Anclajes_pasivos_4#612"/>
      <sheetName val="SNP1-geomalla_fibra_Vidrio12"/>
      <sheetName val="SNP2-geomalla_Biaxial12"/>
      <sheetName val="SNP3_concreto_3500_12"/>
      <sheetName val="SNP4_CEM__ASFALTICO12"/>
      <sheetName val="SNP5_MTTO_RUTINARIO12"/>
      <sheetName val="SNP6_Drenes12"/>
      <sheetName val="SNP7_Anclajes_pasivos_4#612"/>
      <sheetName val="SNP8_Anclajes_activos_2_Tor12"/>
      <sheetName val="SNP9_Anclajes_activos_4_Tor12"/>
      <sheetName val="SNP10_MATERIAL_3&quot;_TRIT12"/>
      <sheetName val="SNP11_Material_Relleno12"/>
      <sheetName val="SNP12_CUNETAS_3_00012"/>
      <sheetName val="SNP13_PARCHEO12"/>
      <sheetName val="SNP14_SELLO_JUNTAS12"/>
      <sheetName val="SNP15_Pilotes12"/>
      <sheetName val="SNP16_EXCAV__PAVIMENTO12"/>
      <sheetName val="SNP17_TRANS_BASE12"/>
      <sheetName val="SNP18_AFIRMADO_3&quot;12"/>
      <sheetName val="alcantarilla_K69+10312"/>
      <sheetName val="alcantarilla_K68+43712"/>
      <sheetName val="alcantarilla_K67+45512"/>
      <sheetName val="BOX_110+520_PUENTE_EL_VERDE12"/>
      <sheetName val="Muro_K99+070312"/>
      <sheetName val="MURO_K104+45412"/>
      <sheetName val="Muro_K109+057012"/>
      <sheetName val="BOX_K12"/>
      <sheetName val="INFORME_SEMANAL9"/>
      <sheetName val="201_79"/>
      <sheetName val="211_19"/>
      <sheetName val="320_29"/>
      <sheetName val="330_19"/>
      <sheetName val="330_29"/>
      <sheetName val="411_29"/>
      <sheetName val="450_2P9"/>
      <sheetName val="450_9P9"/>
      <sheetName val="461_19"/>
      <sheetName val="465_19"/>
      <sheetName val="464_1P9"/>
      <sheetName val="600_29"/>
      <sheetName val="630_59"/>
      <sheetName val="630_69"/>
      <sheetName val="630_79"/>
      <sheetName val="681_19"/>
      <sheetName val="670_P9"/>
      <sheetName val="671_P9"/>
      <sheetName val="674_29"/>
      <sheetName val="450_3P9"/>
      <sheetName val="621_1P9"/>
      <sheetName val="610_2P9"/>
      <sheetName val="230_29"/>
      <sheetName val="230_2P9"/>
      <sheetName val="621_1-1P9"/>
      <sheetName val="621_1_2P9"/>
      <sheetName val="PESO_VARILLAS9"/>
      <sheetName val="210_1_18"/>
      <sheetName val="210_1_28"/>
      <sheetName val="210_2_18"/>
      <sheetName val="220_18"/>
      <sheetName val="420_18"/>
      <sheetName val="421_18"/>
      <sheetName val="630_4_18"/>
      <sheetName val="640_1_18"/>
      <sheetName val="4P_1_18"/>
      <sheetName val="671_18"/>
      <sheetName val="673P_18"/>
      <sheetName val="674p_28"/>
      <sheetName val="640_1_28"/>
      <sheetName val="640_1_48"/>
      <sheetName val="630_3_18"/>
      <sheetName val="700_18"/>
      <sheetName val="701_28"/>
      <sheetName val="710_18"/>
      <sheetName val="730_18"/>
      <sheetName val="TORTA_EST8"/>
      <sheetName val="Indicadores_Y_Listas8"/>
      <sheetName val="PROY_ORIGINAL20"/>
      <sheetName val="PU_(2)19"/>
      <sheetName val="COSTOS_UNITARIOS14"/>
      <sheetName val="TRAYECTO_114"/>
      <sheetName val="200P_114"/>
      <sheetName val="210_2_214"/>
      <sheetName val="320_114"/>
      <sheetName val="640_114"/>
      <sheetName val="500P_114"/>
      <sheetName val="500P_214"/>
      <sheetName val="600_114"/>
      <sheetName val="610_114"/>
      <sheetName val="630_414"/>
      <sheetName val="640P_214"/>
      <sheetName val="640_1_(2)14"/>
      <sheetName val="672P_114"/>
      <sheetName val="2P_114"/>
      <sheetName val="900_214"/>
      <sheetName val="materiales_de_insumo14"/>
      <sheetName val="jornales_y_prestaciones14"/>
      <sheetName val="210_114"/>
      <sheetName val="310_114"/>
      <sheetName val="600_414"/>
      <sheetName val="661_114"/>
      <sheetName val="673_114"/>
      <sheetName val="673_214"/>
      <sheetName val="673_314"/>
      <sheetName val="672_114"/>
      <sheetName val="3P_114"/>
      <sheetName val="3P_214"/>
      <sheetName val="6_1P14"/>
      <sheetName val="6_2P14"/>
      <sheetName val="6_4P14"/>
      <sheetName val="VALOR_ENSAYOS14"/>
      <sheetName val="resumen_preacta14"/>
      <sheetName val="Resalto_en_asfalto14"/>
      <sheetName val="Mat_fresado_para_ampliacion14"/>
      <sheetName val="Tuberia_filtro_D=6&quot;14"/>
      <sheetName val="Realce_de_bordillo14"/>
      <sheetName val="Remocion_tuberia_d=24&quot;14"/>
      <sheetName val="GRAVA_ATRAQUES_DE_ALCANTARILL14"/>
      <sheetName val="FORMATO_PREACTA14"/>
      <sheetName val="FORMATO_FECHA)14"/>
      <sheetName val="DESMONTE_LIMP_14"/>
      <sheetName val="REGISTRO_FOTOGRAFICO14"/>
      <sheetName val="S200_1_DESM__LIMP_B_14"/>
      <sheetName val="S200_2_DESM__LIMP__NB14"/>
      <sheetName val="S201_7_DEMO__ESTRUCTURAS14"/>
      <sheetName val="Remocion_alcantarillas_14"/>
      <sheetName val="Excav__Mat__Comun_14"/>
      <sheetName val="s201_15-remoción_de_alcantari14"/>
      <sheetName val="s210_2_2-Exc_de_expl14"/>
      <sheetName val="s210_2_1-Exc_en_roca14"/>
      <sheetName val="s211_1_REMOCION_DERR_14"/>
      <sheetName val="s220_1_Terraplenes14"/>
      <sheetName val="s221_1_Pedraplen14"/>
      <sheetName val="S900_3_TRANS__DERRUMBE14"/>
      <sheetName val="s231_1_Geotextil14"/>
      <sheetName val="S230_2_Mejora__de_la_Sub-Ra14"/>
      <sheetName val="S320_1_Sub_base14"/>
      <sheetName val="S330_1_BASE_GRANULAR14"/>
      <sheetName val="CONFM__DE_CALZADA_EXISTENTE14"/>
      <sheetName val="S310_1_Confor__calzada_existe14"/>
      <sheetName val="_S450_1_MEZCLA_MDC-114"/>
      <sheetName val="_S450_2MEZCLA_MDC-214"/>
      <sheetName val="S420_1_RIEGO_DE_IMPRIMACION_14"/>
      <sheetName val="S421_1_RIEGO_LIGA_CRR-114"/>
      <sheetName val="S460_1_FRESADO_14"/>
      <sheetName val="Excav__REPARACION_PAVIMENTO_14"/>
      <sheetName val="S465_1_EXC__PAV__ASFALTICO14"/>
      <sheetName val="S500_1_PAVIMENTO_CONCRETO14"/>
      <sheetName val="S510_1_PAVIMENTO_ADOQUIN14"/>
      <sheetName val="S600_1_EXCAV__VARIAS_14"/>
      <sheetName val="Relleno_Estructuras14"/>
      <sheetName val="eXCAVACIONES_VARIAS_EN_ROCA_14"/>
      <sheetName val="S600_2_EXCAV__ROCA14"/>
      <sheetName val="S610_1_Relleno_Estructuras14"/>
      <sheetName val="S623_1_Anclajes_14"/>
      <sheetName val="S623P1_Pantalla_Concreto14"/>
      <sheetName val="S630_3_Concretos_C14"/>
      <sheetName val="S630_4a_Concretos_D14"/>
      <sheetName val="S630_4b_Concretos_D14"/>
      <sheetName val="S630_6_CONCRETO_F14"/>
      <sheetName val="CONCRETO_G14"/>
      <sheetName val="S630_7_CONCRETO_G14"/>
      <sheetName val="s640_1_Acero_refuerzo14"/>
      <sheetName val="S642_13_Juntas_dilatacion14"/>
      <sheetName val="S644_2_Tuberia_PVC_4&quot;14"/>
      <sheetName val="_TUBERIA_36&quot;14"/>
      <sheetName val="S632_1_Baranda14"/>
      <sheetName val="_S661_1_TUBERIA_36&quot;_14"/>
      <sheetName val="S673_1_MAT__FILTRANTE14"/>
      <sheetName val="S673_2_GEOTEXTIL14"/>
      <sheetName val="TRANS__EXPLANACION14"/>
      <sheetName val="_S673_3_GEODREN_PLANAR_6&quot;14"/>
      <sheetName val="S681_1_GAVIONES14"/>
      <sheetName val="S700_1_Demarcacion14"/>
      <sheetName val="S700_2_Marca_víal14"/>
      <sheetName val="S701_1_tachas_reflectivas14"/>
      <sheetName val="S710_1_1_SEÑ_VERT__14"/>
      <sheetName val="S710_2_SEÑ_VERT_V14"/>
      <sheetName val="S710_1_2_SEÑ_VERT_14"/>
      <sheetName val="S730_1Defensas_14"/>
      <sheetName val="S800_2_CERCAS14"/>
      <sheetName val="S810_1_PROTECCION_TALUDES14"/>
      <sheetName val="S900_2Trans_explan14"/>
      <sheetName val="Tratamiento_fisuras14"/>
      <sheetName val="MARCAS_VIALES14"/>
      <sheetName val="Geomalla_con_fibra_de_vidrio14"/>
      <sheetName val="Anclajes_pasivos_4#614"/>
      <sheetName val="SNP1-geomalla_fibra_Vidrio14"/>
      <sheetName val="SNP2-geomalla_Biaxial14"/>
      <sheetName val="SNP3_concreto_3500_14"/>
      <sheetName val="SNP4_CEM__ASFALTICO14"/>
      <sheetName val="SNP5_MTTO_RUTINARIO14"/>
      <sheetName val="SNP6_Drenes14"/>
      <sheetName val="SNP7_Anclajes_pasivos_4#614"/>
      <sheetName val="SNP8_Anclajes_activos_2_Tor14"/>
      <sheetName val="SNP9_Anclajes_activos_4_Tor14"/>
      <sheetName val="SNP10_MATERIAL_3&quot;_TRIT14"/>
      <sheetName val="SNP11_Material_Relleno14"/>
      <sheetName val="SNP12_CUNETAS_3_00014"/>
      <sheetName val="SNP13_PARCHEO14"/>
      <sheetName val="SNP14_SELLO_JUNTAS14"/>
      <sheetName val="SNP15_Pilotes14"/>
      <sheetName val="SNP16_EXCAV__PAVIMENTO14"/>
      <sheetName val="SNP17_TRANS_BASE14"/>
      <sheetName val="SNP18_AFIRMADO_3&quot;14"/>
      <sheetName val="alcantarilla_K69+10314"/>
      <sheetName val="alcantarilla_K68+43714"/>
      <sheetName val="alcantarilla_K67+45514"/>
      <sheetName val="BOX_110+520_PUENTE_EL_VERDE14"/>
      <sheetName val="Muro_K99+070314"/>
      <sheetName val="MURO_K104+45414"/>
      <sheetName val="Muro_K109+057014"/>
      <sheetName val="BOX_K14"/>
      <sheetName val="INFORME_SEMANAL11"/>
      <sheetName val="201_711"/>
      <sheetName val="211_111"/>
      <sheetName val="320_211"/>
      <sheetName val="330_111"/>
      <sheetName val="330_211"/>
      <sheetName val="411_211"/>
      <sheetName val="450_2P11"/>
      <sheetName val="450_9P11"/>
      <sheetName val="461_111"/>
      <sheetName val="465_111"/>
      <sheetName val="464_1P11"/>
      <sheetName val="600_211"/>
      <sheetName val="630_511"/>
      <sheetName val="630_611"/>
      <sheetName val="630_711"/>
      <sheetName val="681_111"/>
      <sheetName val="670_P11"/>
      <sheetName val="671_P11"/>
      <sheetName val="674_211"/>
      <sheetName val="450_3P11"/>
      <sheetName val="621_1P11"/>
      <sheetName val="610_2P11"/>
      <sheetName val="230_211"/>
      <sheetName val="230_2P11"/>
      <sheetName val="621_1-1P11"/>
      <sheetName val="621_1_2P11"/>
      <sheetName val="PESO_VARILLAS11"/>
      <sheetName val="210_1_110"/>
      <sheetName val="210_1_210"/>
      <sheetName val="210_2_110"/>
      <sheetName val="220_110"/>
      <sheetName val="420_110"/>
      <sheetName val="421_110"/>
      <sheetName val="630_4_110"/>
      <sheetName val="640_1_110"/>
      <sheetName val="4P_1_110"/>
      <sheetName val="671_110"/>
      <sheetName val="673P_110"/>
      <sheetName val="674p_210"/>
      <sheetName val="640_1_210"/>
      <sheetName val="640_1_410"/>
      <sheetName val="630_3_110"/>
      <sheetName val="700_110"/>
      <sheetName val="701_210"/>
      <sheetName val="710_110"/>
      <sheetName val="730_110"/>
      <sheetName val="TORTA_EST10"/>
      <sheetName val="Indicadores_Y_Listas10"/>
      <sheetName val="PROY_ORIGINAL21"/>
      <sheetName val="PU_(2)20"/>
      <sheetName val="COSTOS_UNITARIOS15"/>
      <sheetName val="TRAYECTO_115"/>
      <sheetName val="200P_115"/>
      <sheetName val="210_2_215"/>
      <sheetName val="320_115"/>
      <sheetName val="640_115"/>
      <sheetName val="500P_115"/>
      <sheetName val="500P_215"/>
      <sheetName val="600_115"/>
      <sheetName val="610_115"/>
      <sheetName val="630_415"/>
      <sheetName val="640P_215"/>
      <sheetName val="640_1_(2)15"/>
      <sheetName val="672P_115"/>
      <sheetName val="2P_115"/>
      <sheetName val="900_215"/>
      <sheetName val="materiales_de_insumo15"/>
      <sheetName val="jornales_y_prestaciones15"/>
      <sheetName val="210_115"/>
      <sheetName val="310_115"/>
      <sheetName val="600_415"/>
      <sheetName val="661_115"/>
      <sheetName val="673_115"/>
      <sheetName val="673_215"/>
      <sheetName val="673_315"/>
      <sheetName val="672_115"/>
      <sheetName val="3P_115"/>
      <sheetName val="3P_215"/>
      <sheetName val="6_1P15"/>
      <sheetName val="6_2P15"/>
      <sheetName val="6_4P15"/>
      <sheetName val="VALOR_ENSAYOS15"/>
      <sheetName val="resumen_preacta15"/>
      <sheetName val="Resalto_en_asfalto15"/>
      <sheetName val="Mat_fresado_para_ampliacion15"/>
      <sheetName val="Tuberia_filtro_D=6&quot;15"/>
      <sheetName val="Realce_de_bordillo15"/>
      <sheetName val="Remocion_tuberia_d=24&quot;15"/>
      <sheetName val="GRAVA_ATRAQUES_DE_ALCANTARILL15"/>
      <sheetName val="FORMATO_PREACTA15"/>
      <sheetName val="FORMATO_FECHA)15"/>
      <sheetName val="DESMONTE_LIMP_15"/>
      <sheetName val="REGISTRO_FOTOGRAFICO15"/>
      <sheetName val="S200_1_DESM__LIMP_B_15"/>
      <sheetName val="S200_2_DESM__LIMP__NB15"/>
      <sheetName val="S201_7_DEMO__ESTRUCTURAS15"/>
      <sheetName val="Remocion_alcantarillas_15"/>
      <sheetName val="Excav__Mat__Comun_15"/>
      <sheetName val="s201_15-remoción_de_alcantari15"/>
      <sheetName val="s210_2_2-Exc_de_expl15"/>
      <sheetName val="s210_2_1-Exc_en_roca15"/>
      <sheetName val="s211_1_REMOCION_DERR_15"/>
      <sheetName val="s220_1_Terraplenes15"/>
      <sheetName val="s221_1_Pedraplen15"/>
      <sheetName val="S900_3_TRANS__DERRUMBE15"/>
      <sheetName val="s231_1_Geotextil15"/>
      <sheetName val="S230_2_Mejora__de_la_Sub-Ra15"/>
      <sheetName val="S320_1_Sub_base15"/>
      <sheetName val="S330_1_BASE_GRANULAR15"/>
      <sheetName val="CONFM__DE_CALZADA_EXISTENTE15"/>
      <sheetName val="S310_1_Confor__calzada_existe15"/>
      <sheetName val="_S450_1_MEZCLA_MDC-115"/>
      <sheetName val="_S450_2MEZCLA_MDC-215"/>
      <sheetName val="S420_1_RIEGO_DE_IMPRIMACION_15"/>
      <sheetName val="S421_1_RIEGO_LIGA_CRR-115"/>
      <sheetName val="S460_1_FRESADO_15"/>
      <sheetName val="Excav__REPARACION_PAVIMENTO_15"/>
      <sheetName val="S465_1_EXC__PAV__ASFALTICO15"/>
      <sheetName val="S500_1_PAVIMENTO_CONCRETO15"/>
      <sheetName val="S510_1_PAVIMENTO_ADOQUIN15"/>
      <sheetName val="S600_1_EXCAV__VARIAS_15"/>
      <sheetName val="Relleno_Estructuras15"/>
      <sheetName val="eXCAVACIONES_VARIAS_EN_ROCA_15"/>
      <sheetName val="S600_2_EXCAV__ROCA15"/>
      <sheetName val="S610_1_Relleno_Estructuras15"/>
      <sheetName val="S623_1_Anclajes_15"/>
      <sheetName val="S623P1_Pantalla_Concreto15"/>
      <sheetName val="S630_3_Concretos_C15"/>
      <sheetName val="S630_4a_Concretos_D15"/>
      <sheetName val="S630_4b_Concretos_D15"/>
      <sheetName val="S630_6_CONCRETO_F15"/>
      <sheetName val="CONCRETO_G15"/>
      <sheetName val="S630_7_CONCRETO_G15"/>
      <sheetName val="s640_1_Acero_refuerzo15"/>
      <sheetName val="S642_13_Juntas_dilatacion15"/>
      <sheetName val="S644_2_Tuberia_PVC_4&quot;15"/>
      <sheetName val="_TUBERIA_36&quot;15"/>
      <sheetName val="S632_1_Baranda15"/>
      <sheetName val="_S661_1_TUBERIA_36&quot;_15"/>
      <sheetName val="S673_1_MAT__FILTRANTE15"/>
      <sheetName val="S673_2_GEOTEXTIL15"/>
      <sheetName val="TRANS__EXPLANACION15"/>
      <sheetName val="_S673_3_GEODREN_PLANAR_6&quot;15"/>
      <sheetName val="S681_1_GAVIONES15"/>
      <sheetName val="S700_1_Demarcacion15"/>
      <sheetName val="S700_2_Marca_víal15"/>
      <sheetName val="S701_1_tachas_reflectivas15"/>
      <sheetName val="S710_1_1_SEÑ_VERT__15"/>
      <sheetName val="S710_2_SEÑ_VERT_V15"/>
      <sheetName val="S710_1_2_SEÑ_VERT_15"/>
      <sheetName val="S730_1Defensas_15"/>
      <sheetName val="S800_2_CERCAS15"/>
      <sheetName val="S810_1_PROTECCION_TALUDES15"/>
      <sheetName val="S900_2Trans_explan15"/>
      <sheetName val="Tratamiento_fisuras15"/>
      <sheetName val="MARCAS_VIALES15"/>
      <sheetName val="Geomalla_con_fibra_de_vidrio15"/>
      <sheetName val="Anclajes_pasivos_4#615"/>
      <sheetName val="SNP1-geomalla_fibra_Vidrio15"/>
      <sheetName val="SNP2-geomalla_Biaxial15"/>
      <sheetName val="SNP3_concreto_3500_15"/>
      <sheetName val="SNP4_CEM__ASFALTICO15"/>
      <sheetName val="SNP5_MTTO_RUTINARIO15"/>
      <sheetName val="SNP6_Drenes15"/>
      <sheetName val="SNP7_Anclajes_pasivos_4#615"/>
      <sheetName val="SNP8_Anclajes_activos_2_Tor15"/>
      <sheetName val="SNP9_Anclajes_activos_4_Tor15"/>
      <sheetName val="SNP10_MATERIAL_3&quot;_TRIT15"/>
      <sheetName val="SNP11_Material_Relleno15"/>
      <sheetName val="SNP12_CUNETAS_3_00015"/>
      <sheetName val="SNP13_PARCHEO15"/>
      <sheetName val="SNP14_SELLO_JUNTAS15"/>
      <sheetName val="SNP15_Pilotes15"/>
      <sheetName val="SNP16_EXCAV__PAVIMENTO15"/>
      <sheetName val="SNP17_TRANS_BASE15"/>
      <sheetName val="SNP18_AFIRMADO_3&quot;15"/>
      <sheetName val="alcantarilla_K69+10315"/>
      <sheetName val="alcantarilla_K68+43715"/>
      <sheetName val="alcantarilla_K67+45515"/>
      <sheetName val="BOX_110+520_PUENTE_EL_VERDE15"/>
      <sheetName val="Muro_K99+070315"/>
      <sheetName val="MURO_K104+45415"/>
      <sheetName val="Muro_K109+057015"/>
      <sheetName val="BOX_K15"/>
      <sheetName val="INFORME_SEMANAL12"/>
      <sheetName val="201_712"/>
      <sheetName val="211_112"/>
      <sheetName val="320_212"/>
      <sheetName val="330_112"/>
      <sheetName val="330_212"/>
      <sheetName val="411_212"/>
      <sheetName val="450_2P12"/>
      <sheetName val="450_9P12"/>
      <sheetName val="461_112"/>
      <sheetName val="465_112"/>
      <sheetName val="464_1P12"/>
      <sheetName val="600_212"/>
      <sheetName val="630_512"/>
      <sheetName val="630_612"/>
      <sheetName val="630_712"/>
      <sheetName val="681_112"/>
      <sheetName val="670_P12"/>
      <sheetName val="671_P12"/>
      <sheetName val="674_212"/>
      <sheetName val="450_3P12"/>
      <sheetName val="621_1P12"/>
      <sheetName val="610_2P12"/>
      <sheetName val="230_212"/>
      <sheetName val="230_2P12"/>
      <sheetName val="621_1-1P12"/>
      <sheetName val="621_1_2P12"/>
      <sheetName val="PESO_VARILLAS12"/>
      <sheetName val="210_1_111"/>
      <sheetName val="210_1_211"/>
      <sheetName val="210_2_111"/>
      <sheetName val="220_111"/>
      <sheetName val="420_111"/>
      <sheetName val="421_111"/>
      <sheetName val="630_4_111"/>
      <sheetName val="640_1_111"/>
      <sheetName val="4P_1_111"/>
      <sheetName val="671_111"/>
      <sheetName val="673P_111"/>
      <sheetName val="674p_211"/>
      <sheetName val="640_1_211"/>
      <sheetName val="640_1_411"/>
      <sheetName val="630_3_111"/>
      <sheetName val="700_111"/>
      <sheetName val="701_211"/>
      <sheetName val="710_111"/>
      <sheetName val="730_111"/>
      <sheetName val="TORTA_EST11"/>
      <sheetName val="Indicadores_Y_Listas11"/>
      <sheetName val="PROY_ORIGINAL22"/>
      <sheetName val="PU_(2)21"/>
      <sheetName val="COSTOS_UNITARIOS16"/>
      <sheetName val="TRAYECTO_116"/>
      <sheetName val="200P_116"/>
      <sheetName val="210_2_216"/>
      <sheetName val="320_116"/>
      <sheetName val="640_116"/>
      <sheetName val="500P_116"/>
      <sheetName val="500P_216"/>
      <sheetName val="600_116"/>
      <sheetName val="610_116"/>
      <sheetName val="630_416"/>
      <sheetName val="640P_216"/>
      <sheetName val="640_1_(2)16"/>
      <sheetName val="672P_116"/>
      <sheetName val="2P_116"/>
      <sheetName val="900_216"/>
      <sheetName val="materiales_de_insumo16"/>
      <sheetName val="jornales_y_prestaciones16"/>
      <sheetName val="210_116"/>
      <sheetName val="310_116"/>
      <sheetName val="600_416"/>
      <sheetName val="661_116"/>
      <sheetName val="673_116"/>
      <sheetName val="673_216"/>
      <sheetName val="673_316"/>
      <sheetName val="672_116"/>
      <sheetName val="3P_116"/>
      <sheetName val="3P_216"/>
      <sheetName val="6_1P16"/>
      <sheetName val="6_2P16"/>
      <sheetName val="6_4P16"/>
      <sheetName val="VALOR_ENSAYOS16"/>
      <sheetName val="resumen_preacta16"/>
      <sheetName val="Resalto_en_asfalto16"/>
      <sheetName val="Mat_fresado_para_ampliacion16"/>
      <sheetName val="Tuberia_filtro_D=6&quot;16"/>
      <sheetName val="Realce_de_bordillo16"/>
      <sheetName val="Remocion_tuberia_d=24&quot;16"/>
      <sheetName val="GRAVA_ATRAQUES_DE_ALCANTARILL16"/>
      <sheetName val="FORMATO_PREACTA16"/>
      <sheetName val="FORMATO_FECHA)16"/>
      <sheetName val="DESMONTE_LIMP_16"/>
      <sheetName val="REGISTRO_FOTOGRAFICO16"/>
      <sheetName val="S200_1_DESM__LIMP_B_16"/>
      <sheetName val="S200_2_DESM__LIMP__NB16"/>
      <sheetName val="S201_7_DEMO__ESTRUCTURAS16"/>
      <sheetName val="Remocion_alcantarillas_16"/>
      <sheetName val="Excav__Mat__Comun_16"/>
      <sheetName val="s201_15-remoción_de_alcantari16"/>
      <sheetName val="s210_2_2-Exc_de_expl16"/>
      <sheetName val="s210_2_1-Exc_en_roca16"/>
      <sheetName val="s211_1_REMOCION_DERR_16"/>
      <sheetName val="s220_1_Terraplenes16"/>
      <sheetName val="s221_1_Pedraplen16"/>
      <sheetName val="S900_3_TRANS__DERRUMBE16"/>
      <sheetName val="s231_1_Geotextil16"/>
      <sheetName val="S230_2_Mejora__de_la_Sub-Ra16"/>
      <sheetName val="S320_1_Sub_base16"/>
      <sheetName val="S330_1_BASE_GRANULAR16"/>
      <sheetName val="CONFM__DE_CALZADA_EXISTENTE16"/>
      <sheetName val="S310_1_Confor__calzada_existe16"/>
      <sheetName val="_S450_1_MEZCLA_MDC-116"/>
      <sheetName val="_S450_2MEZCLA_MDC-216"/>
      <sheetName val="S420_1_RIEGO_DE_IMPRIMACION_16"/>
      <sheetName val="S421_1_RIEGO_LIGA_CRR-116"/>
      <sheetName val="S460_1_FRESADO_16"/>
      <sheetName val="Excav__REPARACION_PAVIMENTO_16"/>
      <sheetName val="S465_1_EXC__PAV__ASFALTICO16"/>
      <sheetName val="S500_1_PAVIMENTO_CONCRETO16"/>
      <sheetName val="S510_1_PAVIMENTO_ADOQUIN16"/>
      <sheetName val="S600_1_EXCAV__VARIAS_16"/>
      <sheetName val="Relleno_Estructuras16"/>
      <sheetName val="eXCAVACIONES_VARIAS_EN_ROCA_16"/>
      <sheetName val="S600_2_EXCAV__ROCA16"/>
      <sheetName val="S610_1_Relleno_Estructuras16"/>
      <sheetName val="S623_1_Anclajes_16"/>
      <sheetName val="S623P1_Pantalla_Concreto16"/>
      <sheetName val="S630_3_Concretos_C16"/>
      <sheetName val="S630_4a_Concretos_D16"/>
      <sheetName val="S630_4b_Concretos_D16"/>
      <sheetName val="S630_6_CONCRETO_F16"/>
      <sheetName val="CONCRETO_G16"/>
      <sheetName val="S630_7_CONCRETO_G16"/>
      <sheetName val="s640_1_Acero_refuerzo16"/>
      <sheetName val="S642_13_Juntas_dilatacion16"/>
      <sheetName val="S644_2_Tuberia_PVC_4&quot;16"/>
      <sheetName val="_TUBERIA_36&quot;16"/>
      <sheetName val="S632_1_Baranda16"/>
      <sheetName val="_S661_1_TUBERIA_36&quot;_16"/>
      <sheetName val="S673_1_MAT__FILTRANTE16"/>
      <sheetName val="S673_2_GEOTEXTIL16"/>
      <sheetName val="TRANS__EXPLANACION16"/>
      <sheetName val="_S673_3_GEODREN_PLANAR_6&quot;16"/>
      <sheetName val="S681_1_GAVIONES16"/>
      <sheetName val="S700_1_Demarcacion16"/>
      <sheetName val="S700_2_Marca_víal16"/>
      <sheetName val="S701_1_tachas_reflectivas16"/>
      <sheetName val="S710_1_1_SEÑ_VERT__16"/>
      <sheetName val="S710_2_SEÑ_VERT_V16"/>
      <sheetName val="S710_1_2_SEÑ_VERT_16"/>
      <sheetName val="S730_1Defensas_16"/>
      <sheetName val="S800_2_CERCAS16"/>
      <sheetName val="S810_1_PROTECCION_TALUDES16"/>
      <sheetName val="S900_2Trans_explan16"/>
      <sheetName val="Tratamiento_fisuras16"/>
      <sheetName val="MARCAS_VIALES16"/>
      <sheetName val="Geomalla_con_fibra_de_vidrio16"/>
      <sheetName val="Anclajes_pasivos_4#616"/>
      <sheetName val="SNP1-geomalla_fibra_Vidrio16"/>
      <sheetName val="SNP2-geomalla_Biaxial16"/>
      <sheetName val="SNP3_concreto_3500_16"/>
      <sheetName val="SNP4_CEM__ASFALTICO16"/>
      <sheetName val="SNP5_MTTO_RUTINARIO16"/>
      <sheetName val="SNP6_Drenes16"/>
      <sheetName val="SNP7_Anclajes_pasivos_4#616"/>
      <sheetName val="SNP8_Anclajes_activos_2_Tor16"/>
      <sheetName val="SNP9_Anclajes_activos_4_Tor16"/>
      <sheetName val="SNP10_MATERIAL_3&quot;_TRIT16"/>
      <sheetName val="SNP11_Material_Relleno16"/>
      <sheetName val="SNP12_CUNETAS_3_00016"/>
      <sheetName val="SNP13_PARCHEO16"/>
      <sheetName val="SNP14_SELLO_JUNTAS16"/>
      <sheetName val="SNP15_Pilotes16"/>
      <sheetName val="SNP16_EXCAV__PAVIMENTO16"/>
      <sheetName val="SNP17_TRANS_BASE16"/>
      <sheetName val="SNP18_AFIRMADO_3&quot;16"/>
      <sheetName val="alcantarilla_K69+10316"/>
      <sheetName val="alcantarilla_K68+43716"/>
      <sheetName val="alcantarilla_K67+45516"/>
      <sheetName val="BOX_110+520_PUENTE_EL_VERDE16"/>
      <sheetName val="Muro_K99+070316"/>
      <sheetName val="MURO_K104+45416"/>
      <sheetName val="Muro_K109+057016"/>
      <sheetName val="BOX_K16"/>
      <sheetName val="INFORME_SEMANAL13"/>
      <sheetName val="201_713"/>
      <sheetName val="211_113"/>
      <sheetName val="320_213"/>
      <sheetName val="330_113"/>
      <sheetName val="330_213"/>
      <sheetName val="411_213"/>
      <sheetName val="450_2P13"/>
      <sheetName val="450_9P13"/>
      <sheetName val="461_113"/>
      <sheetName val="465_113"/>
      <sheetName val="464_1P13"/>
      <sheetName val="600_213"/>
      <sheetName val="630_513"/>
      <sheetName val="630_613"/>
      <sheetName val="630_713"/>
      <sheetName val="681_113"/>
      <sheetName val="670_P13"/>
      <sheetName val="671_P13"/>
      <sheetName val="674_213"/>
      <sheetName val="450_3P13"/>
      <sheetName val="621_1P13"/>
      <sheetName val="610_2P13"/>
      <sheetName val="230_213"/>
      <sheetName val="230_2P13"/>
      <sheetName val="621_1-1P13"/>
      <sheetName val="621_1_2P13"/>
      <sheetName val="PESO_VARILLAS13"/>
      <sheetName val="210_1_112"/>
      <sheetName val="210_1_212"/>
      <sheetName val="210_2_112"/>
      <sheetName val="220_112"/>
      <sheetName val="420_112"/>
      <sheetName val="421_112"/>
      <sheetName val="630_4_112"/>
      <sheetName val="640_1_112"/>
      <sheetName val="4P_1_112"/>
      <sheetName val="671_112"/>
      <sheetName val="673P_112"/>
      <sheetName val="674p_212"/>
      <sheetName val="640_1_212"/>
      <sheetName val="640_1_412"/>
      <sheetName val="630_3_112"/>
      <sheetName val="700_112"/>
      <sheetName val="701_212"/>
      <sheetName val="710_112"/>
      <sheetName val="730_112"/>
      <sheetName val="TORTA_EST12"/>
      <sheetName val="Indicadores_Y_Listas12"/>
      <sheetName val="PROY_ORIGINAL23"/>
      <sheetName val="PU_(2)22"/>
      <sheetName val="COSTOS_UNITARIOS17"/>
      <sheetName val="TRAYECTO_117"/>
      <sheetName val="200P_117"/>
      <sheetName val="210_2_217"/>
      <sheetName val="320_117"/>
      <sheetName val="640_117"/>
      <sheetName val="500P_117"/>
      <sheetName val="500P_217"/>
      <sheetName val="600_117"/>
      <sheetName val="610_117"/>
      <sheetName val="630_417"/>
      <sheetName val="640P_217"/>
      <sheetName val="640_1_(2)17"/>
      <sheetName val="672P_117"/>
      <sheetName val="2P_117"/>
      <sheetName val="900_217"/>
      <sheetName val="materiales_de_insumo17"/>
      <sheetName val="jornales_y_prestaciones17"/>
      <sheetName val="210_117"/>
      <sheetName val="310_117"/>
      <sheetName val="600_417"/>
      <sheetName val="661_117"/>
      <sheetName val="673_117"/>
      <sheetName val="673_217"/>
      <sheetName val="673_317"/>
      <sheetName val="672_117"/>
      <sheetName val="3P_117"/>
      <sheetName val="3P_217"/>
      <sheetName val="6_1P17"/>
      <sheetName val="6_2P17"/>
      <sheetName val="6_4P17"/>
      <sheetName val="VALOR_ENSAYOS17"/>
      <sheetName val="resumen_preacta17"/>
      <sheetName val="Resalto_en_asfalto17"/>
      <sheetName val="Mat_fresado_para_ampliacion17"/>
      <sheetName val="Tuberia_filtro_D=6&quot;17"/>
      <sheetName val="Realce_de_bordillo17"/>
      <sheetName val="Remocion_tuberia_d=24&quot;17"/>
      <sheetName val="GRAVA_ATRAQUES_DE_ALCANTARILL17"/>
      <sheetName val="FORMATO_PREACTA17"/>
      <sheetName val="FORMATO_FECHA)17"/>
      <sheetName val="DESMONTE_LIMP_17"/>
      <sheetName val="REGISTRO_FOTOGRAFICO17"/>
      <sheetName val="S200_1_DESM__LIMP_B_17"/>
      <sheetName val="S200_2_DESM__LIMP__NB17"/>
      <sheetName val="S201_7_DEMO__ESTRUCTURAS17"/>
      <sheetName val="Remocion_alcantarillas_17"/>
      <sheetName val="Excav__Mat__Comun_17"/>
      <sheetName val="s201_15-remoción_de_alcantari17"/>
      <sheetName val="s210_2_2-Exc_de_expl17"/>
      <sheetName val="s210_2_1-Exc_en_roca17"/>
      <sheetName val="s211_1_REMOCION_DERR_17"/>
      <sheetName val="s220_1_Terraplenes17"/>
      <sheetName val="s221_1_Pedraplen17"/>
      <sheetName val="S900_3_TRANS__DERRUMBE17"/>
      <sheetName val="s231_1_Geotextil17"/>
      <sheetName val="S230_2_Mejora__de_la_Sub-Ra17"/>
      <sheetName val="S320_1_Sub_base17"/>
      <sheetName val="S330_1_BASE_GRANULAR17"/>
      <sheetName val="CONFM__DE_CALZADA_EXISTENTE17"/>
      <sheetName val="S310_1_Confor__calzada_existe17"/>
      <sheetName val="_S450_1_MEZCLA_MDC-117"/>
      <sheetName val="_S450_2MEZCLA_MDC-217"/>
      <sheetName val="S420_1_RIEGO_DE_IMPRIMACION_17"/>
      <sheetName val="S421_1_RIEGO_LIGA_CRR-117"/>
      <sheetName val="S460_1_FRESADO_17"/>
      <sheetName val="Excav__REPARACION_PAVIMENTO_17"/>
      <sheetName val="S465_1_EXC__PAV__ASFALTICO17"/>
      <sheetName val="S500_1_PAVIMENTO_CONCRETO17"/>
      <sheetName val="S510_1_PAVIMENTO_ADOQUIN17"/>
      <sheetName val="S600_1_EXCAV__VARIAS_17"/>
      <sheetName val="Relleno_Estructuras17"/>
      <sheetName val="eXCAVACIONES_VARIAS_EN_ROCA_17"/>
      <sheetName val="S600_2_EXCAV__ROCA17"/>
      <sheetName val="S610_1_Relleno_Estructuras17"/>
      <sheetName val="S623_1_Anclajes_17"/>
      <sheetName val="S623P1_Pantalla_Concreto17"/>
      <sheetName val="S630_3_Concretos_C17"/>
      <sheetName val="S630_4a_Concretos_D17"/>
      <sheetName val="S630_4b_Concretos_D17"/>
      <sheetName val="S630_6_CONCRETO_F17"/>
      <sheetName val="CONCRETO_G17"/>
      <sheetName val="S630_7_CONCRETO_G17"/>
      <sheetName val="s640_1_Acero_refuerzo17"/>
      <sheetName val="S642_13_Juntas_dilatacion17"/>
      <sheetName val="S644_2_Tuberia_PVC_4&quot;17"/>
      <sheetName val="_TUBERIA_36&quot;17"/>
      <sheetName val="S632_1_Baranda17"/>
      <sheetName val="_S661_1_TUBERIA_36&quot;_17"/>
      <sheetName val="S673_1_MAT__FILTRANTE17"/>
      <sheetName val="S673_2_GEOTEXTIL17"/>
      <sheetName val="TRANS__EXPLANACION17"/>
      <sheetName val="_S673_3_GEODREN_PLANAR_6&quot;17"/>
      <sheetName val="S681_1_GAVIONES17"/>
      <sheetName val="S700_1_Demarcacion17"/>
      <sheetName val="S700_2_Marca_víal17"/>
      <sheetName val="S701_1_tachas_reflectivas17"/>
      <sheetName val="S710_1_1_SEÑ_VERT__17"/>
      <sheetName val="S710_2_SEÑ_VERT_V17"/>
      <sheetName val="S710_1_2_SEÑ_VERT_17"/>
      <sheetName val="S730_1Defensas_17"/>
      <sheetName val="S800_2_CERCAS17"/>
      <sheetName val="S810_1_PROTECCION_TALUDES17"/>
      <sheetName val="S900_2Trans_explan17"/>
      <sheetName val="Tratamiento_fisuras17"/>
      <sheetName val="MARCAS_VIALES17"/>
      <sheetName val="Geomalla_con_fibra_de_vidrio17"/>
      <sheetName val="Anclajes_pasivos_4#617"/>
      <sheetName val="SNP1-geomalla_fibra_Vidrio17"/>
      <sheetName val="SNP2-geomalla_Biaxial17"/>
      <sheetName val="SNP3_concreto_3500_17"/>
      <sheetName val="SNP4_CEM__ASFALTICO17"/>
      <sheetName val="SNP5_MTTO_RUTINARIO17"/>
      <sheetName val="SNP6_Drenes17"/>
      <sheetName val="SNP7_Anclajes_pasivos_4#617"/>
      <sheetName val="SNP8_Anclajes_activos_2_Tor17"/>
      <sheetName val="SNP9_Anclajes_activos_4_Tor17"/>
      <sheetName val="SNP10_MATERIAL_3&quot;_TRIT17"/>
      <sheetName val="SNP11_Material_Relleno17"/>
      <sheetName val="SNP12_CUNETAS_3_00017"/>
      <sheetName val="SNP13_PARCHEO17"/>
      <sheetName val="SNP14_SELLO_JUNTAS17"/>
      <sheetName val="SNP15_Pilotes17"/>
      <sheetName val="SNP16_EXCAV__PAVIMENTO17"/>
      <sheetName val="SNP17_TRANS_BASE17"/>
      <sheetName val="SNP18_AFIRMADO_3&quot;17"/>
      <sheetName val="alcantarilla_K69+10317"/>
      <sheetName val="alcantarilla_K68+43717"/>
      <sheetName val="alcantarilla_K67+45517"/>
      <sheetName val="BOX_110+520_PUENTE_EL_VERDE17"/>
      <sheetName val="Muro_K99+070317"/>
      <sheetName val="MURO_K104+45417"/>
      <sheetName val="Muro_K109+057017"/>
      <sheetName val="BOX_K17"/>
      <sheetName val="INFORME_SEMANAL14"/>
      <sheetName val="201_714"/>
      <sheetName val="211_114"/>
      <sheetName val="320_214"/>
      <sheetName val="330_114"/>
      <sheetName val="330_214"/>
      <sheetName val="411_214"/>
      <sheetName val="450_2P14"/>
      <sheetName val="450_9P14"/>
      <sheetName val="461_114"/>
      <sheetName val="465_114"/>
      <sheetName val="464_1P14"/>
      <sheetName val="600_214"/>
      <sheetName val="630_514"/>
      <sheetName val="630_614"/>
      <sheetName val="630_714"/>
      <sheetName val="681_114"/>
      <sheetName val="670_P14"/>
      <sheetName val="671_P14"/>
      <sheetName val="674_214"/>
      <sheetName val="450_3P14"/>
      <sheetName val="621_1P14"/>
      <sheetName val="610_2P14"/>
      <sheetName val="230_214"/>
      <sheetName val="230_2P14"/>
      <sheetName val="621_1-1P14"/>
      <sheetName val="621_1_2P14"/>
      <sheetName val="PESO_VARILLAS14"/>
      <sheetName val="210_1_113"/>
      <sheetName val="210_1_213"/>
      <sheetName val="210_2_113"/>
      <sheetName val="220_113"/>
      <sheetName val="420_113"/>
      <sheetName val="421_113"/>
      <sheetName val="630_4_113"/>
      <sheetName val="640_1_113"/>
      <sheetName val="4P_1_113"/>
      <sheetName val="671_113"/>
      <sheetName val="673P_113"/>
      <sheetName val="674p_213"/>
      <sheetName val="640_1_213"/>
      <sheetName val="640_1_413"/>
      <sheetName val="630_3_113"/>
      <sheetName val="700_113"/>
      <sheetName val="701_213"/>
      <sheetName val="710_113"/>
      <sheetName val="730_113"/>
      <sheetName val="TORTA_EST13"/>
      <sheetName val="Indicadores_Y_Listas13"/>
      <sheetName val="PROY_ORIGINAL24"/>
      <sheetName val="PU_(2)23"/>
      <sheetName val="COSTOS_UNITARIOS18"/>
      <sheetName val="TRAYECTO_118"/>
      <sheetName val="200P_118"/>
      <sheetName val="210_2_218"/>
      <sheetName val="320_118"/>
      <sheetName val="640_118"/>
      <sheetName val="500P_118"/>
      <sheetName val="500P_218"/>
      <sheetName val="600_118"/>
      <sheetName val="610_118"/>
      <sheetName val="630_418"/>
      <sheetName val="640P_218"/>
      <sheetName val="640_1_(2)18"/>
      <sheetName val="672P_118"/>
      <sheetName val="2P_118"/>
      <sheetName val="900_218"/>
      <sheetName val="materiales_de_insumo18"/>
      <sheetName val="jornales_y_prestaciones18"/>
      <sheetName val="210_118"/>
      <sheetName val="310_118"/>
      <sheetName val="600_418"/>
      <sheetName val="661_118"/>
      <sheetName val="673_118"/>
      <sheetName val="673_218"/>
      <sheetName val="673_318"/>
      <sheetName val="672_118"/>
      <sheetName val="3P_118"/>
      <sheetName val="3P_218"/>
      <sheetName val="6_1P18"/>
      <sheetName val="6_2P18"/>
      <sheetName val="6_4P18"/>
      <sheetName val="VALOR_ENSAYOS18"/>
      <sheetName val="resumen_preacta18"/>
      <sheetName val="Resalto_en_asfalto18"/>
      <sheetName val="Mat_fresado_para_ampliacion18"/>
      <sheetName val="Tuberia_filtro_D=6&quot;18"/>
      <sheetName val="Realce_de_bordillo18"/>
      <sheetName val="Remocion_tuberia_d=24&quot;18"/>
      <sheetName val="GRAVA_ATRAQUES_DE_ALCANTARILL18"/>
      <sheetName val="FORMATO_PREACTA18"/>
      <sheetName val="FORMATO_FECHA)18"/>
      <sheetName val="DESMONTE_LIMP_18"/>
      <sheetName val="REGISTRO_FOTOGRAFICO18"/>
      <sheetName val="S200_1_DESM__LIMP_B_18"/>
      <sheetName val="S200_2_DESM__LIMP__NB18"/>
      <sheetName val="S201_7_DEMO__ESTRUCTURAS18"/>
      <sheetName val="Remocion_alcantarillas_18"/>
      <sheetName val="Excav__Mat__Comun_18"/>
      <sheetName val="s201_15-remoción_de_alcantari18"/>
      <sheetName val="s210_2_2-Exc_de_expl18"/>
      <sheetName val="s210_2_1-Exc_en_roca18"/>
      <sheetName val="s211_1_REMOCION_DERR_18"/>
      <sheetName val="s220_1_Terraplenes18"/>
      <sheetName val="s221_1_Pedraplen18"/>
      <sheetName val="S900_3_TRANS__DERRUMBE18"/>
      <sheetName val="s231_1_Geotextil18"/>
      <sheetName val="S230_2_Mejora__de_la_Sub-Ra18"/>
      <sheetName val="S320_1_Sub_base18"/>
      <sheetName val="S330_1_BASE_GRANULAR18"/>
      <sheetName val="CONFM__DE_CALZADA_EXISTENTE18"/>
      <sheetName val="S310_1_Confor__calzada_existe18"/>
      <sheetName val="_S450_1_MEZCLA_MDC-118"/>
      <sheetName val="_S450_2MEZCLA_MDC-218"/>
      <sheetName val="S420_1_RIEGO_DE_IMPRIMACION_18"/>
      <sheetName val="S421_1_RIEGO_LIGA_CRR-118"/>
      <sheetName val="S460_1_FRESADO_18"/>
      <sheetName val="Excav__REPARACION_PAVIMENTO_18"/>
      <sheetName val="S465_1_EXC__PAV__ASFALTICO18"/>
      <sheetName val="S500_1_PAVIMENTO_CONCRETO18"/>
      <sheetName val="S510_1_PAVIMENTO_ADOQUIN18"/>
      <sheetName val="S600_1_EXCAV__VARIAS_18"/>
      <sheetName val="Relleno_Estructuras18"/>
      <sheetName val="eXCAVACIONES_VARIAS_EN_ROCA_18"/>
      <sheetName val="S600_2_EXCAV__ROCA18"/>
      <sheetName val="S610_1_Relleno_Estructuras18"/>
      <sheetName val="S623_1_Anclajes_18"/>
      <sheetName val="S623P1_Pantalla_Concreto18"/>
      <sheetName val="S630_3_Concretos_C18"/>
      <sheetName val="S630_4a_Concretos_D18"/>
      <sheetName val="S630_4b_Concretos_D18"/>
      <sheetName val="S630_6_CONCRETO_F18"/>
      <sheetName val="CONCRETO_G18"/>
      <sheetName val="S630_7_CONCRETO_G18"/>
      <sheetName val="s640_1_Acero_refuerzo18"/>
      <sheetName val="S642_13_Juntas_dilatacion18"/>
      <sheetName val="S644_2_Tuberia_PVC_4&quot;18"/>
      <sheetName val="_TUBERIA_36&quot;18"/>
      <sheetName val="S632_1_Baranda18"/>
      <sheetName val="_S661_1_TUBERIA_36&quot;_18"/>
      <sheetName val="S673_1_MAT__FILTRANTE18"/>
      <sheetName val="S673_2_GEOTEXTIL18"/>
      <sheetName val="TRANS__EXPLANACION18"/>
      <sheetName val="_S673_3_GEODREN_PLANAR_6&quot;18"/>
      <sheetName val="S681_1_GAVIONES18"/>
      <sheetName val="S700_1_Demarcacion18"/>
      <sheetName val="S700_2_Marca_víal18"/>
      <sheetName val="S701_1_tachas_reflectivas18"/>
      <sheetName val="S710_1_1_SEÑ_VERT__18"/>
      <sheetName val="S710_2_SEÑ_VERT_V18"/>
      <sheetName val="S710_1_2_SEÑ_VERT_18"/>
      <sheetName val="S730_1Defensas_18"/>
      <sheetName val="S800_2_CERCAS18"/>
      <sheetName val="S810_1_PROTECCION_TALUDES18"/>
      <sheetName val="S900_2Trans_explan18"/>
      <sheetName val="Tratamiento_fisuras18"/>
      <sheetName val="MARCAS_VIALES18"/>
      <sheetName val="Geomalla_con_fibra_de_vidrio18"/>
      <sheetName val="Anclajes_pasivos_4#618"/>
      <sheetName val="SNP1-geomalla_fibra_Vidrio18"/>
      <sheetName val="SNP2-geomalla_Biaxial18"/>
      <sheetName val="SNP3_concreto_3500_18"/>
      <sheetName val="SNP4_CEM__ASFALTICO18"/>
      <sheetName val="SNP5_MTTO_RUTINARIO18"/>
      <sheetName val="SNP6_Drenes18"/>
      <sheetName val="SNP7_Anclajes_pasivos_4#618"/>
      <sheetName val="SNP8_Anclajes_activos_2_Tor18"/>
      <sheetName val="SNP9_Anclajes_activos_4_Tor18"/>
      <sheetName val="SNP10_MATERIAL_3&quot;_TRIT18"/>
      <sheetName val="SNP11_Material_Relleno18"/>
      <sheetName val="SNP12_CUNETAS_3_00018"/>
      <sheetName val="SNP13_PARCHEO18"/>
      <sheetName val="SNP14_SELLO_JUNTAS18"/>
      <sheetName val="SNP15_Pilotes18"/>
      <sheetName val="SNP16_EXCAV__PAVIMENTO18"/>
      <sheetName val="SNP17_TRANS_BASE18"/>
      <sheetName val="SNP18_AFIRMADO_3&quot;18"/>
      <sheetName val="alcantarilla_K69+10318"/>
      <sheetName val="alcantarilla_K68+43718"/>
      <sheetName val="alcantarilla_K67+45518"/>
      <sheetName val="BOX_110+520_PUENTE_EL_VERDE18"/>
      <sheetName val="Muro_K99+070318"/>
      <sheetName val="MURO_K104+45418"/>
      <sheetName val="Muro_K109+057018"/>
      <sheetName val="BOX_K18"/>
      <sheetName val="INFORME_SEMANAL15"/>
      <sheetName val="201_715"/>
      <sheetName val="211_115"/>
      <sheetName val="320_215"/>
      <sheetName val="330_115"/>
      <sheetName val="330_215"/>
      <sheetName val="411_215"/>
      <sheetName val="450_2P15"/>
      <sheetName val="450_9P15"/>
      <sheetName val="461_115"/>
      <sheetName val="465_115"/>
      <sheetName val="464_1P15"/>
      <sheetName val="600_215"/>
      <sheetName val="630_515"/>
      <sheetName val="630_615"/>
      <sheetName val="630_715"/>
      <sheetName val="681_115"/>
      <sheetName val="670_P15"/>
      <sheetName val="671_P15"/>
      <sheetName val="674_215"/>
      <sheetName val="450_3P15"/>
      <sheetName val="621_1P15"/>
      <sheetName val="610_2P15"/>
      <sheetName val="230_215"/>
      <sheetName val="230_2P15"/>
      <sheetName val="621_1-1P15"/>
      <sheetName val="621_1_2P15"/>
      <sheetName val="PESO_VARILLAS15"/>
      <sheetName val="210_1_114"/>
      <sheetName val="210_1_214"/>
      <sheetName val="210_2_114"/>
      <sheetName val="220_114"/>
      <sheetName val="420_114"/>
      <sheetName val="421_114"/>
      <sheetName val="630_4_114"/>
      <sheetName val="640_1_114"/>
      <sheetName val="4P_1_114"/>
      <sheetName val="671_114"/>
      <sheetName val="673P_114"/>
      <sheetName val="674p_214"/>
      <sheetName val="640_1_214"/>
      <sheetName val="640_1_414"/>
      <sheetName val="630_3_114"/>
      <sheetName val="700_114"/>
      <sheetName val="701_214"/>
      <sheetName val="710_114"/>
      <sheetName val="730_114"/>
      <sheetName val="TORTA_EST14"/>
      <sheetName val="Indicadores_Y_Listas14"/>
      <sheetName val="PROY_ORIGINAL25"/>
      <sheetName val="PU_(2)24"/>
      <sheetName val="COSTOS_UNITARIOS19"/>
      <sheetName val="TRAYECTO_119"/>
      <sheetName val="200P_119"/>
      <sheetName val="210_2_219"/>
      <sheetName val="320_119"/>
      <sheetName val="640_119"/>
      <sheetName val="500P_119"/>
      <sheetName val="500P_219"/>
      <sheetName val="600_119"/>
      <sheetName val="610_119"/>
      <sheetName val="630_419"/>
      <sheetName val="640P_219"/>
      <sheetName val="640_1_(2)19"/>
      <sheetName val="672P_119"/>
      <sheetName val="2P_119"/>
      <sheetName val="900_219"/>
      <sheetName val="materiales_de_insumo19"/>
      <sheetName val="jornales_y_prestaciones19"/>
      <sheetName val="210_119"/>
      <sheetName val="310_119"/>
      <sheetName val="600_419"/>
      <sheetName val="661_119"/>
      <sheetName val="673_119"/>
      <sheetName val="673_219"/>
      <sheetName val="673_319"/>
      <sheetName val="672_119"/>
      <sheetName val="3P_119"/>
      <sheetName val="3P_219"/>
      <sheetName val="6_1P19"/>
      <sheetName val="6_2P19"/>
      <sheetName val="6_4P19"/>
      <sheetName val="VALOR_ENSAYOS19"/>
      <sheetName val="resumen_preacta19"/>
      <sheetName val="Resalto_en_asfalto19"/>
      <sheetName val="Mat_fresado_para_ampliacion19"/>
      <sheetName val="Tuberia_filtro_D=6&quot;19"/>
      <sheetName val="Realce_de_bordillo19"/>
      <sheetName val="Remocion_tuberia_d=24&quot;19"/>
      <sheetName val="GRAVA_ATRAQUES_DE_ALCANTARILL19"/>
      <sheetName val="FORMATO_PREACTA19"/>
      <sheetName val="FORMATO_FECHA)19"/>
      <sheetName val="DESMONTE_LIMP_19"/>
      <sheetName val="REGISTRO_FOTOGRAFICO19"/>
      <sheetName val="S200_1_DESM__LIMP_B_19"/>
      <sheetName val="S200_2_DESM__LIMP__NB19"/>
      <sheetName val="S201_7_DEMO__ESTRUCTURAS19"/>
      <sheetName val="Remocion_alcantarillas_19"/>
      <sheetName val="Excav__Mat__Comun_19"/>
      <sheetName val="s201_15-remoción_de_alcantari19"/>
      <sheetName val="s210_2_2-Exc_de_expl19"/>
      <sheetName val="s210_2_1-Exc_en_roca19"/>
      <sheetName val="s211_1_REMOCION_DERR_19"/>
      <sheetName val="s220_1_Terraplenes19"/>
      <sheetName val="s221_1_Pedraplen19"/>
      <sheetName val="S900_3_TRANS__DERRUMBE19"/>
      <sheetName val="s231_1_Geotextil19"/>
      <sheetName val="S230_2_Mejora__de_la_Sub-Ra19"/>
      <sheetName val="S320_1_Sub_base19"/>
      <sheetName val="S330_1_BASE_GRANULAR19"/>
      <sheetName val="CONFM__DE_CALZADA_EXISTENTE19"/>
      <sheetName val="S310_1_Confor__calzada_existe19"/>
      <sheetName val="_S450_1_MEZCLA_MDC-119"/>
      <sheetName val="_S450_2MEZCLA_MDC-219"/>
      <sheetName val="S420_1_RIEGO_DE_IMPRIMACION_19"/>
      <sheetName val="S421_1_RIEGO_LIGA_CRR-119"/>
      <sheetName val="S460_1_FRESADO_19"/>
      <sheetName val="Excav__REPARACION_PAVIMENTO_19"/>
      <sheetName val="S465_1_EXC__PAV__ASFALTICO19"/>
      <sheetName val="S500_1_PAVIMENTO_CONCRETO19"/>
      <sheetName val="S510_1_PAVIMENTO_ADOQUIN19"/>
      <sheetName val="S600_1_EXCAV__VARIAS_19"/>
      <sheetName val="Relleno_Estructuras19"/>
      <sheetName val="eXCAVACIONES_VARIAS_EN_ROCA_19"/>
      <sheetName val="S600_2_EXCAV__ROCA19"/>
      <sheetName val="S610_1_Relleno_Estructuras19"/>
      <sheetName val="S623_1_Anclajes_19"/>
      <sheetName val="S623P1_Pantalla_Concreto19"/>
      <sheetName val="S630_3_Concretos_C19"/>
      <sheetName val="S630_4a_Concretos_D19"/>
      <sheetName val="S630_4b_Concretos_D19"/>
      <sheetName val="S630_6_CONCRETO_F19"/>
      <sheetName val="CONCRETO_G19"/>
      <sheetName val="S630_7_CONCRETO_G19"/>
      <sheetName val="s640_1_Acero_refuerzo19"/>
      <sheetName val="S642_13_Juntas_dilatacion19"/>
      <sheetName val="S644_2_Tuberia_PVC_4&quot;19"/>
      <sheetName val="_TUBERIA_36&quot;19"/>
      <sheetName val="S632_1_Baranda19"/>
      <sheetName val="_S661_1_TUBERIA_36&quot;_19"/>
      <sheetName val="S673_1_MAT__FILTRANTE19"/>
      <sheetName val="S673_2_GEOTEXTIL19"/>
      <sheetName val="TRANS__EXPLANACION19"/>
      <sheetName val="_S673_3_GEODREN_PLANAR_6&quot;19"/>
      <sheetName val="S681_1_GAVIONES19"/>
      <sheetName val="S700_1_Demarcacion19"/>
      <sheetName val="S700_2_Marca_víal19"/>
      <sheetName val="S701_1_tachas_reflectivas19"/>
      <sheetName val="S710_1_1_SEÑ_VERT__19"/>
      <sheetName val="S710_2_SEÑ_VERT_V19"/>
      <sheetName val="S710_1_2_SEÑ_VERT_19"/>
      <sheetName val="S730_1Defensas_19"/>
      <sheetName val="S800_2_CERCAS19"/>
      <sheetName val="S810_1_PROTECCION_TALUDES19"/>
      <sheetName val="S900_2Trans_explan19"/>
      <sheetName val="Tratamiento_fisuras19"/>
      <sheetName val="MARCAS_VIALES19"/>
      <sheetName val="Geomalla_con_fibra_de_vidrio19"/>
      <sheetName val="Anclajes_pasivos_4#619"/>
      <sheetName val="SNP1-geomalla_fibra_Vidrio19"/>
      <sheetName val="SNP2-geomalla_Biaxial19"/>
      <sheetName val="SNP3_concreto_3500_19"/>
      <sheetName val="SNP4_CEM__ASFALTICO19"/>
      <sheetName val="SNP5_MTTO_RUTINARIO19"/>
      <sheetName val="SNP6_Drenes19"/>
      <sheetName val="SNP7_Anclajes_pasivos_4#619"/>
      <sheetName val="SNP8_Anclajes_activos_2_Tor19"/>
      <sheetName val="SNP9_Anclajes_activos_4_Tor19"/>
      <sheetName val="SNP10_MATERIAL_3&quot;_TRIT19"/>
      <sheetName val="SNP11_Material_Relleno19"/>
      <sheetName val="SNP12_CUNETAS_3_00019"/>
      <sheetName val="SNP13_PARCHEO19"/>
      <sheetName val="SNP14_SELLO_JUNTAS19"/>
      <sheetName val="SNP15_Pilotes19"/>
      <sheetName val="SNP16_EXCAV__PAVIMENTO19"/>
      <sheetName val="SNP17_TRANS_BASE19"/>
      <sheetName val="SNP18_AFIRMADO_3&quot;19"/>
      <sheetName val="alcantarilla_K69+10319"/>
      <sheetName val="alcantarilla_K68+43719"/>
      <sheetName val="alcantarilla_K67+45519"/>
      <sheetName val="BOX_110+520_PUENTE_EL_VERDE19"/>
      <sheetName val="Muro_K99+070319"/>
      <sheetName val="MURO_K104+45419"/>
      <sheetName val="Muro_K109+057019"/>
      <sheetName val="BOX_K19"/>
      <sheetName val="INFORME_SEMANAL16"/>
      <sheetName val="201_716"/>
      <sheetName val="211_116"/>
      <sheetName val="320_216"/>
      <sheetName val="330_116"/>
      <sheetName val="330_216"/>
      <sheetName val="411_216"/>
      <sheetName val="450_2P16"/>
      <sheetName val="450_9P16"/>
      <sheetName val="461_116"/>
      <sheetName val="465_116"/>
      <sheetName val="464_1P16"/>
      <sheetName val="600_216"/>
      <sheetName val="630_516"/>
      <sheetName val="630_616"/>
      <sheetName val="630_716"/>
      <sheetName val="681_116"/>
      <sheetName val="670_P16"/>
      <sheetName val="671_P16"/>
      <sheetName val="674_216"/>
      <sheetName val="450_3P16"/>
      <sheetName val="621_1P16"/>
      <sheetName val="610_2P16"/>
      <sheetName val="230_216"/>
      <sheetName val="230_2P16"/>
      <sheetName val="621_1-1P16"/>
      <sheetName val="621_1_2P16"/>
      <sheetName val="PESO_VARILLAS16"/>
      <sheetName val="210_1_115"/>
      <sheetName val="210_1_215"/>
      <sheetName val="210_2_115"/>
      <sheetName val="220_115"/>
      <sheetName val="420_115"/>
      <sheetName val="421_115"/>
      <sheetName val="630_4_115"/>
      <sheetName val="640_1_115"/>
      <sheetName val="4P_1_115"/>
      <sheetName val="671_115"/>
      <sheetName val="673P_115"/>
      <sheetName val="674p_215"/>
      <sheetName val="640_1_215"/>
      <sheetName val="640_1_415"/>
      <sheetName val="630_3_115"/>
      <sheetName val="700_115"/>
      <sheetName val="701_215"/>
      <sheetName val="710_115"/>
      <sheetName val="730_115"/>
      <sheetName val="TORTA_EST15"/>
      <sheetName val="Indicadores_Y_Listas15"/>
      <sheetName val="PROY_ORIGINAL27"/>
      <sheetName val="PU_(2)26"/>
      <sheetName val="COSTOS_UNITARIOS21"/>
      <sheetName val="TRAYECTO_121"/>
      <sheetName val="200P_121"/>
      <sheetName val="210_2_221"/>
      <sheetName val="320_121"/>
      <sheetName val="640_121"/>
      <sheetName val="500P_121"/>
      <sheetName val="500P_221"/>
      <sheetName val="600_121"/>
      <sheetName val="610_121"/>
      <sheetName val="630_421"/>
      <sheetName val="640P_221"/>
      <sheetName val="640_1_(2)21"/>
      <sheetName val="672P_121"/>
      <sheetName val="2P_121"/>
      <sheetName val="900_221"/>
      <sheetName val="materiales_de_insumo21"/>
      <sheetName val="jornales_y_prestaciones21"/>
      <sheetName val="210_121"/>
      <sheetName val="310_121"/>
      <sheetName val="600_421"/>
      <sheetName val="661_121"/>
      <sheetName val="673_121"/>
      <sheetName val="673_221"/>
      <sheetName val="673_321"/>
      <sheetName val="672_121"/>
      <sheetName val="3P_121"/>
      <sheetName val="3P_221"/>
      <sheetName val="6_1P21"/>
      <sheetName val="6_2P21"/>
      <sheetName val="6_4P21"/>
      <sheetName val="VALOR_ENSAYOS21"/>
      <sheetName val="resumen_preacta21"/>
      <sheetName val="Resalto_en_asfalto21"/>
      <sheetName val="Mat_fresado_para_ampliacion21"/>
      <sheetName val="Tuberia_filtro_D=6&quot;21"/>
      <sheetName val="Realce_de_bordillo21"/>
      <sheetName val="Remocion_tuberia_d=24&quot;21"/>
      <sheetName val="GRAVA_ATRAQUES_DE_ALCANTARILL21"/>
      <sheetName val="FORMATO_PREACTA21"/>
      <sheetName val="FORMATO_FECHA)21"/>
      <sheetName val="DESMONTE_LIMP_21"/>
      <sheetName val="REGISTRO_FOTOGRAFICO21"/>
      <sheetName val="S200_1_DESM__LIMP_B_21"/>
      <sheetName val="S200_2_DESM__LIMP__NB21"/>
      <sheetName val="S201_7_DEMO__ESTRUCTURAS21"/>
      <sheetName val="Remocion_alcantarillas_21"/>
      <sheetName val="Excav__Mat__Comun_21"/>
      <sheetName val="s201_15-remoción_de_alcantari21"/>
      <sheetName val="s210_2_2-Exc_de_expl21"/>
      <sheetName val="s210_2_1-Exc_en_roca21"/>
      <sheetName val="s211_1_REMOCION_DERR_21"/>
      <sheetName val="s220_1_Terraplenes21"/>
      <sheetName val="s221_1_Pedraplen21"/>
      <sheetName val="S900_3_TRANS__DERRUMBE21"/>
      <sheetName val="s231_1_Geotextil21"/>
      <sheetName val="S230_2_Mejora__de_la_Sub-Ra21"/>
      <sheetName val="S320_1_Sub_base21"/>
      <sheetName val="S330_1_BASE_GRANULAR21"/>
      <sheetName val="CONFM__DE_CALZADA_EXISTENTE21"/>
      <sheetName val="S310_1_Confor__calzada_existe21"/>
      <sheetName val="_S450_1_MEZCLA_MDC-121"/>
      <sheetName val="_S450_2MEZCLA_MDC-221"/>
      <sheetName val="S420_1_RIEGO_DE_IMPRIMACION_21"/>
      <sheetName val="S421_1_RIEGO_LIGA_CRR-121"/>
      <sheetName val="S460_1_FRESADO_21"/>
      <sheetName val="Excav__REPARACION_PAVIMENTO_21"/>
      <sheetName val="S465_1_EXC__PAV__ASFALTICO21"/>
      <sheetName val="S500_1_PAVIMENTO_CONCRETO21"/>
      <sheetName val="S510_1_PAVIMENTO_ADOQUIN21"/>
      <sheetName val="S600_1_EXCAV__VARIAS_21"/>
      <sheetName val="Relleno_Estructuras21"/>
      <sheetName val="eXCAVACIONES_VARIAS_EN_ROCA_21"/>
      <sheetName val="S600_2_EXCAV__ROCA21"/>
      <sheetName val="S610_1_Relleno_Estructuras21"/>
      <sheetName val="S623_1_Anclajes_21"/>
      <sheetName val="S623P1_Pantalla_Concreto21"/>
      <sheetName val="S630_3_Concretos_C21"/>
      <sheetName val="S630_4a_Concretos_D21"/>
      <sheetName val="S630_4b_Concretos_D21"/>
      <sheetName val="S630_6_CONCRETO_F21"/>
      <sheetName val="CONCRETO_G21"/>
      <sheetName val="S630_7_CONCRETO_G21"/>
      <sheetName val="s640_1_Acero_refuerzo21"/>
      <sheetName val="S642_13_Juntas_dilatacion21"/>
      <sheetName val="S644_2_Tuberia_PVC_4&quot;21"/>
      <sheetName val="_TUBERIA_36&quot;21"/>
      <sheetName val="S632_1_Baranda21"/>
      <sheetName val="_S661_1_TUBERIA_36&quot;_21"/>
      <sheetName val="S673_1_MAT__FILTRANTE21"/>
      <sheetName val="S673_2_GEOTEXTIL21"/>
      <sheetName val="TRANS__EXPLANACION21"/>
      <sheetName val="_S673_3_GEODREN_PLANAR_6&quot;21"/>
      <sheetName val="S681_1_GAVIONES21"/>
      <sheetName val="S700_1_Demarcacion21"/>
      <sheetName val="S700_2_Marca_víal21"/>
      <sheetName val="S701_1_tachas_reflectivas21"/>
      <sheetName val="S710_1_1_SEÑ_VERT__21"/>
      <sheetName val="S710_2_SEÑ_VERT_V21"/>
      <sheetName val="S710_1_2_SEÑ_VERT_21"/>
      <sheetName val="S730_1Defensas_21"/>
      <sheetName val="S800_2_CERCAS21"/>
      <sheetName val="S810_1_PROTECCION_TALUDES21"/>
      <sheetName val="S900_2Trans_explan21"/>
      <sheetName val="Tratamiento_fisuras21"/>
      <sheetName val="MARCAS_VIALES21"/>
      <sheetName val="Geomalla_con_fibra_de_vidrio21"/>
      <sheetName val="Anclajes_pasivos_4#621"/>
      <sheetName val="SNP1-geomalla_fibra_Vidrio21"/>
      <sheetName val="SNP2-geomalla_Biaxial21"/>
      <sheetName val="SNP3_concreto_3500_21"/>
      <sheetName val="SNP4_CEM__ASFALTICO21"/>
      <sheetName val="SNP5_MTTO_RUTINARIO21"/>
      <sheetName val="SNP6_Drenes21"/>
      <sheetName val="SNP7_Anclajes_pasivos_4#621"/>
      <sheetName val="SNP8_Anclajes_activos_2_Tor21"/>
      <sheetName val="SNP9_Anclajes_activos_4_Tor21"/>
      <sheetName val="SNP10_MATERIAL_3&quot;_TRIT21"/>
      <sheetName val="SNP11_Material_Relleno21"/>
      <sheetName val="SNP12_CUNETAS_3_00021"/>
      <sheetName val="SNP13_PARCHEO21"/>
      <sheetName val="SNP14_SELLO_JUNTAS21"/>
      <sheetName val="SNP15_Pilotes21"/>
      <sheetName val="SNP16_EXCAV__PAVIMENTO21"/>
      <sheetName val="SNP17_TRANS_BASE21"/>
      <sheetName val="SNP18_AFIRMADO_3&quot;21"/>
      <sheetName val="alcantarilla_K69+10321"/>
      <sheetName val="alcantarilla_K68+43721"/>
      <sheetName val="alcantarilla_K67+45521"/>
      <sheetName val="BOX_110+520_PUENTE_EL_VERDE21"/>
      <sheetName val="Muro_K99+070321"/>
      <sheetName val="MURO_K104+45421"/>
      <sheetName val="Muro_K109+057021"/>
      <sheetName val="BOX_K21"/>
      <sheetName val="INFORME_SEMANAL18"/>
      <sheetName val="201_718"/>
      <sheetName val="211_118"/>
      <sheetName val="320_218"/>
      <sheetName val="330_118"/>
      <sheetName val="330_218"/>
      <sheetName val="411_218"/>
      <sheetName val="450_2P18"/>
      <sheetName val="450_9P18"/>
      <sheetName val="461_118"/>
      <sheetName val="465_118"/>
      <sheetName val="464_1P18"/>
      <sheetName val="600_218"/>
      <sheetName val="630_518"/>
      <sheetName val="630_618"/>
      <sheetName val="630_718"/>
      <sheetName val="681_118"/>
      <sheetName val="670_P18"/>
      <sheetName val="671_P18"/>
      <sheetName val="674_218"/>
      <sheetName val="450_3P18"/>
      <sheetName val="621_1P18"/>
      <sheetName val="610_2P18"/>
      <sheetName val="230_218"/>
      <sheetName val="230_2P18"/>
      <sheetName val="621_1-1P18"/>
      <sheetName val="621_1_2P18"/>
      <sheetName val="PESO_VARILLAS18"/>
      <sheetName val="210_1_117"/>
      <sheetName val="210_1_217"/>
      <sheetName val="210_2_117"/>
      <sheetName val="220_117"/>
      <sheetName val="420_117"/>
      <sheetName val="421_117"/>
      <sheetName val="630_4_117"/>
      <sheetName val="640_1_117"/>
      <sheetName val="4P_1_117"/>
      <sheetName val="671_117"/>
      <sheetName val="673P_117"/>
      <sheetName val="674p_217"/>
      <sheetName val="640_1_217"/>
      <sheetName val="640_1_417"/>
      <sheetName val="630_3_117"/>
      <sheetName val="700_117"/>
      <sheetName val="701_217"/>
      <sheetName val="710_117"/>
      <sheetName val="730_117"/>
      <sheetName val="TORTA_EST17"/>
      <sheetName val="Indicadores_Y_Listas17"/>
      <sheetName val="PROY_ORIGINAL26"/>
      <sheetName val="PU_(2)25"/>
      <sheetName val="COSTOS_UNITARIOS20"/>
      <sheetName val="TRAYECTO_120"/>
      <sheetName val="200P_120"/>
      <sheetName val="210_2_220"/>
      <sheetName val="320_120"/>
      <sheetName val="640_120"/>
      <sheetName val="500P_120"/>
      <sheetName val="500P_220"/>
      <sheetName val="600_120"/>
      <sheetName val="610_120"/>
      <sheetName val="630_420"/>
      <sheetName val="640P_220"/>
      <sheetName val="640_1_(2)20"/>
      <sheetName val="672P_120"/>
      <sheetName val="2P_120"/>
      <sheetName val="900_220"/>
      <sheetName val="materiales_de_insumo20"/>
      <sheetName val="jornales_y_prestaciones20"/>
      <sheetName val="210_120"/>
      <sheetName val="310_120"/>
      <sheetName val="600_420"/>
      <sheetName val="661_120"/>
      <sheetName val="673_120"/>
      <sheetName val="673_220"/>
      <sheetName val="673_320"/>
      <sheetName val="672_120"/>
      <sheetName val="3P_120"/>
      <sheetName val="3P_220"/>
      <sheetName val="6_1P20"/>
      <sheetName val="6_2P20"/>
      <sheetName val="6_4P20"/>
      <sheetName val="VALOR_ENSAYOS20"/>
      <sheetName val="resumen_preacta20"/>
      <sheetName val="Resalto_en_asfalto20"/>
      <sheetName val="Mat_fresado_para_ampliacion20"/>
      <sheetName val="Tuberia_filtro_D=6&quot;20"/>
      <sheetName val="Realce_de_bordillo20"/>
      <sheetName val="Remocion_tuberia_d=24&quot;20"/>
      <sheetName val="GRAVA_ATRAQUES_DE_ALCANTARILL20"/>
      <sheetName val="FORMATO_PREACTA20"/>
      <sheetName val="FORMATO_FECHA)20"/>
      <sheetName val="DESMONTE_LIMP_20"/>
      <sheetName val="REGISTRO_FOTOGRAFICO20"/>
      <sheetName val="S200_1_DESM__LIMP_B_20"/>
      <sheetName val="S200_2_DESM__LIMP__NB20"/>
      <sheetName val="S201_7_DEMO__ESTRUCTURAS20"/>
      <sheetName val="Remocion_alcantarillas_20"/>
      <sheetName val="Excav__Mat__Comun_20"/>
      <sheetName val="s201_15-remoción_de_alcantari20"/>
      <sheetName val="s210_2_2-Exc_de_expl20"/>
      <sheetName val="s210_2_1-Exc_en_roca20"/>
      <sheetName val="s211_1_REMOCION_DERR_20"/>
      <sheetName val="s220_1_Terraplenes20"/>
      <sheetName val="s221_1_Pedraplen20"/>
      <sheetName val="S900_3_TRANS__DERRUMBE20"/>
      <sheetName val="s231_1_Geotextil20"/>
      <sheetName val="S230_2_Mejora__de_la_Sub-Ra20"/>
      <sheetName val="S320_1_Sub_base20"/>
      <sheetName val="S330_1_BASE_GRANULAR20"/>
      <sheetName val="CONFM__DE_CALZADA_EXISTENTE20"/>
      <sheetName val="S310_1_Confor__calzada_existe20"/>
      <sheetName val="_S450_1_MEZCLA_MDC-120"/>
      <sheetName val="_S450_2MEZCLA_MDC-220"/>
      <sheetName val="S420_1_RIEGO_DE_IMPRIMACION_20"/>
      <sheetName val="S421_1_RIEGO_LIGA_CRR-120"/>
      <sheetName val="S460_1_FRESADO_20"/>
      <sheetName val="Excav__REPARACION_PAVIMENTO_20"/>
      <sheetName val="S465_1_EXC__PAV__ASFALTICO20"/>
      <sheetName val="S500_1_PAVIMENTO_CONCRETO20"/>
      <sheetName val="S510_1_PAVIMENTO_ADOQUIN20"/>
      <sheetName val="S600_1_EXCAV__VARIAS_20"/>
      <sheetName val="Relleno_Estructuras20"/>
      <sheetName val="eXCAVACIONES_VARIAS_EN_ROCA_20"/>
      <sheetName val="S600_2_EXCAV__ROCA20"/>
      <sheetName val="S610_1_Relleno_Estructuras20"/>
      <sheetName val="S623_1_Anclajes_20"/>
      <sheetName val="S623P1_Pantalla_Concreto20"/>
      <sheetName val="S630_3_Concretos_C20"/>
      <sheetName val="S630_4a_Concretos_D20"/>
      <sheetName val="S630_4b_Concretos_D20"/>
      <sheetName val="S630_6_CONCRETO_F20"/>
      <sheetName val="CONCRETO_G20"/>
      <sheetName val="S630_7_CONCRETO_G20"/>
      <sheetName val="s640_1_Acero_refuerzo20"/>
      <sheetName val="S642_13_Juntas_dilatacion20"/>
      <sheetName val="S644_2_Tuberia_PVC_4&quot;20"/>
      <sheetName val="_TUBERIA_36&quot;20"/>
      <sheetName val="S632_1_Baranda20"/>
      <sheetName val="_S661_1_TUBERIA_36&quot;_20"/>
      <sheetName val="S673_1_MAT__FILTRANTE20"/>
      <sheetName val="S673_2_GEOTEXTIL20"/>
      <sheetName val="TRANS__EXPLANACION20"/>
      <sheetName val="_S673_3_GEODREN_PLANAR_6&quot;20"/>
      <sheetName val="S681_1_GAVIONES20"/>
      <sheetName val="S700_1_Demarcacion20"/>
      <sheetName val="S700_2_Marca_víal20"/>
      <sheetName val="S701_1_tachas_reflectivas20"/>
      <sheetName val="S710_1_1_SEÑ_VERT__20"/>
      <sheetName val="S710_2_SEÑ_VERT_V20"/>
      <sheetName val="S710_1_2_SEÑ_VERT_20"/>
      <sheetName val="S730_1Defensas_20"/>
      <sheetName val="S800_2_CERCAS20"/>
      <sheetName val="S810_1_PROTECCION_TALUDES20"/>
      <sheetName val="S900_2Trans_explan20"/>
      <sheetName val="Tratamiento_fisuras20"/>
      <sheetName val="MARCAS_VIALES20"/>
      <sheetName val="Geomalla_con_fibra_de_vidrio20"/>
      <sheetName val="Anclajes_pasivos_4#620"/>
      <sheetName val="SNP1-geomalla_fibra_Vidrio20"/>
      <sheetName val="SNP2-geomalla_Biaxial20"/>
      <sheetName val="SNP3_concreto_3500_20"/>
      <sheetName val="SNP4_CEM__ASFALTICO20"/>
      <sheetName val="SNP5_MTTO_RUTINARIO20"/>
      <sheetName val="SNP6_Drenes20"/>
      <sheetName val="SNP7_Anclajes_pasivos_4#620"/>
      <sheetName val="SNP8_Anclajes_activos_2_Tor20"/>
      <sheetName val="SNP9_Anclajes_activos_4_Tor20"/>
      <sheetName val="SNP10_MATERIAL_3&quot;_TRIT20"/>
      <sheetName val="SNP11_Material_Relleno20"/>
      <sheetName val="SNP12_CUNETAS_3_00020"/>
      <sheetName val="SNP13_PARCHEO20"/>
      <sheetName val="SNP14_SELLO_JUNTAS20"/>
      <sheetName val="SNP15_Pilotes20"/>
      <sheetName val="SNP16_EXCAV__PAVIMENTO20"/>
      <sheetName val="SNP17_TRANS_BASE20"/>
      <sheetName val="SNP18_AFIRMADO_3&quot;20"/>
      <sheetName val="alcantarilla_K69+10320"/>
      <sheetName val="alcantarilla_K68+43720"/>
      <sheetName val="alcantarilla_K67+45520"/>
      <sheetName val="BOX_110+520_PUENTE_EL_VERDE20"/>
      <sheetName val="Muro_K99+070320"/>
      <sheetName val="MURO_K104+45420"/>
      <sheetName val="Muro_K109+057020"/>
      <sheetName val="BOX_K20"/>
      <sheetName val="INFORME_SEMANAL17"/>
      <sheetName val="201_717"/>
      <sheetName val="211_117"/>
      <sheetName val="320_217"/>
      <sheetName val="330_117"/>
      <sheetName val="330_217"/>
      <sheetName val="411_217"/>
      <sheetName val="450_2P17"/>
      <sheetName val="450_9P17"/>
      <sheetName val="461_117"/>
      <sheetName val="465_117"/>
      <sheetName val="464_1P17"/>
      <sheetName val="600_217"/>
      <sheetName val="630_517"/>
      <sheetName val="630_617"/>
      <sheetName val="630_717"/>
      <sheetName val="681_117"/>
      <sheetName val="670_P17"/>
      <sheetName val="671_P17"/>
      <sheetName val="674_217"/>
      <sheetName val="450_3P17"/>
      <sheetName val="621_1P17"/>
      <sheetName val="610_2P17"/>
      <sheetName val="230_217"/>
      <sheetName val="230_2P17"/>
      <sheetName val="621_1-1P17"/>
      <sheetName val="621_1_2P17"/>
      <sheetName val="PESO_VARILLAS17"/>
      <sheetName val="210_1_116"/>
      <sheetName val="210_1_216"/>
      <sheetName val="210_2_116"/>
      <sheetName val="220_116"/>
      <sheetName val="420_116"/>
      <sheetName val="421_116"/>
      <sheetName val="630_4_116"/>
      <sheetName val="640_1_116"/>
      <sheetName val="4P_1_116"/>
      <sheetName val="671_116"/>
      <sheetName val="673P_116"/>
      <sheetName val="674p_216"/>
      <sheetName val="640_1_216"/>
      <sheetName val="640_1_416"/>
      <sheetName val="630_3_116"/>
      <sheetName val="700_116"/>
      <sheetName val="701_216"/>
      <sheetName val="710_116"/>
      <sheetName val="730_116"/>
      <sheetName val="TORTA_EST16"/>
      <sheetName val="Indicadores_Y_Listas16"/>
      <sheetName val="PROY_ORIGINAL28"/>
      <sheetName val="PU_(2)27"/>
      <sheetName val="COSTOS_UNITARIOS22"/>
      <sheetName val="TRAYECTO_122"/>
      <sheetName val="200P_122"/>
      <sheetName val="210_2_222"/>
      <sheetName val="320_122"/>
      <sheetName val="640_122"/>
      <sheetName val="500P_122"/>
      <sheetName val="500P_222"/>
      <sheetName val="600_122"/>
      <sheetName val="610_122"/>
      <sheetName val="630_422"/>
      <sheetName val="640P_222"/>
      <sheetName val="640_1_(2)22"/>
      <sheetName val="672P_122"/>
      <sheetName val="2P_122"/>
      <sheetName val="900_222"/>
      <sheetName val="materiales_de_insumo22"/>
      <sheetName val="jornales_y_prestaciones22"/>
      <sheetName val="210_122"/>
      <sheetName val="310_122"/>
      <sheetName val="600_422"/>
      <sheetName val="661_122"/>
      <sheetName val="673_122"/>
      <sheetName val="673_222"/>
      <sheetName val="673_322"/>
      <sheetName val="672_122"/>
      <sheetName val="3P_122"/>
      <sheetName val="3P_222"/>
      <sheetName val="6_1P22"/>
      <sheetName val="6_2P22"/>
      <sheetName val="6_4P22"/>
      <sheetName val="VALOR_ENSAYOS22"/>
      <sheetName val="resumen_preacta22"/>
      <sheetName val="Resalto_en_asfalto22"/>
      <sheetName val="Mat_fresado_para_ampliacion22"/>
      <sheetName val="Tuberia_filtro_D=6&quot;22"/>
      <sheetName val="Realce_de_bordillo22"/>
      <sheetName val="Remocion_tuberia_d=24&quot;22"/>
      <sheetName val="GRAVA_ATRAQUES_DE_ALCANTARILL22"/>
      <sheetName val="FORMATO_PREACTA22"/>
      <sheetName val="FORMATO_FECHA)22"/>
      <sheetName val="DESMONTE_LIMP_22"/>
      <sheetName val="REGISTRO_FOTOGRAFICO22"/>
      <sheetName val="S200_1_DESM__LIMP_B_22"/>
      <sheetName val="S200_2_DESM__LIMP__NB22"/>
      <sheetName val="S201_7_DEMO__ESTRUCTURAS22"/>
      <sheetName val="Remocion_alcantarillas_22"/>
      <sheetName val="Excav__Mat__Comun_22"/>
      <sheetName val="s201_15-remoción_de_alcantari22"/>
      <sheetName val="s210_2_2-Exc_de_expl22"/>
      <sheetName val="s210_2_1-Exc_en_roca22"/>
      <sheetName val="s211_1_REMOCION_DERR_22"/>
      <sheetName val="s220_1_Terraplenes22"/>
      <sheetName val="s221_1_Pedraplen22"/>
      <sheetName val="S900_3_TRANS__DERRUMBE22"/>
      <sheetName val="s231_1_Geotextil22"/>
      <sheetName val="S230_2_Mejora__de_la_Sub-Ra22"/>
      <sheetName val="S320_1_Sub_base22"/>
      <sheetName val="S330_1_BASE_GRANULAR22"/>
      <sheetName val="CONFM__DE_CALZADA_EXISTENTE22"/>
      <sheetName val="S310_1_Confor__calzada_existe22"/>
      <sheetName val="_S450_1_MEZCLA_MDC-122"/>
      <sheetName val="_S450_2MEZCLA_MDC-222"/>
      <sheetName val="S420_1_RIEGO_DE_IMPRIMACION_22"/>
      <sheetName val="S421_1_RIEGO_LIGA_CRR-122"/>
      <sheetName val="S460_1_FRESADO_22"/>
      <sheetName val="Excav__REPARACION_PAVIMENTO_22"/>
      <sheetName val="S465_1_EXC__PAV__ASFALTICO22"/>
      <sheetName val="S500_1_PAVIMENTO_CONCRETO22"/>
      <sheetName val="S510_1_PAVIMENTO_ADOQUIN22"/>
      <sheetName val="S600_1_EXCAV__VARIAS_22"/>
      <sheetName val="Relleno_Estructuras22"/>
      <sheetName val="eXCAVACIONES_VARIAS_EN_ROCA_22"/>
      <sheetName val="S600_2_EXCAV__ROCA22"/>
      <sheetName val="S610_1_Relleno_Estructuras22"/>
      <sheetName val="S623_1_Anclajes_22"/>
      <sheetName val="S623P1_Pantalla_Concreto22"/>
      <sheetName val="S630_3_Concretos_C22"/>
      <sheetName val="S630_4a_Concretos_D22"/>
      <sheetName val="S630_4b_Concretos_D22"/>
      <sheetName val="S630_6_CONCRETO_F22"/>
      <sheetName val="CONCRETO_G22"/>
      <sheetName val="S630_7_CONCRETO_G22"/>
      <sheetName val="s640_1_Acero_refuerzo22"/>
      <sheetName val="S642_13_Juntas_dilatacion22"/>
      <sheetName val="S644_2_Tuberia_PVC_4&quot;22"/>
      <sheetName val="_TUBERIA_36&quot;22"/>
      <sheetName val="S632_1_Baranda22"/>
      <sheetName val="_S661_1_TUBERIA_36&quot;_22"/>
      <sheetName val="S673_1_MAT__FILTRANTE22"/>
      <sheetName val="S673_2_GEOTEXTIL22"/>
      <sheetName val="TRANS__EXPLANACION22"/>
      <sheetName val="_S673_3_GEODREN_PLANAR_6&quot;22"/>
      <sheetName val="S681_1_GAVIONES22"/>
      <sheetName val="S700_1_Demarcacion22"/>
      <sheetName val="S700_2_Marca_víal22"/>
      <sheetName val="S701_1_tachas_reflectivas22"/>
      <sheetName val="S710_1_1_SEÑ_VERT__22"/>
      <sheetName val="S710_2_SEÑ_VERT_V22"/>
      <sheetName val="S710_1_2_SEÑ_VERT_22"/>
      <sheetName val="S730_1Defensas_22"/>
      <sheetName val="S800_2_CERCAS22"/>
      <sheetName val="S810_1_PROTECCION_TALUDES22"/>
      <sheetName val="S900_2Trans_explan22"/>
      <sheetName val="Tratamiento_fisuras22"/>
      <sheetName val="MARCAS_VIALES22"/>
      <sheetName val="Geomalla_con_fibra_de_vidrio22"/>
      <sheetName val="Anclajes_pasivos_4#622"/>
      <sheetName val="SNP1-geomalla_fibra_Vidrio22"/>
      <sheetName val="SNP2-geomalla_Biaxial22"/>
      <sheetName val="SNP3_concreto_3500_22"/>
      <sheetName val="SNP4_CEM__ASFALTICO22"/>
      <sheetName val="SNP5_MTTO_RUTINARIO22"/>
      <sheetName val="SNP6_Drenes22"/>
      <sheetName val="SNP7_Anclajes_pasivos_4#622"/>
      <sheetName val="SNP8_Anclajes_activos_2_Tor22"/>
      <sheetName val="SNP9_Anclajes_activos_4_Tor22"/>
      <sheetName val="SNP10_MATERIAL_3&quot;_TRIT22"/>
      <sheetName val="SNP11_Material_Relleno22"/>
      <sheetName val="SNP12_CUNETAS_3_00022"/>
      <sheetName val="SNP13_PARCHEO22"/>
      <sheetName val="SNP14_SELLO_JUNTAS22"/>
      <sheetName val="SNP15_Pilotes22"/>
      <sheetName val="SNP16_EXCAV__PAVIMENTO22"/>
      <sheetName val="SNP17_TRANS_BASE22"/>
      <sheetName val="SNP18_AFIRMADO_3&quot;22"/>
      <sheetName val="alcantarilla_K69+10322"/>
      <sheetName val="alcantarilla_K68+43722"/>
      <sheetName val="alcantarilla_K67+45522"/>
      <sheetName val="BOX_110+520_PUENTE_EL_VERDE22"/>
      <sheetName val="Muro_K99+070322"/>
      <sheetName val="MURO_K104+45422"/>
      <sheetName val="Muro_K109+057022"/>
      <sheetName val="BOX_K22"/>
      <sheetName val="INFORME_SEMANAL19"/>
      <sheetName val="201_719"/>
      <sheetName val="211_119"/>
      <sheetName val="320_219"/>
      <sheetName val="330_119"/>
      <sheetName val="330_219"/>
      <sheetName val="411_219"/>
      <sheetName val="450_2P19"/>
      <sheetName val="450_9P19"/>
      <sheetName val="461_119"/>
      <sheetName val="465_119"/>
      <sheetName val="464_1P19"/>
      <sheetName val="600_219"/>
      <sheetName val="630_519"/>
      <sheetName val="630_619"/>
      <sheetName val="630_719"/>
      <sheetName val="681_119"/>
      <sheetName val="670_P19"/>
      <sheetName val="671_P19"/>
      <sheetName val="674_219"/>
      <sheetName val="450_3P19"/>
      <sheetName val="621_1P19"/>
      <sheetName val="610_2P19"/>
      <sheetName val="230_219"/>
      <sheetName val="230_2P19"/>
      <sheetName val="621_1-1P19"/>
      <sheetName val="621_1_2P19"/>
      <sheetName val="PESO_VARILLAS19"/>
      <sheetName val="210_1_118"/>
      <sheetName val="210_1_218"/>
      <sheetName val="210_2_118"/>
      <sheetName val="220_118"/>
      <sheetName val="420_118"/>
      <sheetName val="421_118"/>
      <sheetName val="630_4_118"/>
      <sheetName val="640_1_118"/>
      <sheetName val="4P_1_118"/>
      <sheetName val="671_118"/>
      <sheetName val="673P_118"/>
      <sheetName val="674p_218"/>
      <sheetName val="640_1_218"/>
      <sheetName val="640_1_418"/>
      <sheetName val="630_3_118"/>
      <sheetName val="700_118"/>
      <sheetName val="701_218"/>
      <sheetName val="710_118"/>
      <sheetName val="730_118"/>
      <sheetName val="TORTA_EST18"/>
      <sheetName val="Indicadores_Y_Listas18"/>
      <sheetName val="PROY_ORIGINAL29"/>
      <sheetName val="PU_(2)28"/>
      <sheetName val="COSTOS_UNITARIOS23"/>
      <sheetName val="TRAYECTO_123"/>
      <sheetName val="200P_123"/>
      <sheetName val="210_2_223"/>
      <sheetName val="320_123"/>
      <sheetName val="640_123"/>
      <sheetName val="500P_123"/>
      <sheetName val="500P_223"/>
      <sheetName val="600_123"/>
      <sheetName val="610_123"/>
      <sheetName val="630_423"/>
      <sheetName val="640P_223"/>
      <sheetName val="640_1_(2)23"/>
      <sheetName val="672P_123"/>
      <sheetName val="2P_123"/>
      <sheetName val="900_223"/>
      <sheetName val="materiales_de_insumo23"/>
      <sheetName val="jornales_y_prestaciones23"/>
      <sheetName val="210_123"/>
      <sheetName val="310_123"/>
      <sheetName val="600_423"/>
      <sheetName val="661_123"/>
      <sheetName val="673_123"/>
      <sheetName val="673_223"/>
      <sheetName val="673_323"/>
      <sheetName val="672_123"/>
      <sheetName val="3P_123"/>
      <sheetName val="3P_223"/>
      <sheetName val="6_1P23"/>
      <sheetName val="6_2P23"/>
      <sheetName val="6_4P23"/>
      <sheetName val="VALOR_ENSAYOS23"/>
      <sheetName val="resumen_preacta23"/>
      <sheetName val="Resalto_en_asfalto23"/>
      <sheetName val="Mat_fresado_para_ampliacion23"/>
      <sheetName val="Tuberia_filtro_D=6&quot;23"/>
      <sheetName val="Realce_de_bordillo23"/>
      <sheetName val="Remocion_tuberia_d=24&quot;23"/>
      <sheetName val="GRAVA_ATRAQUES_DE_ALCANTARILL23"/>
      <sheetName val="FORMATO_PREACTA23"/>
      <sheetName val="FORMATO_FECHA)23"/>
      <sheetName val="DESMONTE_LIMP_23"/>
      <sheetName val="REGISTRO_FOTOGRAFICO23"/>
      <sheetName val="S200_1_DESM__LIMP_B_23"/>
      <sheetName val="S200_2_DESM__LIMP__NB23"/>
      <sheetName val="S201_7_DEMO__ESTRUCTURAS23"/>
      <sheetName val="Remocion_alcantarillas_23"/>
      <sheetName val="Excav__Mat__Comun_23"/>
      <sheetName val="s201_15-remoción_de_alcantari23"/>
      <sheetName val="s210_2_2-Exc_de_expl23"/>
      <sheetName val="s210_2_1-Exc_en_roca23"/>
      <sheetName val="s211_1_REMOCION_DERR_23"/>
      <sheetName val="s220_1_Terraplenes23"/>
      <sheetName val="s221_1_Pedraplen23"/>
      <sheetName val="S900_3_TRANS__DERRUMBE23"/>
      <sheetName val="s231_1_Geotextil23"/>
      <sheetName val="S230_2_Mejora__de_la_Sub-Ra23"/>
      <sheetName val="S320_1_Sub_base23"/>
      <sheetName val="S330_1_BASE_GRANULAR23"/>
      <sheetName val="CONFM__DE_CALZADA_EXISTENTE23"/>
      <sheetName val="S310_1_Confor__calzada_existe23"/>
      <sheetName val="_S450_1_MEZCLA_MDC-123"/>
      <sheetName val="_S450_2MEZCLA_MDC-223"/>
      <sheetName val="S420_1_RIEGO_DE_IMPRIMACION_23"/>
      <sheetName val="S421_1_RIEGO_LIGA_CRR-123"/>
      <sheetName val="S460_1_FRESADO_23"/>
      <sheetName val="Excav__REPARACION_PAVIMENTO_23"/>
      <sheetName val="S465_1_EXC__PAV__ASFALTICO23"/>
      <sheetName val="S500_1_PAVIMENTO_CONCRETO23"/>
      <sheetName val="S510_1_PAVIMENTO_ADOQUIN23"/>
      <sheetName val="S600_1_EXCAV__VARIAS_23"/>
      <sheetName val="Relleno_Estructuras23"/>
      <sheetName val="eXCAVACIONES_VARIAS_EN_ROCA_23"/>
      <sheetName val="S600_2_EXCAV__ROCA23"/>
      <sheetName val="S610_1_Relleno_Estructuras23"/>
      <sheetName val="S623_1_Anclajes_23"/>
      <sheetName val="S623P1_Pantalla_Concreto23"/>
      <sheetName val="S630_3_Concretos_C23"/>
      <sheetName val="S630_4a_Concretos_D23"/>
      <sheetName val="S630_4b_Concretos_D23"/>
      <sheetName val="S630_6_CONCRETO_F23"/>
      <sheetName val="CONCRETO_G23"/>
      <sheetName val="S630_7_CONCRETO_G23"/>
      <sheetName val="s640_1_Acero_refuerzo23"/>
      <sheetName val="S642_13_Juntas_dilatacion23"/>
      <sheetName val="S644_2_Tuberia_PVC_4&quot;23"/>
      <sheetName val="_TUBERIA_36&quot;23"/>
      <sheetName val="S632_1_Baranda23"/>
      <sheetName val="_S661_1_TUBERIA_36&quot;_23"/>
      <sheetName val="S673_1_MAT__FILTRANTE23"/>
      <sheetName val="S673_2_GEOTEXTIL23"/>
      <sheetName val="TRANS__EXPLANACION23"/>
      <sheetName val="_S673_3_GEODREN_PLANAR_6&quot;23"/>
      <sheetName val="S681_1_GAVIONES23"/>
      <sheetName val="S700_1_Demarcacion23"/>
      <sheetName val="S700_2_Marca_víal23"/>
      <sheetName val="S701_1_tachas_reflectivas23"/>
      <sheetName val="S710_1_1_SEÑ_VERT__23"/>
      <sheetName val="S710_2_SEÑ_VERT_V23"/>
      <sheetName val="S710_1_2_SEÑ_VERT_23"/>
      <sheetName val="S730_1Defensas_23"/>
      <sheetName val="S800_2_CERCAS23"/>
      <sheetName val="S810_1_PROTECCION_TALUDES23"/>
      <sheetName val="S900_2Trans_explan23"/>
      <sheetName val="Tratamiento_fisuras23"/>
      <sheetName val="MARCAS_VIALES23"/>
      <sheetName val="Geomalla_con_fibra_de_vidrio23"/>
      <sheetName val="Anclajes_pasivos_4#623"/>
      <sheetName val="SNP1-geomalla_fibra_Vidrio23"/>
      <sheetName val="SNP2-geomalla_Biaxial23"/>
      <sheetName val="SNP3_concreto_3500_23"/>
      <sheetName val="SNP4_CEM__ASFALTICO23"/>
      <sheetName val="SNP5_MTTO_RUTINARIO23"/>
      <sheetName val="SNP6_Drenes23"/>
      <sheetName val="SNP7_Anclajes_pasivos_4#623"/>
      <sheetName val="SNP8_Anclajes_activos_2_Tor23"/>
      <sheetName val="SNP9_Anclajes_activos_4_Tor23"/>
      <sheetName val="SNP10_MATERIAL_3&quot;_TRIT23"/>
      <sheetName val="SNP11_Material_Relleno23"/>
      <sheetName val="SNP12_CUNETAS_3_00023"/>
      <sheetName val="SNP13_PARCHEO23"/>
      <sheetName val="SNP14_SELLO_JUNTAS23"/>
      <sheetName val="SNP15_Pilotes23"/>
      <sheetName val="SNP16_EXCAV__PAVIMENTO23"/>
      <sheetName val="SNP17_TRANS_BASE23"/>
      <sheetName val="SNP18_AFIRMADO_3&quot;23"/>
      <sheetName val="alcantarilla_K69+10323"/>
      <sheetName val="alcantarilla_K68+43723"/>
      <sheetName val="alcantarilla_K67+45523"/>
      <sheetName val="BOX_110+520_PUENTE_EL_VERDE23"/>
      <sheetName val="Muro_K99+070323"/>
      <sheetName val="MURO_K104+45423"/>
      <sheetName val="Muro_K109+057023"/>
      <sheetName val="BOX_K23"/>
      <sheetName val="INFORME_SEMANAL20"/>
      <sheetName val="201_720"/>
      <sheetName val="211_120"/>
      <sheetName val="320_220"/>
      <sheetName val="330_120"/>
      <sheetName val="330_220"/>
      <sheetName val="411_220"/>
      <sheetName val="450_2P20"/>
      <sheetName val="450_9P20"/>
      <sheetName val="461_120"/>
      <sheetName val="465_120"/>
      <sheetName val="464_1P20"/>
      <sheetName val="600_220"/>
      <sheetName val="630_520"/>
      <sheetName val="630_620"/>
      <sheetName val="630_720"/>
      <sheetName val="681_120"/>
      <sheetName val="670_P20"/>
      <sheetName val="671_P20"/>
      <sheetName val="674_220"/>
      <sheetName val="450_3P20"/>
      <sheetName val="621_1P20"/>
      <sheetName val="610_2P20"/>
      <sheetName val="230_220"/>
      <sheetName val="230_2P20"/>
      <sheetName val="621_1-1P20"/>
      <sheetName val="621_1_2P20"/>
      <sheetName val="PESO_VARILLAS20"/>
      <sheetName val="210_1_119"/>
      <sheetName val="210_1_219"/>
      <sheetName val="210_2_119"/>
      <sheetName val="220_119"/>
      <sheetName val="420_119"/>
      <sheetName val="421_119"/>
      <sheetName val="630_4_119"/>
      <sheetName val="640_1_119"/>
      <sheetName val="4P_1_119"/>
      <sheetName val="671_119"/>
      <sheetName val="673P_119"/>
      <sheetName val="674p_219"/>
      <sheetName val="640_1_219"/>
      <sheetName val="640_1_419"/>
      <sheetName val="630_3_119"/>
      <sheetName val="700_119"/>
      <sheetName val="701_219"/>
      <sheetName val="710_119"/>
      <sheetName val="730_119"/>
      <sheetName val="TORTA_EST19"/>
      <sheetName val="Indicadores_Y_Listas19"/>
      <sheetName val="PROY_ORIGINAL30"/>
      <sheetName val="PU_(2)29"/>
      <sheetName val="COSTOS_UNITARIOS24"/>
      <sheetName val="TRAYECTO_124"/>
      <sheetName val="200P_124"/>
      <sheetName val="210_2_224"/>
      <sheetName val="320_124"/>
      <sheetName val="640_124"/>
      <sheetName val="500P_124"/>
      <sheetName val="500P_224"/>
      <sheetName val="600_124"/>
      <sheetName val="610_124"/>
      <sheetName val="630_424"/>
      <sheetName val="640P_224"/>
      <sheetName val="640_1_(2)24"/>
      <sheetName val="672P_124"/>
      <sheetName val="2P_124"/>
      <sheetName val="900_224"/>
      <sheetName val="materiales_de_insumo24"/>
      <sheetName val="jornales_y_prestaciones24"/>
      <sheetName val="210_124"/>
      <sheetName val="310_124"/>
      <sheetName val="600_424"/>
      <sheetName val="661_124"/>
      <sheetName val="673_124"/>
      <sheetName val="673_224"/>
      <sheetName val="673_324"/>
      <sheetName val="672_124"/>
      <sheetName val="3P_124"/>
      <sheetName val="3P_224"/>
      <sheetName val="6_1P24"/>
      <sheetName val="6_2P24"/>
      <sheetName val="6_4P24"/>
      <sheetName val="VALOR_ENSAYOS24"/>
      <sheetName val="resumen_preacta24"/>
      <sheetName val="Resalto_en_asfalto24"/>
      <sheetName val="Mat_fresado_para_ampliacion24"/>
      <sheetName val="Tuberia_filtro_D=6&quot;24"/>
      <sheetName val="Realce_de_bordillo24"/>
      <sheetName val="Remocion_tuberia_d=24&quot;24"/>
      <sheetName val="GRAVA_ATRAQUES_DE_ALCANTARILL24"/>
      <sheetName val="FORMATO_PREACTA24"/>
      <sheetName val="FORMATO_FECHA)24"/>
      <sheetName val="DESMONTE_LIMP_24"/>
      <sheetName val="REGISTRO_FOTOGRAFICO24"/>
      <sheetName val="S200_1_DESM__LIMP_B_24"/>
      <sheetName val="S200_2_DESM__LIMP__NB24"/>
      <sheetName val="S201_7_DEMO__ESTRUCTURAS24"/>
      <sheetName val="Remocion_alcantarillas_24"/>
      <sheetName val="Excav__Mat__Comun_24"/>
      <sheetName val="s201_15-remoción_de_alcantari24"/>
      <sheetName val="s210_2_2-Exc_de_expl24"/>
      <sheetName val="s210_2_1-Exc_en_roca24"/>
      <sheetName val="s211_1_REMOCION_DERR_24"/>
      <sheetName val="s220_1_Terraplenes24"/>
      <sheetName val="s221_1_Pedraplen24"/>
      <sheetName val="S900_3_TRANS__DERRUMBE24"/>
      <sheetName val="s231_1_Geotextil24"/>
      <sheetName val="S230_2_Mejora__de_la_Sub-Ra24"/>
      <sheetName val="S320_1_Sub_base24"/>
      <sheetName val="S330_1_BASE_GRANULAR24"/>
      <sheetName val="CONFM__DE_CALZADA_EXISTENTE24"/>
      <sheetName val="S310_1_Confor__calzada_existe24"/>
      <sheetName val="_S450_1_MEZCLA_MDC-124"/>
      <sheetName val="_S450_2MEZCLA_MDC-224"/>
      <sheetName val="S420_1_RIEGO_DE_IMPRIMACION_24"/>
      <sheetName val="S421_1_RIEGO_LIGA_CRR-124"/>
      <sheetName val="S460_1_FRESADO_24"/>
      <sheetName val="Excav__REPARACION_PAVIMENTO_24"/>
      <sheetName val="S465_1_EXC__PAV__ASFALTICO24"/>
      <sheetName val="S500_1_PAVIMENTO_CONCRETO24"/>
      <sheetName val="S510_1_PAVIMENTO_ADOQUIN24"/>
      <sheetName val="S600_1_EXCAV__VARIAS_24"/>
      <sheetName val="Relleno_Estructuras24"/>
      <sheetName val="eXCAVACIONES_VARIAS_EN_ROCA_24"/>
      <sheetName val="S600_2_EXCAV__ROCA24"/>
      <sheetName val="S610_1_Relleno_Estructuras24"/>
      <sheetName val="S623_1_Anclajes_24"/>
      <sheetName val="S623P1_Pantalla_Concreto24"/>
      <sheetName val="S630_3_Concretos_C24"/>
      <sheetName val="S630_4a_Concretos_D24"/>
      <sheetName val="S630_4b_Concretos_D24"/>
      <sheetName val="S630_6_CONCRETO_F24"/>
      <sheetName val="CONCRETO_G24"/>
      <sheetName val="S630_7_CONCRETO_G24"/>
      <sheetName val="s640_1_Acero_refuerzo24"/>
      <sheetName val="S642_13_Juntas_dilatacion24"/>
      <sheetName val="S644_2_Tuberia_PVC_4&quot;24"/>
      <sheetName val="_TUBERIA_36&quot;24"/>
      <sheetName val="S632_1_Baranda24"/>
      <sheetName val="_S661_1_TUBERIA_36&quot;_24"/>
      <sheetName val="S673_1_MAT__FILTRANTE24"/>
      <sheetName val="S673_2_GEOTEXTIL24"/>
      <sheetName val="TRANS__EXPLANACION24"/>
      <sheetName val="_S673_3_GEODREN_PLANAR_6&quot;24"/>
      <sheetName val="S681_1_GAVIONES24"/>
      <sheetName val="S700_1_Demarcacion24"/>
      <sheetName val="S700_2_Marca_víal24"/>
      <sheetName val="S701_1_tachas_reflectivas24"/>
      <sheetName val="S710_1_1_SEÑ_VERT__24"/>
      <sheetName val="S710_2_SEÑ_VERT_V24"/>
      <sheetName val="S710_1_2_SEÑ_VERT_24"/>
      <sheetName val="S730_1Defensas_24"/>
      <sheetName val="S800_2_CERCAS24"/>
      <sheetName val="S810_1_PROTECCION_TALUDES24"/>
      <sheetName val="S900_2Trans_explan24"/>
      <sheetName val="Tratamiento_fisuras24"/>
      <sheetName val="MARCAS_VIALES24"/>
      <sheetName val="Geomalla_con_fibra_de_vidrio24"/>
      <sheetName val="Anclajes_pasivos_4#624"/>
      <sheetName val="SNP1-geomalla_fibra_Vidrio24"/>
      <sheetName val="SNP2-geomalla_Biaxial24"/>
      <sheetName val="SNP3_concreto_3500_24"/>
      <sheetName val="SNP4_CEM__ASFALTICO24"/>
      <sheetName val="SNP5_MTTO_RUTINARIO24"/>
      <sheetName val="SNP6_Drenes24"/>
      <sheetName val="SNP7_Anclajes_pasivos_4#624"/>
      <sheetName val="SNP8_Anclajes_activos_2_Tor24"/>
      <sheetName val="SNP9_Anclajes_activos_4_Tor24"/>
      <sheetName val="SNP10_MATERIAL_3&quot;_TRIT24"/>
      <sheetName val="SNP11_Material_Relleno24"/>
      <sheetName val="SNP12_CUNETAS_3_00024"/>
      <sheetName val="SNP13_PARCHEO24"/>
      <sheetName val="SNP14_SELLO_JUNTAS24"/>
      <sheetName val="SNP15_Pilotes24"/>
      <sheetName val="SNP16_EXCAV__PAVIMENTO24"/>
      <sheetName val="SNP17_TRANS_BASE24"/>
      <sheetName val="SNP18_AFIRMADO_3&quot;24"/>
      <sheetName val="alcantarilla_K69+10324"/>
      <sheetName val="alcantarilla_K68+43724"/>
      <sheetName val="alcantarilla_K67+45524"/>
      <sheetName val="BOX_110+520_PUENTE_EL_VERDE24"/>
      <sheetName val="Muro_K99+070324"/>
      <sheetName val="MURO_K104+45424"/>
      <sheetName val="Muro_K109+057024"/>
      <sheetName val="BOX_K24"/>
      <sheetName val="INFORME_SEMANAL21"/>
      <sheetName val="201_721"/>
      <sheetName val="211_121"/>
      <sheetName val="320_221"/>
      <sheetName val="330_121"/>
      <sheetName val="330_221"/>
      <sheetName val="411_221"/>
      <sheetName val="450_2P21"/>
      <sheetName val="450_9P21"/>
      <sheetName val="461_121"/>
      <sheetName val="465_121"/>
      <sheetName val="464_1P21"/>
      <sheetName val="600_221"/>
      <sheetName val="630_521"/>
      <sheetName val="630_621"/>
      <sheetName val="630_721"/>
      <sheetName val="681_121"/>
      <sheetName val="670_P21"/>
      <sheetName val="671_P21"/>
      <sheetName val="674_221"/>
      <sheetName val="450_3P21"/>
      <sheetName val="621_1P21"/>
      <sheetName val="610_2P21"/>
      <sheetName val="230_221"/>
      <sheetName val="230_2P21"/>
      <sheetName val="621_1-1P21"/>
      <sheetName val="621_1_2P21"/>
      <sheetName val="PESO_VARILLAS21"/>
      <sheetName val="210_1_120"/>
      <sheetName val="210_1_220"/>
      <sheetName val="210_2_120"/>
      <sheetName val="220_120"/>
      <sheetName val="420_120"/>
      <sheetName val="421_120"/>
      <sheetName val="630_4_120"/>
      <sheetName val="640_1_120"/>
      <sheetName val="4P_1_120"/>
      <sheetName val="671_120"/>
      <sheetName val="673P_120"/>
      <sheetName val="674p_220"/>
      <sheetName val="640_1_220"/>
      <sheetName val="640_1_420"/>
      <sheetName val="630_3_120"/>
      <sheetName val="700_120"/>
      <sheetName val="701_220"/>
      <sheetName val="710_120"/>
      <sheetName val="730_120"/>
      <sheetName val="TORTA_EST20"/>
      <sheetName val="Indicadores_Y_Listas20"/>
      <sheetName val="PROY_ORIGINAL31"/>
      <sheetName val="PU_(2)30"/>
      <sheetName val="COSTOS_UNITARIOS25"/>
      <sheetName val="TRAYECTO_125"/>
      <sheetName val="200P_125"/>
      <sheetName val="210_2_225"/>
      <sheetName val="320_125"/>
      <sheetName val="640_125"/>
      <sheetName val="500P_125"/>
      <sheetName val="500P_225"/>
      <sheetName val="600_125"/>
      <sheetName val="610_125"/>
      <sheetName val="630_425"/>
      <sheetName val="640P_225"/>
      <sheetName val="640_1_(2)25"/>
      <sheetName val="672P_125"/>
      <sheetName val="2P_125"/>
      <sheetName val="900_225"/>
      <sheetName val="materiales_de_insumo25"/>
      <sheetName val="jornales_y_prestaciones25"/>
      <sheetName val="210_125"/>
      <sheetName val="310_125"/>
      <sheetName val="600_425"/>
      <sheetName val="661_125"/>
      <sheetName val="673_125"/>
      <sheetName val="673_225"/>
      <sheetName val="673_325"/>
      <sheetName val="672_125"/>
      <sheetName val="3P_125"/>
      <sheetName val="3P_225"/>
      <sheetName val="6_1P25"/>
      <sheetName val="6_2P25"/>
      <sheetName val="6_4P25"/>
      <sheetName val="VALOR_ENSAYOS25"/>
      <sheetName val="resumen_preacta25"/>
      <sheetName val="Resalto_en_asfalto25"/>
      <sheetName val="Mat_fresado_para_ampliacion25"/>
      <sheetName val="Tuberia_filtro_D=6&quot;25"/>
      <sheetName val="Realce_de_bordillo25"/>
      <sheetName val="Remocion_tuberia_d=24&quot;25"/>
      <sheetName val="GRAVA_ATRAQUES_DE_ALCANTARILL25"/>
      <sheetName val="FORMATO_PREACTA25"/>
      <sheetName val="FORMATO_FECHA)25"/>
      <sheetName val="DESMONTE_LIMP_25"/>
      <sheetName val="REGISTRO_FOTOGRAFICO25"/>
      <sheetName val="S200_1_DESM__LIMP_B_25"/>
      <sheetName val="S200_2_DESM__LIMP__NB25"/>
      <sheetName val="S201_7_DEMO__ESTRUCTURAS25"/>
      <sheetName val="Remocion_alcantarillas_25"/>
      <sheetName val="Excav__Mat__Comun_25"/>
      <sheetName val="s201_15-remoción_de_alcantari25"/>
      <sheetName val="s210_2_2-Exc_de_expl25"/>
      <sheetName val="s210_2_1-Exc_en_roca25"/>
      <sheetName val="s211_1_REMOCION_DERR_25"/>
      <sheetName val="s220_1_Terraplenes25"/>
      <sheetName val="s221_1_Pedraplen25"/>
      <sheetName val="S900_3_TRANS__DERRUMBE25"/>
      <sheetName val="s231_1_Geotextil25"/>
      <sheetName val="S230_2_Mejora__de_la_Sub-Ra25"/>
      <sheetName val="S320_1_Sub_base25"/>
      <sheetName val="S330_1_BASE_GRANULAR25"/>
      <sheetName val="CONFM__DE_CALZADA_EXISTENTE25"/>
      <sheetName val="S310_1_Confor__calzada_existe25"/>
      <sheetName val="_S450_1_MEZCLA_MDC-125"/>
      <sheetName val="_S450_2MEZCLA_MDC-225"/>
      <sheetName val="S420_1_RIEGO_DE_IMPRIMACION_25"/>
      <sheetName val="S421_1_RIEGO_LIGA_CRR-125"/>
      <sheetName val="S460_1_FRESADO_25"/>
      <sheetName val="Excav__REPARACION_PAVIMENTO_25"/>
      <sheetName val="S465_1_EXC__PAV__ASFALTICO25"/>
      <sheetName val="S500_1_PAVIMENTO_CONCRETO25"/>
      <sheetName val="S510_1_PAVIMENTO_ADOQUIN25"/>
      <sheetName val="S600_1_EXCAV__VARIAS_25"/>
      <sheetName val="Relleno_Estructuras25"/>
      <sheetName val="eXCAVACIONES_VARIAS_EN_ROCA_25"/>
      <sheetName val="S600_2_EXCAV__ROCA25"/>
      <sheetName val="S610_1_Relleno_Estructuras25"/>
      <sheetName val="S623_1_Anclajes_25"/>
      <sheetName val="S623P1_Pantalla_Concreto25"/>
      <sheetName val="S630_3_Concretos_C25"/>
      <sheetName val="S630_4a_Concretos_D25"/>
      <sheetName val="S630_4b_Concretos_D25"/>
      <sheetName val="S630_6_CONCRETO_F25"/>
      <sheetName val="CONCRETO_G25"/>
      <sheetName val="S630_7_CONCRETO_G25"/>
      <sheetName val="s640_1_Acero_refuerzo25"/>
      <sheetName val="S642_13_Juntas_dilatacion25"/>
      <sheetName val="S644_2_Tuberia_PVC_4&quot;25"/>
      <sheetName val="_TUBERIA_36&quot;25"/>
      <sheetName val="S632_1_Baranda25"/>
      <sheetName val="_S661_1_TUBERIA_36&quot;_25"/>
      <sheetName val="S673_1_MAT__FILTRANTE25"/>
      <sheetName val="S673_2_GEOTEXTIL25"/>
      <sheetName val="TRANS__EXPLANACION25"/>
      <sheetName val="_S673_3_GEODREN_PLANAR_6&quot;25"/>
      <sheetName val="S681_1_GAVIONES25"/>
      <sheetName val="S700_1_Demarcacion25"/>
      <sheetName val="S700_2_Marca_víal25"/>
      <sheetName val="S701_1_tachas_reflectivas25"/>
      <sheetName val="S710_1_1_SEÑ_VERT__25"/>
      <sheetName val="S710_2_SEÑ_VERT_V25"/>
      <sheetName val="S710_1_2_SEÑ_VERT_25"/>
      <sheetName val="S730_1Defensas_25"/>
      <sheetName val="S800_2_CERCAS25"/>
      <sheetName val="S810_1_PROTECCION_TALUDES25"/>
      <sheetName val="S900_2Trans_explan25"/>
      <sheetName val="Tratamiento_fisuras25"/>
      <sheetName val="MARCAS_VIALES25"/>
      <sheetName val="Geomalla_con_fibra_de_vidrio25"/>
      <sheetName val="Anclajes_pasivos_4#625"/>
      <sheetName val="SNP1-geomalla_fibra_Vidrio25"/>
      <sheetName val="SNP2-geomalla_Biaxial25"/>
      <sheetName val="SNP3_concreto_3500_25"/>
      <sheetName val="SNP4_CEM__ASFALTICO25"/>
      <sheetName val="SNP5_MTTO_RUTINARIO25"/>
      <sheetName val="SNP6_Drenes25"/>
      <sheetName val="SNP7_Anclajes_pasivos_4#625"/>
      <sheetName val="SNP8_Anclajes_activos_2_Tor25"/>
      <sheetName val="SNP9_Anclajes_activos_4_Tor25"/>
      <sheetName val="SNP10_MATERIAL_3&quot;_TRIT25"/>
      <sheetName val="SNP11_Material_Relleno25"/>
      <sheetName val="SNP12_CUNETAS_3_00025"/>
      <sheetName val="SNP13_PARCHEO25"/>
      <sheetName val="SNP14_SELLO_JUNTAS25"/>
      <sheetName val="SNP15_Pilotes25"/>
      <sheetName val="SNP16_EXCAV__PAVIMENTO25"/>
      <sheetName val="SNP17_TRANS_BASE25"/>
      <sheetName val="SNP18_AFIRMADO_3&quot;25"/>
      <sheetName val="alcantarilla_K69+10325"/>
      <sheetName val="alcantarilla_K68+43725"/>
      <sheetName val="alcantarilla_K67+45525"/>
      <sheetName val="BOX_110+520_PUENTE_EL_VERDE25"/>
      <sheetName val="Muro_K99+070325"/>
      <sheetName val="MURO_K104+45425"/>
      <sheetName val="Muro_K109+057025"/>
      <sheetName val="BOX_K25"/>
      <sheetName val="INFORME_SEMANAL22"/>
      <sheetName val="201_722"/>
      <sheetName val="211_122"/>
      <sheetName val="320_222"/>
      <sheetName val="330_122"/>
      <sheetName val="330_222"/>
      <sheetName val="411_222"/>
      <sheetName val="450_2P22"/>
      <sheetName val="450_9P22"/>
      <sheetName val="461_122"/>
      <sheetName val="465_122"/>
      <sheetName val="464_1P22"/>
      <sheetName val="600_222"/>
      <sheetName val="630_522"/>
      <sheetName val="630_622"/>
      <sheetName val="630_722"/>
      <sheetName val="681_122"/>
      <sheetName val="670_P22"/>
      <sheetName val="671_P22"/>
      <sheetName val="674_222"/>
      <sheetName val="450_3P22"/>
      <sheetName val="621_1P22"/>
      <sheetName val="610_2P22"/>
      <sheetName val="230_222"/>
      <sheetName val="230_2P22"/>
      <sheetName val="621_1-1P22"/>
      <sheetName val="621_1_2P22"/>
      <sheetName val="PESO_VARILLAS22"/>
      <sheetName val="210_1_121"/>
      <sheetName val="210_1_221"/>
      <sheetName val="210_2_121"/>
      <sheetName val="220_121"/>
      <sheetName val="420_121"/>
      <sheetName val="421_121"/>
      <sheetName val="630_4_121"/>
      <sheetName val="640_1_121"/>
      <sheetName val="4P_1_121"/>
      <sheetName val="671_121"/>
      <sheetName val="673P_121"/>
      <sheetName val="674p_221"/>
      <sheetName val="640_1_221"/>
      <sheetName val="640_1_421"/>
      <sheetName val="630_3_121"/>
      <sheetName val="700_121"/>
      <sheetName val="701_221"/>
      <sheetName val="710_121"/>
      <sheetName val="730_121"/>
      <sheetName val="TORTA_EST21"/>
      <sheetName val="Indicadores_Y_Listas21"/>
      <sheetName val="PROY_ORIGINAL32"/>
      <sheetName val="PU_(2)31"/>
      <sheetName val="COSTOS_UNITARIOS26"/>
      <sheetName val="TRAYECTO_126"/>
      <sheetName val="200P_126"/>
      <sheetName val="210_2_226"/>
      <sheetName val="320_126"/>
      <sheetName val="640_126"/>
      <sheetName val="500P_126"/>
      <sheetName val="500P_226"/>
      <sheetName val="600_126"/>
      <sheetName val="610_126"/>
      <sheetName val="630_426"/>
      <sheetName val="640P_226"/>
      <sheetName val="640_1_(2)26"/>
      <sheetName val="672P_126"/>
      <sheetName val="2P_126"/>
      <sheetName val="900_226"/>
      <sheetName val="materiales_de_insumo26"/>
      <sheetName val="jornales_y_prestaciones26"/>
      <sheetName val="210_126"/>
      <sheetName val="310_126"/>
      <sheetName val="600_426"/>
      <sheetName val="661_126"/>
      <sheetName val="673_126"/>
      <sheetName val="673_226"/>
      <sheetName val="673_326"/>
      <sheetName val="672_126"/>
      <sheetName val="3P_126"/>
      <sheetName val="3P_226"/>
      <sheetName val="6_1P26"/>
      <sheetName val="6_2P26"/>
      <sheetName val="6_4P26"/>
      <sheetName val="VALOR_ENSAYOS26"/>
      <sheetName val="resumen_preacta26"/>
      <sheetName val="Resalto_en_asfalto26"/>
      <sheetName val="Mat_fresado_para_ampliacion26"/>
      <sheetName val="Tuberia_filtro_D=6&quot;26"/>
      <sheetName val="Realce_de_bordillo26"/>
      <sheetName val="Remocion_tuberia_d=24&quot;26"/>
      <sheetName val="GRAVA_ATRAQUES_DE_ALCANTARILL26"/>
      <sheetName val="FORMATO_PREACTA26"/>
      <sheetName val="FORMATO_FECHA)26"/>
      <sheetName val="DESMONTE_LIMP_26"/>
      <sheetName val="REGISTRO_FOTOGRAFICO26"/>
      <sheetName val="S200_1_DESM__LIMP_B_26"/>
      <sheetName val="S200_2_DESM__LIMP__NB26"/>
      <sheetName val="S201_7_DEMO__ESTRUCTURAS26"/>
      <sheetName val="Remocion_alcantarillas_26"/>
      <sheetName val="Excav__Mat__Comun_26"/>
      <sheetName val="s201_15-remoción_de_alcantari26"/>
      <sheetName val="s210_2_2-Exc_de_expl26"/>
      <sheetName val="s210_2_1-Exc_en_roca26"/>
      <sheetName val="s211_1_REMOCION_DERR_26"/>
      <sheetName val="s220_1_Terraplenes26"/>
      <sheetName val="s221_1_Pedraplen26"/>
      <sheetName val="S900_3_TRANS__DERRUMBE26"/>
      <sheetName val="s231_1_Geotextil26"/>
      <sheetName val="S230_2_Mejora__de_la_Sub-Ra26"/>
      <sheetName val="S320_1_Sub_base26"/>
      <sheetName val="S330_1_BASE_GRANULAR26"/>
      <sheetName val="CONFM__DE_CALZADA_EXISTENTE26"/>
      <sheetName val="S310_1_Confor__calzada_existe26"/>
      <sheetName val="_S450_1_MEZCLA_MDC-126"/>
      <sheetName val="_S450_2MEZCLA_MDC-226"/>
      <sheetName val="S420_1_RIEGO_DE_IMPRIMACION_26"/>
      <sheetName val="S421_1_RIEGO_LIGA_CRR-126"/>
      <sheetName val="S460_1_FRESADO_26"/>
      <sheetName val="Excav__REPARACION_PAVIMENTO_26"/>
      <sheetName val="S465_1_EXC__PAV__ASFALTICO26"/>
      <sheetName val="S500_1_PAVIMENTO_CONCRETO26"/>
      <sheetName val="S510_1_PAVIMENTO_ADOQUIN26"/>
      <sheetName val="S600_1_EXCAV__VARIAS_26"/>
      <sheetName val="Relleno_Estructuras26"/>
      <sheetName val="eXCAVACIONES_VARIAS_EN_ROCA_26"/>
      <sheetName val="S600_2_EXCAV__ROCA26"/>
      <sheetName val="S610_1_Relleno_Estructuras26"/>
      <sheetName val="S623_1_Anclajes_26"/>
      <sheetName val="S623P1_Pantalla_Concreto26"/>
      <sheetName val="S630_3_Concretos_C26"/>
      <sheetName val="S630_4a_Concretos_D26"/>
      <sheetName val="S630_4b_Concretos_D26"/>
      <sheetName val="S630_6_CONCRETO_F26"/>
      <sheetName val="CONCRETO_G26"/>
      <sheetName val="S630_7_CONCRETO_G26"/>
      <sheetName val="s640_1_Acero_refuerzo26"/>
      <sheetName val="S642_13_Juntas_dilatacion26"/>
      <sheetName val="S644_2_Tuberia_PVC_4&quot;26"/>
      <sheetName val="_TUBERIA_36&quot;26"/>
      <sheetName val="S632_1_Baranda26"/>
      <sheetName val="_S661_1_TUBERIA_36&quot;_26"/>
      <sheetName val="S673_1_MAT__FILTRANTE26"/>
      <sheetName val="S673_2_GEOTEXTIL26"/>
      <sheetName val="TRANS__EXPLANACION26"/>
      <sheetName val="_S673_3_GEODREN_PLANAR_6&quot;26"/>
      <sheetName val="S681_1_GAVIONES26"/>
      <sheetName val="S700_1_Demarcacion26"/>
      <sheetName val="S700_2_Marca_víal26"/>
      <sheetName val="S701_1_tachas_reflectivas26"/>
      <sheetName val="S710_1_1_SEÑ_VERT__26"/>
      <sheetName val="S710_2_SEÑ_VERT_V26"/>
      <sheetName val="S710_1_2_SEÑ_VERT_26"/>
      <sheetName val="S730_1Defensas_26"/>
      <sheetName val="S800_2_CERCAS26"/>
      <sheetName val="S810_1_PROTECCION_TALUDES26"/>
      <sheetName val="S900_2Trans_explan26"/>
      <sheetName val="Tratamiento_fisuras26"/>
      <sheetName val="MARCAS_VIALES26"/>
      <sheetName val="Geomalla_con_fibra_de_vidrio26"/>
      <sheetName val="Anclajes_pasivos_4#626"/>
      <sheetName val="SNP1-geomalla_fibra_Vidrio26"/>
      <sheetName val="SNP2-geomalla_Biaxial26"/>
      <sheetName val="SNP3_concreto_3500_26"/>
      <sheetName val="SNP4_CEM__ASFALTICO26"/>
      <sheetName val="SNP5_MTTO_RUTINARIO26"/>
      <sheetName val="SNP6_Drenes26"/>
      <sheetName val="SNP7_Anclajes_pasivos_4#626"/>
      <sheetName val="SNP8_Anclajes_activos_2_Tor26"/>
      <sheetName val="SNP9_Anclajes_activos_4_Tor26"/>
      <sheetName val="SNP10_MATERIAL_3&quot;_TRIT26"/>
      <sheetName val="SNP11_Material_Relleno26"/>
      <sheetName val="SNP12_CUNETAS_3_00026"/>
      <sheetName val="SNP13_PARCHEO26"/>
      <sheetName val="SNP14_SELLO_JUNTAS26"/>
      <sheetName val="SNP15_Pilotes26"/>
      <sheetName val="SNP16_EXCAV__PAVIMENTO26"/>
      <sheetName val="SNP17_TRANS_BASE26"/>
      <sheetName val="SNP18_AFIRMADO_3&quot;26"/>
      <sheetName val="alcantarilla_K69+10326"/>
      <sheetName val="alcantarilla_K68+43726"/>
      <sheetName val="alcantarilla_K67+45526"/>
      <sheetName val="BOX_110+520_PUENTE_EL_VERDE26"/>
      <sheetName val="Muro_K99+070326"/>
      <sheetName val="MURO_K104+45426"/>
      <sheetName val="Muro_K109+057026"/>
      <sheetName val="BOX_K26"/>
      <sheetName val="INFORME_SEMANAL23"/>
      <sheetName val="201_723"/>
      <sheetName val="211_123"/>
      <sheetName val="320_223"/>
      <sheetName val="330_123"/>
      <sheetName val="330_223"/>
      <sheetName val="411_223"/>
      <sheetName val="450_2P23"/>
      <sheetName val="450_9P23"/>
      <sheetName val="461_123"/>
      <sheetName val="465_123"/>
      <sheetName val="464_1P23"/>
      <sheetName val="600_223"/>
      <sheetName val="630_523"/>
      <sheetName val="630_623"/>
      <sheetName val="630_723"/>
      <sheetName val="681_123"/>
      <sheetName val="670_P23"/>
      <sheetName val="671_P23"/>
      <sheetName val="674_223"/>
      <sheetName val="450_3P23"/>
      <sheetName val="621_1P23"/>
      <sheetName val="610_2P23"/>
      <sheetName val="230_223"/>
      <sheetName val="230_2P23"/>
      <sheetName val="621_1-1P23"/>
      <sheetName val="621_1_2P23"/>
      <sheetName val="PESO_VARILLAS23"/>
      <sheetName val="210_1_122"/>
      <sheetName val="210_1_222"/>
      <sheetName val="210_2_122"/>
      <sheetName val="220_122"/>
      <sheetName val="420_122"/>
      <sheetName val="421_122"/>
      <sheetName val="630_4_122"/>
      <sheetName val="640_1_122"/>
      <sheetName val="4P_1_122"/>
      <sheetName val="671_122"/>
      <sheetName val="673P_122"/>
      <sheetName val="674p_222"/>
      <sheetName val="640_1_222"/>
      <sheetName val="640_1_422"/>
      <sheetName val="630_3_122"/>
      <sheetName val="700_122"/>
      <sheetName val="701_222"/>
      <sheetName val="710_122"/>
      <sheetName val="730_122"/>
      <sheetName val="TORTA_EST22"/>
      <sheetName val="Indicadores_Y_Listas22"/>
      <sheetName val="PROY_ORIGINAL33"/>
      <sheetName val="PU_(2)32"/>
      <sheetName val="COSTOS_UNITARIOS27"/>
      <sheetName val="TRAYECTO_127"/>
      <sheetName val="200P_127"/>
      <sheetName val="210_2_227"/>
      <sheetName val="320_127"/>
      <sheetName val="640_127"/>
      <sheetName val="500P_127"/>
      <sheetName val="500P_227"/>
      <sheetName val="600_127"/>
      <sheetName val="610_127"/>
      <sheetName val="630_427"/>
      <sheetName val="640P_227"/>
      <sheetName val="640_1_(2)27"/>
      <sheetName val="672P_127"/>
      <sheetName val="2P_127"/>
      <sheetName val="900_227"/>
      <sheetName val="materiales_de_insumo27"/>
      <sheetName val="jornales_y_prestaciones27"/>
      <sheetName val="210_127"/>
      <sheetName val="310_127"/>
      <sheetName val="600_427"/>
      <sheetName val="661_127"/>
      <sheetName val="673_127"/>
      <sheetName val="673_227"/>
      <sheetName val="673_327"/>
      <sheetName val="672_127"/>
      <sheetName val="3P_127"/>
      <sheetName val="3P_227"/>
      <sheetName val="6_1P27"/>
      <sheetName val="6_2P27"/>
      <sheetName val="6_4P27"/>
      <sheetName val="VALOR_ENSAYOS27"/>
      <sheetName val="resumen_preacta27"/>
      <sheetName val="Resalto_en_asfalto27"/>
      <sheetName val="Mat_fresado_para_ampliacion27"/>
      <sheetName val="Tuberia_filtro_D=6&quot;27"/>
      <sheetName val="Realce_de_bordillo27"/>
      <sheetName val="Remocion_tuberia_d=24&quot;27"/>
      <sheetName val="GRAVA_ATRAQUES_DE_ALCANTARILL27"/>
      <sheetName val="FORMATO_PREACTA27"/>
      <sheetName val="FORMATO_FECHA)27"/>
      <sheetName val="DESMONTE_LIMP_27"/>
      <sheetName val="REGISTRO_FOTOGRAFICO27"/>
      <sheetName val="S200_1_DESM__LIMP_B_27"/>
      <sheetName val="S200_2_DESM__LIMP__NB27"/>
      <sheetName val="S201_7_DEMO__ESTRUCTURAS27"/>
      <sheetName val="Remocion_alcantarillas_27"/>
      <sheetName val="Excav__Mat__Comun_27"/>
      <sheetName val="s201_15-remoción_de_alcantari27"/>
      <sheetName val="s210_2_2-Exc_de_expl27"/>
      <sheetName val="s210_2_1-Exc_en_roca27"/>
      <sheetName val="s211_1_REMOCION_DERR_27"/>
      <sheetName val="s220_1_Terraplenes27"/>
      <sheetName val="s221_1_Pedraplen27"/>
      <sheetName val="S900_3_TRANS__DERRUMBE27"/>
      <sheetName val="s231_1_Geotextil27"/>
      <sheetName val="S230_2_Mejora__de_la_Sub-Ra27"/>
      <sheetName val="S320_1_Sub_base27"/>
      <sheetName val="S330_1_BASE_GRANULAR27"/>
      <sheetName val="CONFM__DE_CALZADA_EXISTENTE27"/>
      <sheetName val="S310_1_Confor__calzada_existe27"/>
      <sheetName val="_S450_1_MEZCLA_MDC-127"/>
      <sheetName val="_S450_2MEZCLA_MDC-227"/>
      <sheetName val="S420_1_RIEGO_DE_IMPRIMACION_27"/>
      <sheetName val="S421_1_RIEGO_LIGA_CRR-127"/>
      <sheetName val="S460_1_FRESADO_27"/>
      <sheetName val="Excav__REPARACION_PAVIMENTO_27"/>
      <sheetName val="S465_1_EXC__PAV__ASFALTICO27"/>
      <sheetName val="S500_1_PAVIMENTO_CONCRETO27"/>
      <sheetName val="S510_1_PAVIMENTO_ADOQUIN27"/>
      <sheetName val="S600_1_EXCAV__VARIAS_27"/>
      <sheetName val="Relleno_Estructuras27"/>
      <sheetName val="eXCAVACIONES_VARIAS_EN_ROCA_27"/>
      <sheetName val="S600_2_EXCAV__ROCA27"/>
      <sheetName val="S610_1_Relleno_Estructuras27"/>
      <sheetName val="S623_1_Anclajes_27"/>
      <sheetName val="S623P1_Pantalla_Concreto27"/>
      <sheetName val="S630_3_Concretos_C27"/>
      <sheetName val="S630_4a_Concretos_D27"/>
      <sheetName val="S630_4b_Concretos_D27"/>
      <sheetName val="S630_6_CONCRETO_F27"/>
      <sheetName val="CONCRETO_G27"/>
      <sheetName val="S630_7_CONCRETO_G27"/>
      <sheetName val="s640_1_Acero_refuerzo27"/>
      <sheetName val="S642_13_Juntas_dilatacion27"/>
      <sheetName val="S644_2_Tuberia_PVC_4&quot;27"/>
      <sheetName val="_TUBERIA_36&quot;27"/>
      <sheetName val="S632_1_Baranda27"/>
      <sheetName val="_S661_1_TUBERIA_36&quot;_27"/>
      <sheetName val="S673_1_MAT__FILTRANTE27"/>
      <sheetName val="S673_2_GEOTEXTIL27"/>
      <sheetName val="TRANS__EXPLANACION27"/>
      <sheetName val="_S673_3_GEODREN_PLANAR_6&quot;27"/>
      <sheetName val="S681_1_GAVIONES27"/>
      <sheetName val="S700_1_Demarcacion27"/>
      <sheetName val="S700_2_Marca_víal27"/>
      <sheetName val="S701_1_tachas_reflectivas27"/>
      <sheetName val="S710_1_1_SEÑ_VERT__27"/>
      <sheetName val="S710_2_SEÑ_VERT_V27"/>
      <sheetName val="S710_1_2_SEÑ_VERT_27"/>
      <sheetName val="S730_1Defensas_27"/>
      <sheetName val="S800_2_CERCAS27"/>
      <sheetName val="S810_1_PROTECCION_TALUDES27"/>
      <sheetName val="S900_2Trans_explan27"/>
      <sheetName val="Tratamiento_fisuras27"/>
      <sheetName val="MARCAS_VIALES27"/>
      <sheetName val="Geomalla_con_fibra_de_vidrio27"/>
      <sheetName val="Anclajes_pasivos_4#627"/>
      <sheetName val="SNP1-geomalla_fibra_Vidrio27"/>
      <sheetName val="SNP2-geomalla_Biaxial27"/>
      <sheetName val="SNP3_concreto_3500_27"/>
      <sheetName val="SNP4_CEM__ASFALTICO27"/>
      <sheetName val="SNP5_MTTO_RUTINARIO27"/>
      <sheetName val="SNP6_Drenes27"/>
      <sheetName val="SNP7_Anclajes_pasivos_4#627"/>
      <sheetName val="SNP8_Anclajes_activos_2_Tor27"/>
      <sheetName val="SNP9_Anclajes_activos_4_Tor27"/>
      <sheetName val="SNP10_MATERIAL_3&quot;_TRIT27"/>
      <sheetName val="SNP11_Material_Relleno27"/>
      <sheetName val="SNP12_CUNETAS_3_00027"/>
      <sheetName val="SNP13_PARCHEO27"/>
      <sheetName val="SNP14_SELLO_JUNTAS27"/>
      <sheetName val="SNP15_Pilotes27"/>
      <sheetName val="SNP16_EXCAV__PAVIMENTO27"/>
      <sheetName val="SNP17_TRANS_BASE27"/>
      <sheetName val="SNP18_AFIRMADO_3&quot;27"/>
      <sheetName val="alcantarilla_K69+10327"/>
      <sheetName val="alcantarilla_K68+43727"/>
      <sheetName val="alcantarilla_K67+45527"/>
      <sheetName val="BOX_110+520_PUENTE_EL_VERDE27"/>
      <sheetName val="Muro_K99+070327"/>
      <sheetName val="MURO_K104+45427"/>
      <sheetName val="Muro_K109+057027"/>
      <sheetName val="BOX_K27"/>
      <sheetName val="INFORME_SEMANAL24"/>
      <sheetName val="201_724"/>
      <sheetName val="211_124"/>
      <sheetName val="320_224"/>
      <sheetName val="330_124"/>
      <sheetName val="330_224"/>
      <sheetName val="411_224"/>
      <sheetName val="450_2P24"/>
      <sheetName val="450_9P24"/>
      <sheetName val="461_124"/>
      <sheetName val="465_124"/>
      <sheetName val="464_1P24"/>
      <sheetName val="600_224"/>
      <sheetName val="630_524"/>
      <sheetName val="630_624"/>
      <sheetName val="630_724"/>
      <sheetName val="681_124"/>
      <sheetName val="670_P24"/>
      <sheetName val="671_P24"/>
      <sheetName val="674_224"/>
      <sheetName val="450_3P24"/>
      <sheetName val="621_1P24"/>
      <sheetName val="610_2P24"/>
      <sheetName val="230_224"/>
      <sheetName val="230_2P24"/>
      <sheetName val="621_1-1P24"/>
      <sheetName val="621_1_2P24"/>
      <sheetName val="PESO_VARILLAS24"/>
      <sheetName val="210_1_123"/>
      <sheetName val="210_1_223"/>
      <sheetName val="210_2_123"/>
      <sheetName val="220_123"/>
      <sheetName val="420_123"/>
      <sheetName val="421_123"/>
      <sheetName val="630_4_123"/>
      <sheetName val="640_1_123"/>
      <sheetName val="4P_1_123"/>
      <sheetName val="671_123"/>
      <sheetName val="673P_123"/>
      <sheetName val="674p_223"/>
      <sheetName val="640_1_223"/>
      <sheetName val="640_1_423"/>
      <sheetName val="630_3_123"/>
      <sheetName val="700_123"/>
      <sheetName val="701_223"/>
      <sheetName val="710_123"/>
      <sheetName val="730_123"/>
      <sheetName val="TORTA_EST23"/>
      <sheetName val="Indicadores_Y_Listas23"/>
      <sheetName val="Lista ICCU"/>
      <sheetName val="PU"/>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MATERIALES Y RECURSOS"/>
      <sheetName val="ó&gt;????j0$?#???j_$?#???LÓu????"/>
      <sheetName val="CORTE DE OBRA N° 1"/>
      <sheetName val="memoria"/>
      <sheetName val="memoria 1"/>
      <sheetName val="REAJUSTESACTA1PROVI"/>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refreshError="1"/>
      <sheetData sheetId="281" refreshError="1"/>
      <sheetData sheetId="282" refreshError="1"/>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refreshError="1"/>
      <sheetData sheetId="809" refreshError="1"/>
      <sheetData sheetId="810" refreshError="1"/>
      <sheetData sheetId="811" refreshError="1"/>
      <sheetData sheetId="812" refreshError="1"/>
      <sheetData sheetId="813" refreshError="1"/>
      <sheetData sheetId="814" refreshError="1"/>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refreshError="1"/>
      <sheetData sheetId="1029" refreshError="1"/>
      <sheetData sheetId="1030" refreshError="1"/>
      <sheetData sheetId="1031" refreshError="1"/>
      <sheetData sheetId="1032" refreshError="1"/>
      <sheetData sheetId="1033" refreshError="1"/>
      <sheetData sheetId="1034"/>
      <sheetData sheetId="1035"/>
      <sheetData sheetId="1036"/>
      <sheetData sheetId="1037"/>
      <sheetData sheetId="1038" refreshError="1"/>
      <sheetData sheetId="1039"/>
      <sheetData sheetId="1040"/>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refreshError="1"/>
      <sheetData sheetId="1685" refreshError="1"/>
      <sheetData sheetId="1686" refreshError="1"/>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refreshError="1"/>
      <sheetData sheetId="1701" refreshError="1"/>
      <sheetData sheetId="1702"/>
      <sheetData sheetId="1703"/>
      <sheetData sheetId="1704"/>
      <sheetData sheetId="1705" refreshError="1"/>
      <sheetData sheetId="1706" refreshError="1"/>
      <sheetData sheetId="1707" refreshError="1"/>
      <sheetData sheetId="1708" refreshError="1"/>
      <sheetData sheetId="1709" refreshError="1"/>
      <sheetData sheetId="1710" refreshError="1"/>
      <sheetData sheetId="1711" refreshError="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refreshError="1"/>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refreshError="1"/>
      <sheetData sheetId="5409" refreshError="1"/>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refreshError="1"/>
      <sheetData sheetId="5425"/>
      <sheetData sheetId="5426"/>
      <sheetData sheetId="5427"/>
      <sheetData sheetId="5428"/>
      <sheetData sheetId="542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EMS"/>
      <sheetName val="precios-básicos2002"/>
      <sheetName val="UNITARIO"/>
      <sheetName val="Hoja3"/>
      <sheetName val="RESUMEN"/>
      <sheetName val="lecho ri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Summary"/>
      <sheetName val="Options"/>
      <sheetName val="Rail Capex Depreciation"/>
      <sheetName val="Title"/>
      <sheetName val="Parameters"/>
      <sheetName val="NPV Summary"/>
      <sheetName val="NPV Summary 100% Carboandes"/>
      <sheetName val="NPV Summary only Carboandes"/>
      <sheetName val="Cost Summ"/>
      <sheetName val="Economic  Graphs"/>
      <sheetName val="Sensitivities"/>
      <sheetName val="Quantity Graphs"/>
      <sheetName val="Deprec"/>
      <sheetName val="Coal Stocks &amp; Wkg Cap"/>
      <sheetName val="Total Cap"/>
      <sheetName val="Other Cap"/>
      <sheetName val="Init Cap"/>
      <sheetName val="Repl Cap"/>
      <sheetName val="Init"/>
      <sheetName val="Repl"/>
      <sheetName val="Total Op Costs"/>
      <sheetName val="Other Op Costs"/>
      <sheetName val="Blasting"/>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Utilisation"/>
      <sheetName val="Roster"/>
      <sheetName val="Fleet"/>
      <sheetName val="Combined Schedule Summary"/>
      <sheetName val="Paste In Schedule_LJ"/>
      <sheetName val="Paste In Schedule_LJ2"/>
      <sheetName val="Paste In Utilisation"/>
      <sheetName val="Paste In Fleet"/>
      <sheetName val="Paste in Roster"/>
      <sheetName val="Equip Data"/>
      <sheetName val="Not Used ------&gt;"/>
      <sheetName val="Update_Header_Footer"/>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turitas Valuation Summary"/>
      <sheetName val="Title"/>
      <sheetName val="Options"/>
      <sheetName val="Project Finance"/>
      <sheetName val="Equipment Leasing"/>
      <sheetName val="Parameters"/>
      <sheetName val="Pricing"/>
      <sheetName val="NPV Summary"/>
      <sheetName val="Cost Summ"/>
      <sheetName val="Sensitivities"/>
      <sheetName val="Economic  Graphs"/>
      <sheetName val="Quantity Graphs"/>
      <sheetName val="Deprec"/>
      <sheetName val="Coal Stocks &amp; Wkg Cap"/>
      <sheetName val="Total Cap"/>
      <sheetName val="Other Cap"/>
      <sheetName val="Init Cap"/>
      <sheetName val="Repl Cap"/>
      <sheetName val="Init"/>
      <sheetName val="Repl"/>
      <sheetName val="Total Op Costs"/>
      <sheetName val="Other Op Costs"/>
      <sheetName val="Royalties"/>
      <sheetName val="Blasting"/>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Utilisation"/>
      <sheetName val="Roster"/>
      <sheetName val="Fleet"/>
      <sheetName val="Combined Schedule Summary"/>
      <sheetName val="Paste in 2007 Capex"/>
      <sheetName val="Paste In Schedule_CDJ"/>
      <sheetName val="Paste In Schedule_Cal"/>
      <sheetName val="Paste In Utilisation"/>
      <sheetName val="Paste In Fleet"/>
      <sheetName val="Paste in Roster"/>
      <sheetName val="Equip Data"/>
      <sheetName val="Not Used ------&gt;"/>
      <sheetName val="Update_Header_Foote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DA Summary"/>
      <sheetName val="Cover"/>
      <sheetName val="Summary for IG"/>
      <sheetName val="Summary page"/>
      <sheetName val="Index"/>
      <sheetName val="Title"/>
      <sheetName val="NPV Summary"/>
      <sheetName val="Price"/>
      <sheetName val="Cost Summ"/>
      <sheetName val="Tax workings"/>
      <sheetName val="Sensitivities"/>
      <sheetName val="Tax summary"/>
      <sheetName val="Economic  Graphs"/>
      <sheetName val="Quantity Graphs"/>
      <sheetName val="Deprec"/>
      <sheetName val="Coal Stocks &amp; Wkg Cap"/>
      <sheetName val="Total Cap"/>
      <sheetName val="Other Cap GIAG"/>
      <sheetName val="Other Cap JG"/>
      <sheetName val="mine capital"/>
      <sheetName val="Propuerto op costs"/>
      <sheetName val="Propuerto capex"/>
      <sheetName val="Updated CAPEX"/>
      <sheetName val="Repl Cap"/>
      <sheetName val="Repl Cap - Contractor"/>
      <sheetName val="Init Cap"/>
      <sheetName val="Init Cap - Contractor"/>
      <sheetName val="Init"/>
      <sheetName val="Repl"/>
      <sheetName val="Total Op Costs"/>
      <sheetName val="Other Op Costs"/>
      <sheetName val="Royalties"/>
      <sheetName val="Other Op Costs-Security"/>
      <sheetName val="Rail Opex"/>
      <sheetName val="Blasting"/>
      <sheetName val="Contractors"/>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Power Consump"/>
      <sheetName val="Fuel Cons"/>
      <sheetName val="Equip Annual Hours"/>
      <sheetName val="Fleet Cost Hrs"/>
      <sheetName val="Fleet Op Hrs"/>
      <sheetName val="Roster"/>
      <sheetName val="Utilisation"/>
      <sheetName val="Fleet"/>
      <sheetName val="Combined Schedule Summary"/>
      <sheetName val="Waste Sched"/>
      <sheetName val="Coal Sched"/>
      <sheetName val="Waste Sched GIAG"/>
      <sheetName val="Coal Sched GIAG"/>
      <sheetName val="Waste Sched Update"/>
      <sheetName val="Coal Sched Update"/>
      <sheetName val="Paste In Utilisation"/>
      <sheetName val="Paste in Roster"/>
      <sheetName val="Paste In Fleet"/>
      <sheetName val="Paste In Utilisation GIAG"/>
      <sheetName val="Paste in Roster GIAG"/>
      <sheetName val="Paste In Fleet GIAG"/>
      <sheetName val="Paste In Utilisation Update"/>
      <sheetName val="Paste in Roster Update"/>
      <sheetName val="Paste In Fleet Update"/>
      <sheetName val="Equip Data"/>
      <sheetName val="Depr Custom duties - Prodeco"/>
      <sheetName val="Cashflow"/>
      <sheetName val="Summary"/>
      <sheetName val="PV -JV"/>
      <sheetName val="Not Used ------&gt;"/>
      <sheetName val="Nom IS&amp;BS"/>
      <sheetName val="Update_Header_Foo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3"/>
      <sheetName val="Hoja4"/>
    </sheetNames>
    <sheetDataSet>
      <sheetData sheetId="0"/>
      <sheetData sheetId="1"/>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3"/>
      <sheetName val="Hoja4"/>
    </sheetNames>
    <sheetDataSet>
      <sheetData sheetId="0"/>
      <sheetData sheetId="1"/>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Ensayos Laboratorio"/>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Ensayos Laboratorio"/>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PART"/>
      <sheetName val="A. P. U."/>
      <sheetName val="Listado"/>
      <sheetName val="PPTOS"/>
      <sheetName val="Borrable"/>
      <sheetName val="Analisis de Precios Unitarios A"/>
      <sheetName val="Analisis%20de%20Precios%20Unita"/>
      <sheetName val="INDICMICROEMP"/>
      <sheetName val="Análisis de precios"/>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INDICE"/>
      <sheetName val="FLUJOS"/>
      <sheetName val="ESTADO VÍA-CRIT.TECNICO"/>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NITARIO"/>
      <sheetName val="presupuesto"/>
      <sheetName val="presupuesto (2)"/>
      <sheetName val="lista de precio"/>
      <sheetName val="ANL BASICO"/>
    </sheetNames>
    <sheetDataSet>
      <sheetData sheetId="0" refreshError="1"/>
      <sheetData sheetId="1" refreshError="1"/>
      <sheetData sheetId="2" refreshError="1"/>
      <sheetData sheetId="3"/>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Equip.Herram" displayName="Equip.Herram" ref="A2:F18" totalsRowShown="0" headerRowDxfId="83" headerRowBorderDxfId="82" tableBorderDxfId="81">
  <autoFilter ref="A2:F18" xr:uid="{00000000-0009-0000-0100-000003000000}"/>
  <tableColumns count="6">
    <tableColumn id="1" xr3:uid="{00000000-0010-0000-0200-000001000000}" name="Código"/>
    <tableColumn id="2" xr3:uid="{00000000-0010-0000-0200-000002000000}" name="Descripción" dataDxfId="80"/>
    <tableColumn id="6" xr3:uid="{00000000-0010-0000-0200-000006000000}" name="Unidad" dataDxfId="79"/>
    <tableColumn id="3" xr3:uid="{00000000-0010-0000-0200-000003000000}" name="Tarifa / día" dataDxfId="78"/>
    <tableColumn id="4" xr3:uid="{00000000-0010-0000-0200-000004000000}" name="Fuente" dataDxfId="77"/>
    <tableColumn id="5" xr3:uid="{00000000-0010-0000-0200-000005000000}" name="Fecha" dataDxfId="76"/>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ransporte" displayName="Transporte" ref="A4:H14" totalsRowShown="0" headerRowDxfId="75" headerRowBorderDxfId="74" tableBorderDxfId="73" totalsRowBorderDxfId="72">
  <autoFilter ref="A4:H14" xr:uid="{00000000-0009-0000-0100-000005000000}"/>
  <sortState xmlns:xlrd2="http://schemas.microsoft.com/office/spreadsheetml/2017/richdata2" ref="A5:H11">
    <sortCondition ref="A4:A11"/>
  </sortState>
  <tableColumns count="8">
    <tableColumn id="1" xr3:uid="{00000000-0010-0000-0300-000001000000}" name="Código" dataDxfId="71"/>
    <tableColumn id="2" xr3:uid="{00000000-0010-0000-0300-000002000000}" name="Tipo de Transporte" dataDxfId="70"/>
    <tableColumn id="3" xr3:uid="{00000000-0010-0000-0300-000003000000}" name="Origen" dataDxfId="69"/>
    <tableColumn id="4" xr3:uid="{00000000-0010-0000-0300-000004000000}" name="Destino" dataDxfId="68"/>
    <tableColumn id="5" xr3:uid="{00000000-0010-0000-0300-000005000000}" name="Valor / Trayecto*Persona" dataDxfId="67"/>
    <tableColumn id="8" xr3:uid="{00000000-0010-0000-0300-000008000000}" name="Valor / Mes" dataDxfId="66"/>
    <tableColumn id="6" xr3:uid="{00000000-0010-0000-0300-000006000000}" name="Valor / Kg"/>
    <tableColumn id="7" xr3:uid="{00000000-0010-0000-0300-000007000000}" name="Fuente" dataDxfId="65"/>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ManoObra" displayName="ManoObra" ref="A12:J34" totalsRowShown="0" headerRowDxfId="64" headerRowBorderDxfId="63" tableBorderDxfId="62">
  <autoFilter ref="A12:J34" xr:uid="{00000000-0009-0000-0100-000002000000}"/>
  <tableColumns count="10">
    <tableColumn id="8" xr3:uid="{00000000-0010-0000-0400-000008000000}" name="Código" dataDxfId="61"/>
    <tableColumn id="1" xr3:uid="{00000000-0010-0000-0400-000001000000}" name="Cargo" dataDxfId="60"/>
    <tableColumn id="9" xr3:uid="{00000000-0010-0000-0400-000009000000}" name="Categoría" dataDxfId="59"/>
    <tableColumn id="2" xr3:uid="{00000000-0010-0000-0400-000002000000}" name="Valor mensual base" dataDxfId="58"/>
    <tableColumn id="3" xr3:uid="{00000000-0010-0000-0400-000003000000}" name="Auxilio de transporte" dataDxfId="57">
      <calculatedColumnFormula>IF(D13&gt;2*$D$5,0,$D$6)</calculatedColumnFormula>
    </tableColumn>
    <tableColumn id="4" xr3:uid="{00000000-0010-0000-0400-000004000000}" name="Margen positivo" dataDxfId="56">
      <calculatedColumnFormula>$C$7</calculatedColumnFormula>
    </tableColumn>
    <tableColumn id="5" xr3:uid="{00000000-0010-0000-0400-000005000000}" name="Valor Jornal" dataDxfId="55">
      <calculatedColumnFormula>ROUND((D13+E13)/$C$8*(1+F13),0)</calculatedColumnFormula>
    </tableColumn>
    <tableColumn id="10" xr3:uid="{32EDFECE-4765-4658-B28A-54C8202E6F30}" name="Columna1" dataDxfId="54">
      <calculatedColumnFormula>+(ManoObra[[#This Row],[Valor mensual base]]+ManoObra[[#This Row],[Auxilio de transporte]])*(1+ManoObra[[#This Row],[Margen positivo]])</calculatedColumnFormula>
    </tableColumn>
    <tableColumn id="6" xr3:uid="{00000000-0010-0000-0400-000006000000}" name="Fuente" dataDxfId="53"/>
    <tableColumn id="7" xr3:uid="{00000000-0010-0000-0400-000007000000}" name="Fecha" dataDxfId="52"/>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a1" displayName="Tabla1" ref="B1:I11" totalsRowCount="1" dataDxfId="51">
  <autoFilter ref="B1:I10" xr:uid="{00000000-0009-0000-0100-000007000000}"/>
  <tableColumns count="8">
    <tableColumn id="1" xr3:uid="{00000000-0010-0000-0000-000001000000}" name="VEREDA" totalsRowLabel="Total" dataDxfId="50" totalsRowDxfId="49"/>
    <tableColumn id="2" xr3:uid="{00000000-0010-0000-0000-000002000000}" name="USUARIOS" totalsRowFunction="sum" dataDxfId="48" totalsRowDxfId="47" dataCellStyle="Normal 3"/>
    <tableColumn id="4" xr3:uid="{06218AC7-1F98-4C3B-A28D-CA8690C91F97}" name="USUARIOS MK" totalsRowFunction="custom" dataDxfId="46" totalsRowDxfId="45" dataCellStyle="Normal 3">
      <totalsRowFormula>SUM(D2:D10)</totalsRowFormula>
    </tableColumn>
    <tableColumn id="3" xr3:uid="{00000000-0010-0000-0000-000003000000}" name="INDIVIDUALES" totalsRowFunction="sum" dataDxfId="44" totalsRowDxfId="43">
      <calculatedColumnFormula>Tabla1[[#This Row],[USUARIOS]]-Tabla1[[#This Row],[USUARIOS MK]]</calculatedColumnFormula>
    </tableColumn>
    <tableColumn id="23" xr3:uid="{D2DE9ACE-9390-45BF-A49A-C04DF99C2D31}" name="MR 5 - 8" totalsRowFunction="sum" dataDxfId="42" totalsRowDxfId="41" dataCellStyle="Normal 3"/>
    <tableColumn id="22" xr3:uid="{C7C3C53B-34E1-47FF-BF21-A30C8E484473}" name="MR 10-16" totalsRowFunction="sum" dataDxfId="40" totalsRowDxfId="39" dataCellStyle="Normal 3"/>
    <tableColumn id="5" xr3:uid="{14E368AC-535A-41E5-BD20-9A92BBFAF87B}" name="MR 15-24" totalsRowFunction="sum" dataDxfId="38" totalsRowDxfId="37" dataCellStyle="Normal 3"/>
    <tableColumn id="11" xr3:uid="{00000000-0010-0000-0000-00000B000000}" name="OBSERVACIONES" dataDxfId="36" totalsRowDxfId="35"/>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Materiales" displayName="Materiales" ref="A4:I398" totalsRowShown="0" headerRowDxfId="34" dataDxfId="32" headerRowBorderDxfId="33" tableBorderDxfId="31" totalsRowBorderDxfId="30">
  <autoFilter ref="A4:I398" xr:uid="{00000000-0009-0000-0100-000001000000}"/>
  <sortState xmlns:xlrd2="http://schemas.microsoft.com/office/spreadsheetml/2017/richdata2" ref="A5:I398">
    <sortCondition ref="A398"/>
  </sortState>
  <tableColumns count="9">
    <tableColumn id="1" xr3:uid="{00000000-0010-0000-0100-000001000000}" name="Codigo" dataDxfId="29"/>
    <tableColumn id="5" xr3:uid="{00000000-0010-0000-0100-000005000000}" name="CATEGORÍA" dataDxfId="28"/>
    <tableColumn id="2" xr3:uid="{00000000-0010-0000-0100-000002000000}" name="Material" dataDxfId="27"/>
    <tableColumn id="3" xr3:uid="{00000000-0010-0000-0100-000003000000}" name="Unidad" dataDxfId="26"/>
    <tableColumn id="6" xr3:uid="{00000000-0010-0000-0100-000006000000}" name="Peso Kg" dataDxfId="25"/>
    <tableColumn id="4" xr3:uid="{00000000-0010-0000-0100-000004000000}" name="Valor Unitario" dataDxfId="24">
      <calculatedColumnFormula>+ROUND(Materiales[[#This Row],[PRECIO BASE]]*(1+Materiales[[#This Row],[AJUSTE POSITIVO]]),0)</calculatedColumnFormula>
    </tableColumn>
    <tableColumn id="20" xr3:uid="{00000000-0010-0000-0100-000014000000}" name="PRECIO BASE" dataDxfId="23"/>
    <tableColumn id="19" xr3:uid="{00000000-0010-0000-0100-000013000000}" name="AJUSTE POSITIVO" dataDxfId="22"/>
    <tableColumn id="7" xr3:uid="{00000000-0010-0000-0100-000007000000}" name="FUENTE" dataDxfId="21"/>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PersonalINT" displayName="PersonalINT" ref="A15:K26" totalsRowShown="0" headerRowDxfId="20" headerRowBorderDxfId="19" tableBorderDxfId="18">
  <autoFilter ref="A15:K26" xr:uid="{00000000-0009-0000-0100-000004000000}"/>
  <tableColumns count="11">
    <tableColumn id="1" xr3:uid="{00000000-0010-0000-0600-000001000000}" name="Código" dataDxfId="17"/>
    <tableColumn id="2" xr3:uid="{00000000-0010-0000-0600-000002000000}" name="Item" dataDxfId="16"/>
    <tableColumn id="3" xr3:uid="{00000000-0010-0000-0600-000003000000}" name="Cargo" dataDxfId="15">
      <calculatedColumnFormula>VLOOKUP($A16,ManoObra[],2,FALSE)</calculatedColumnFormula>
    </tableColumn>
    <tableColumn id="4" xr3:uid="{00000000-0010-0000-0600-000004000000}" name="Categoría" dataDxfId="14">
      <calculatedColumnFormula>VLOOKUP($A16,ManoObra[],3,FALSE)</calculatedColumnFormula>
    </tableColumn>
    <tableColumn id="5" xr3:uid="{00000000-0010-0000-0600-000005000000}" name="No. Meses" dataDxfId="13">
      <calculatedColumnFormula>'TIEMPO EJECUCIÓN'!$B$19</calculatedColumnFormula>
    </tableColumn>
    <tableColumn id="6" xr3:uid="{00000000-0010-0000-0600-000006000000}" name="No. Personas" dataDxfId="12"/>
    <tableColumn id="7" xr3:uid="{00000000-0010-0000-0600-000007000000}" name="% Dedicación" dataDxfId="11"/>
    <tableColumn id="8" xr3:uid="{00000000-0010-0000-0600-000008000000}" name="Factor Prestacional" dataDxfId="10">
      <calculatedColumnFormula>FP!$B$28</calculatedColumnFormula>
    </tableColumn>
    <tableColumn id="9" xr3:uid="{00000000-0010-0000-0600-000009000000}" name="Salario mensual" dataDxfId="9">
      <calculatedColumnFormula>ROUND(VLOOKUP($A16,ManoObra[],4,FALSE)*1.1,0)</calculatedColumnFormula>
    </tableColumn>
    <tableColumn id="10" xr3:uid="{00000000-0010-0000-0600-00000A000000}" name="Auxilio de transporte" dataDxfId="8">
      <calculatedColumnFormula>VLOOKUP($A16,ManoObra[],5,FALSE)</calculatedColumnFormula>
    </tableColumn>
    <tableColumn id="11" xr3:uid="{00000000-0010-0000-0600-00000B000000}" name="Total" dataDxfId="7">
      <calculatedColumnFormula>ROUND(I16*H16*G16*F16*E16+J16,0)</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maquitecdecolombia.com/compra-de/consumibles/discos-abrasivos/corte-metal-14-discos-abrasivos/disco-abrasivo-14-corte-metal/" TargetMode="External"/><Relationship Id="rId13" Type="http://schemas.openxmlformats.org/officeDocument/2006/relationships/hyperlink" Target="https://www.tiendascalypso.com/geotextil-tejido-2100/p?idsku=622&amp;utm_term=&amp;utm_campaign=shopping-campana-inteligente&amp;utm_source=adwords&amp;utm_medium=ppc" TargetMode="External"/><Relationship Id="rId18" Type="http://schemas.openxmlformats.org/officeDocument/2006/relationships/hyperlink" Target="https://www.woodpecker.com.co/productos/muros" TargetMode="External"/><Relationship Id="rId3" Type="http://schemas.openxmlformats.org/officeDocument/2006/relationships/hyperlink" Target="https://belltec.com.co/taladros-percutores/21355-taladro-percutor-16mm-58-vvr-760w-makita-hp1640.html" TargetMode="External"/><Relationship Id="rId7" Type="http://schemas.openxmlformats.org/officeDocument/2006/relationships/hyperlink" Target="https://www.centralquipos.com/producto/mini-retroexcavadora/" TargetMode="External"/><Relationship Id="rId12" Type="http://schemas.openxmlformats.org/officeDocument/2006/relationships/hyperlink" Target="https://mitiendacoval.com/epoxicos/sika-anchorfix-2-x-300-ml-sika?mitiendacoval.com=&amp;gclid=CjwKCAjw67ajBhAVEiwA2g_jEN1NLa3VuDne_Ih094KvrDWHKtt3_cF7sB6vymWpFDn35NowSgZuzRoCVe0QAvD_BwE" TargetMode="External"/><Relationship Id="rId17" Type="http://schemas.openxmlformats.org/officeDocument/2006/relationships/hyperlink" Target="https://www.homecenter.com.co/homecenter-co/product/13302/tubo-rectangular-80-x-40-x-25mm-x-6m-estructural-hr50/13302/" TargetMode="External"/><Relationship Id="rId2" Type="http://schemas.openxmlformats.org/officeDocument/2006/relationships/hyperlink" Target="https://www.centralquipos.com/producto/vibrador-electrico/" TargetMode="External"/><Relationship Id="rId16" Type="http://schemas.openxmlformats.org/officeDocument/2006/relationships/hyperlink" Target="https://homecenter.falabella.com.co/homecenter-co/product/118865057/Tornillo-Hexagonal-3-8X2-1-2-Y-Tuerca/118865058" TargetMode="External"/><Relationship Id="rId20" Type="http://schemas.openxmlformats.org/officeDocument/2006/relationships/drawing" Target="../drawings/drawing1.xml"/><Relationship Id="rId1" Type="http://schemas.openxmlformats.org/officeDocument/2006/relationships/hyperlink" Target="https://www.centralquipos.com/producto/concretadoras/" TargetMode="External"/><Relationship Id="rId6" Type="http://schemas.openxmlformats.org/officeDocument/2006/relationships/hyperlink" Target="https://www.centralquipos.com/producto/apisonador-canguro/" TargetMode="External"/><Relationship Id="rId11" Type="http://schemas.openxmlformats.org/officeDocument/2006/relationships/hyperlink" Target="https://shopee.com.co/product/682720449/14854455124?gclid=CjwKCAjw67ajBhAVEiwA2g_jED39wh8bzhS5ZYDvtHFHSTysajHbvU2gBGWOERn0Up212tj233GjGBoCsDwQAvD_BwE" TargetMode="External"/><Relationship Id="rId5" Type="http://schemas.openxmlformats.org/officeDocument/2006/relationships/hyperlink" Target="https://www.centralquipos.com/producto/equipo-oxicorte-autogena/" TargetMode="External"/><Relationship Id="rId15" Type="http://schemas.openxmlformats.org/officeDocument/2006/relationships/hyperlink" Target="https://mallasjuliotorres.com/producto/malla-eslabonada-pvc-azul-por-rollos/" TargetMode="External"/><Relationship Id="rId10" Type="http://schemas.openxmlformats.org/officeDocument/2006/relationships/hyperlink" Target="https://tiendamakita.com/brocas-y-acc-para-rotomartillos-sds-plus/2797-broca-sds-plus-makita-58-x-12-pulg-d01018.html" TargetMode="External"/><Relationship Id="rId19" Type="http://schemas.openxmlformats.org/officeDocument/2006/relationships/hyperlink" Target="https://www.woodpecker.com.co/productos/muros" TargetMode="External"/><Relationship Id="rId4" Type="http://schemas.openxmlformats.org/officeDocument/2006/relationships/hyperlink" Target="https://ferricentro.com/producto/taladro-percutor-electrico-5-8-780w-v-v-r/" TargetMode="External"/><Relationship Id="rId9" Type="http://schemas.openxmlformats.org/officeDocument/2006/relationships/hyperlink" Target="https://maquitecdecolombia.com/compra-de/consumibles/broca/sds-plus-broca/broca-sds-plus-5-bosch-5-8-x-6/" TargetMode="External"/><Relationship Id="rId14" Type="http://schemas.openxmlformats.org/officeDocument/2006/relationships/hyperlink" Target="https://www.tiendascalypso.com/geotextil-tejido-2400/p?idsku=2850&amp;utm_term=&amp;utm_campaign=shopping-campana-inteligente&amp;utm_source=adwords&amp;utm_medium=ppc"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computrabajo.com.co/salarios/gerente-de-proyectos" TargetMode="External"/><Relationship Id="rId7" Type="http://schemas.openxmlformats.org/officeDocument/2006/relationships/printerSettings" Target="../printerSettings/printerSettings15.bin"/><Relationship Id="rId2" Type="http://schemas.openxmlformats.org/officeDocument/2006/relationships/hyperlink" Target="https://www.computrabajo.com.co/salarios/asistentea-administrativo" TargetMode="External"/><Relationship Id="rId1" Type="http://schemas.openxmlformats.org/officeDocument/2006/relationships/hyperlink" Target="https://www.computrabajo.com.co/salarios/asesoresas-profesionales" TargetMode="External"/><Relationship Id="rId6" Type="http://schemas.openxmlformats.org/officeDocument/2006/relationships/hyperlink" Target="https://www.computrabajo.com.co/salarios/abogadoa" TargetMode="External"/><Relationship Id="rId5" Type="http://schemas.openxmlformats.org/officeDocument/2006/relationships/hyperlink" Target="https://www.computrabajo.com.co/salarios/financieroa" TargetMode="External"/><Relationship Id="rId4" Type="http://schemas.openxmlformats.org/officeDocument/2006/relationships/hyperlink" Target="https://www.computrabajo.com.co/salarios/especialista"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interelectricas.com.co/175-moldes-para-soldadura" TargetMode="External"/><Relationship Id="rId1" Type="http://schemas.openxmlformats.org/officeDocument/2006/relationships/hyperlink" Target="http://cachicamoweb.com/producto/alquiler-de-gps-garmin/" TargetMode="External"/><Relationship Id="rId4" Type="http://schemas.openxmlformats.org/officeDocument/2006/relationships/table" Target="../tables/table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26.bin"/><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4.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28.bin"/><Relationship Id="rId4" Type="http://schemas.openxmlformats.org/officeDocument/2006/relationships/comments" Target="../comments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29.bin"/><Relationship Id="rId4" Type="http://schemas.openxmlformats.org/officeDocument/2006/relationships/comments" Target="../comments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30.bin"/><Relationship Id="rId4" Type="http://schemas.openxmlformats.org/officeDocument/2006/relationships/comments" Target="../comments7.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31.bin"/><Relationship Id="rId4" Type="http://schemas.openxmlformats.org/officeDocument/2006/relationships/comments" Target="../comments8.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32.bin"/><Relationship Id="rId4" Type="http://schemas.openxmlformats.org/officeDocument/2006/relationships/comments" Target="../comments9.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33.bin"/><Relationship Id="rId4" Type="http://schemas.openxmlformats.org/officeDocument/2006/relationships/comments" Target="../comments10.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34.bin"/><Relationship Id="rId4" Type="http://schemas.openxmlformats.org/officeDocument/2006/relationships/comments" Target="../comments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36.bin"/><Relationship Id="rId4" Type="http://schemas.openxmlformats.org/officeDocument/2006/relationships/comments" Target="../comments12.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37.bin"/><Relationship Id="rId4" Type="http://schemas.openxmlformats.org/officeDocument/2006/relationships/comments" Target="../comments1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38.bin"/><Relationship Id="rId4" Type="http://schemas.openxmlformats.org/officeDocument/2006/relationships/comments" Target="../comments14.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2.xml"/><Relationship Id="rId1" Type="http://schemas.openxmlformats.org/officeDocument/2006/relationships/printerSettings" Target="../printerSettings/printerSettings39.bin"/><Relationship Id="rId4"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3.xml"/><Relationship Id="rId1" Type="http://schemas.openxmlformats.org/officeDocument/2006/relationships/printerSettings" Target="../printerSettings/printerSettings40.bin"/><Relationship Id="rId4" Type="http://schemas.openxmlformats.org/officeDocument/2006/relationships/comments" Target="../comments16.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4.xml"/><Relationship Id="rId1" Type="http://schemas.openxmlformats.org/officeDocument/2006/relationships/printerSettings" Target="../printerSettings/printerSettings41.bin"/><Relationship Id="rId4" Type="http://schemas.openxmlformats.org/officeDocument/2006/relationships/comments" Target="../comments17.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5.xml"/><Relationship Id="rId1" Type="http://schemas.openxmlformats.org/officeDocument/2006/relationships/printerSettings" Target="../printerSettings/printerSettings42.bin"/><Relationship Id="rId4" Type="http://schemas.openxmlformats.org/officeDocument/2006/relationships/comments" Target="../comments18.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6.xml"/><Relationship Id="rId1" Type="http://schemas.openxmlformats.org/officeDocument/2006/relationships/printerSettings" Target="../printerSettings/printerSettings43.bin"/><Relationship Id="rId4" Type="http://schemas.openxmlformats.org/officeDocument/2006/relationships/comments" Target="../comments1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7.xml"/><Relationship Id="rId1" Type="http://schemas.openxmlformats.org/officeDocument/2006/relationships/printerSettings" Target="../printerSettings/printerSettings44.bin"/><Relationship Id="rId4" Type="http://schemas.openxmlformats.org/officeDocument/2006/relationships/comments" Target="../comments20.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8.xml"/><Relationship Id="rId1" Type="http://schemas.openxmlformats.org/officeDocument/2006/relationships/printerSettings" Target="../printerSettings/printerSettings45.bin"/><Relationship Id="rId4" Type="http://schemas.openxmlformats.org/officeDocument/2006/relationships/comments" Target="../comments21.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9.xml"/><Relationship Id="rId1" Type="http://schemas.openxmlformats.org/officeDocument/2006/relationships/printerSettings" Target="../printerSettings/printerSettings46.bin"/><Relationship Id="rId4" Type="http://schemas.openxmlformats.org/officeDocument/2006/relationships/comments" Target="../comments22.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0.xml"/><Relationship Id="rId1" Type="http://schemas.openxmlformats.org/officeDocument/2006/relationships/printerSettings" Target="../printerSettings/printerSettings47.bin"/><Relationship Id="rId4" Type="http://schemas.openxmlformats.org/officeDocument/2006/relationships/comments" Target="../comments23.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1.xml"/><Relationship Id="rId1" Type="http://schemas.openxmlformats.org/officeDocument/2006/relationships/printerSettings" Target="../printerSettings/printerSettings48.bin"/><Relationship Id="rId4" Type="http://schemas.openxmlformats.org/officeDocument/2006/relationships/comments" Target="../comments24.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2.xml"/><Relationship Id="rId1" Type="http://schemas.openxmlformats.org/officeDocument/2006/relationships/printerSettings" Target="../printerSettings/printerSettings49.bin"/><Relationship Id="rId4" Type="http://schemas.openxmlformats.org/officeDocument/2006/relationships/comments" Target="../comments25.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3.xml"/><Relationship Id="rId1" Type="http://schemas.openxmlformats.org/officeDocument/2006/relationships/printerSettings" Target="../printerSettings/printerSettings50.bin"/><Relationship Id="rId4" Type="http://schemas.openxmlformats.org/officeDocument/2006/relationships/comments" Target="../comments26.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4.xml"/><Relationship Id="rId1" Type="http://schemas.openxmlformats.org/officeDocument/2006/relationships/printerSettings" Target="../printerSettings/printerSettings51.bin"/><Relationship Id="rId4" Type="http://schemas.openxmlformats.org/officeDocument/2006/relationships/comments" Target="../comments27.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5.xml"/><Relationship Id="rId1" Type="http://schemas.openxmlformats.org/officeDocument/2006/relationships/printerSettings" Target="../printerSettings/printerSettings52.bin"/><Relationship Id="rId4" Type="http://schemas.openxmlformats.org/officeDocument/2006/relationships/comments" Target="../comments28.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6.xml"/><Relationship Id="rId1" Type="http://schemas.openxmlformats.org/officeDocument/2006/relationships/printerSettings" Target="../printerSettings/printerSettings53.bin"/><Relationship Id="rId4" Type="http://schemas.openxmlformats.org/officeDocument/2006/relationships/comments" Target="../comments29.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7.xml"/><Relationship Id="rId1" Type="http://schemas.openxmlformats.org/officeDocument/2006/relationships/printerSettings" Target="../printerSettings/printerSettings54.bin"/><Relationship Id="rId4" Type="http://schemas.openxmlformats.org/officeDocument/2006/relationships/comments" Target="../comments30.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8.xml"/><Relationship Id="rId1" Type="http://schemas.openxmlformats.org/officeDocument/2006/relationships/printerSettings" Target="../printerSettings/printerSettings55.bin"/><Relationship Id="rId4" Type="http://schemas.openxmlformats.org/officeDocument/2006/relationships/comments" Target="../comments31.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9.xml"/><Relationship Id="rId1" Type="http://schemas.openxmlformats.org/officeDocument/2006/relationships/printerSettings" Target="../printerSettings/printerSettings56.bin"/><Relationship Id="rId4" Type="http://schemas.openxmlformats.org/officeDocument/2006/relationships/comments" Target="../comments32.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0.xml"/><Relationship Id="rId1" Type="http://schemas.openxmlformats.org/officeDocument/2006/relationships/printerSettings" Target="../printerSettings/printerSettings57.bin"/><Relationship Id="rId4" Type="http://schemas.openxmlformats.org/officeDocument/2006/relationships/comments" Target="../comments33.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1.xml"/><Relationship Id="rId1" Type="http://schemas.openxmlformats.org/officeDocument/2006/relationships/printerSettings" Target="../printerSettings/printerSettings58.bin"/><Relationship Id="rId4" Type="http://schemas.openxmlformats.org/officeDocument/2006/relationships/comments" Target="../comments34.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2.xml"/><Relationship Id="rId1" Type="http://schemas.openxmlformats.org/officeDocument/2006/relationships/printerSettings" Target="../printerSettings/printerSettings59.bin"/><Relationship Id="rId4" Type="http://schemas.openxmlformats.org/officeDocument/2006/relationships/comments" Target="../comments35.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3.xml"/><Relationship Id="rId1" Type="http://schemas.openxmlformats.org/officeDocument/2006/relationships/printerSettings" Target="../printerSettings/printerSettings60.bin"/><Relationship Id="rId4" Type="http://schemas.openxmlformats.org/officeDocument/2006/relationships/comments" Target="../comments36.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4.xml"/><Relationship Id="rId1" Type="http://schemas.openxmlformats.org/officeDocument/2006/relationships/printerSettings" Target="../printerSettings/printerSettings61.bin"/><Relationship Id="rId4" Type="http://schemas.openxmlformats.org/officeDocument/2006/relationships/comments" Target="../comments37.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5.xml"/><Relationship Id="rId1" Type="http://schemas.openxmlformats.org/officeDocument/2006/relationships/printerSettings" Target="../printerSettings/printerSettings62.bin"/><Relationship Id="rId4" Type="http://schemas.openxmlformats.org/officeDocument/2006/relationships/comments" Target="../comments38.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6.xml"/><Relationship Id="rId1" Type="http://schemas.openxmlformats.org/officeDocument/2006/relationships/printerSettings" Target="../printerSettings/printerSettings63.bin"/><Relationship Id="rId4" Type="http://schemas.openxmlformats.org/officeDocument/2006/relationships/comments" Target="../comments39.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7.xml"/><Relationship Id="rId1" Type="http://schemas.openxmlformats.org/officeDocument/2006/relationships/printerSettings" Target="../printerSettings/printerSettings64.bin"/><Relationship Id="rId4" Type="http://schemas.openxmlformats.org/officeDocument/2006/relationships/comments" Target="../comments40.x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8.xml"/><Relationship Id="rId1" Type="http://schemas.openxmlformats.org/officeDocument/2006/relationships/printerSettings" Target="../printerSettings/printerSettings65.bin"/><Relationship Id="rId4" Type="http://schemas.openxmlformats.org/officeDocument/2006/relationships/comments" Target="../comments41.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9.xml"/><Relationship Id="rId1" Type="http://schemas.openxmlformats.org/officeDocument/2006/relationships/printerSettings" Target="../printerSettings/printerSettings66.bin"/><Relationship Id="rId4" Type="http://schemas.openxmlformats.org/officeDocument/2006/relationships/comments" Target="../comments42.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0.xml"/><Relationship Id="rId1" Type="http://schemas.openxmlformats.org/officeDocument/2006/relationships/printerSettings" Target="../printerSettings/printerSettings67.bin"/><Relationship Id="rId4" Type="http://schemas.openxmlformats.org/officeDocument/2006/relationships/comments" Target="../comments43.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1.xml"/><Relationship Id="rId1" Type="http://schemas.openxmlformats.org/officeDocument/2006/relationships/printerSettings" Target="../printerSettings/printerSettings68.bin"/><Relationship Id="rId4" Type="http://schemas.openxmlformats.org/officeDocument/2006/relationships/comments" Target="../comments44.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2.xml"/><Relationship Id="rId1" Type="http://schemas.openxmlformats.org/officeDocument/2006/relationships/printerSettings" Target="../printerSettings/printerSettings69.bin"/><Relationship Id="rId4" Type="http://schemas.openxmlformats.org/officeDocument/2006/relationships/comments" Target="../comments45.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3.xml"/><Relationship Id="rId1" Type="http://schemas.openxmlformats.org/officeDocument/2006/relationships/printerSettings" Target="../printerSettings/printerSettings70.bin"/><Relationship Id="rId4" Type="http://schemas.openxmlformats.org/officeDocument/2006/relationships/comments" Target="../comments46.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4.xml"/><Relationship Id="rId1" Type="http://schemas.openxmlformats.org/officeDocument/2006/relationships/printerSettings" Target="../printerSettings/printerSettings71.bin"/><Relationship Id="rId4" Type="http://schemas.openxmlformats.org/officeDocument/2006/relationships/comments" Target="../comments47.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5.xml"/><Relationship Id="rId1" Type="http://schemas.openxmlformats.org/officeDocument/2006/relationships/printerSettings" Target="../printerSettings/printerSettings72.bin"/><Relationship Id="rId4" Type="http://schemas.openxmlformats.org/officeDocument/2006/relationships/comments" Target="../comments48.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6.xml"/><Relationship Id="rId1" Type="http://schemas.openxmlformats.org/officeDocument/2006/relationships/printerSettings" Target="../printerSettings/printerSettings73.bin"/><Relationship Id="rId4" Type="http://schemas.openxmlformats.org/officeDocument/2006/relationships/comments" Target="../comments49.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7.xml"/><Relationship Id="rId1" Type="http://schemas.openxmlformats.org/officeDocument/2006/relationships/printerSettings" Target="../printerSettings/printerSettings74.bin"/><Relationship Id="rId4" Type="http://schemas.openxmlformats.org/officeDocument/2006/relationships/comments" Target="../comments50.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8.xml"/><Relationship Id="rId1" Type="http://schemas.openxmlformats.org/officeDocument/2006/relationships/printerSettings" Target="../printerSettings/printerSettings75.bin"/><Relationship Id="rId4" Type="http://schemas.openxmlformats.org/officeDocument/2006/relationships/comments" Target="../comments51.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9.xml"/><Relationship Id="rId1" Type="http://schemas.openxmlformats.org/officeDocument/2006/relationships/printerSettings" Target="../printerSettings/printerSettings76.bin"/><Relationship Id="rId4" Type="http://schemas.openxmlformats.org/officeDocument/2006/relationships/comments" Target="../comments52.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60.xml"/><Relationship Id="rId1" Type="http://schemas.openxmlformats.org/officeDocument/2006/relationships/printerSettings" Target="../printerSettings/printerSettings77.bin"/><Relationship Id="rId4" Type="http://schemas.openxmlformats.org/officeDocument/2006/relationships/comments" Target="../comments53.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61.xml"/><Relationship Id="rId1" Type="http://schemas.openxmlformats.org/officeDocument/2006/relationships/printerSettings" Target="../printerSettings/printerSettings78.bin"/><Relationship Id="rId4" Type="http://schemas.openxmlformats.org/officeDocument/2006/relationships/comments" Target="../comments54.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62.xml"/><Relationship Id="rId1" Type="http://schemas.openxmlformats.org/officeDocument/2006/relationships/printerSettings" Target="../printerSettings/printerSettings79.bin"/><Relationship Id="rId4" Type="http://schemas.openxmlformats.org/officeDocument/2006/relationships/comments" Target="../comments55.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3.xml"/><Relationship Id="rId1" Type="http://schemas.openxmlformats.org/officeDocument/2006/relationships/printerSettings" Target="../printerSettings/printerSettings80.bin"/><Relationship Id="rId4" Type="http://schemas.openxmlformats.org/officeDocument/2006/relationships/comments" Target="../comments56.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64.xml"/><Relationship Id="rId1" Type="http://schemas.openxmlformats.org/officeDocument/2006/relationships/printerSettings" Target="../printerSettings/printerSettings81.bin"/><Relationship Id="rId4" Type="http://schemas.openxmlformats.org/officeDocument/2006/relationships/comments" Target="../comments57.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65.xml"/><Relationship Id="rId1" Type="http://schemas.openxmlformats.org/officeDocument/2006/relationships/printerSettings" Target="../printerSettings/printerSettings82.bin"/><Relationship Id="rId4" Type="http://schemas.openxmlformats.org/officeDocument/2006/relationships/comments" Target="../comments58.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6.xml"/><Relationship Id="rId1" Type="http://schemas.openxmlformats.org/officeDocument/2006/relationships/printerSettings" Target="../printerSettings/printerSettings83.bin"/><Relationship Id="rId4" Type="http://schemas.openxmlformats.org/officeDocument/2006/relationships/comments" Target="../comments59.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7.xml"/><Relationship Id="rId1" Type="http://schemas.openxmlformats.org/officeDocument/2006/relationships/printerSettings" Target="../printerSettings/printerSettings84.bin"/><Relationship Id="rId4" Type="http://schemas.openxmlformats.org/officeDocument/2006/relationships/comments" Target="../comments60.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computrabajo.com.co/salarios/contadora-publico" TargetMode="External"/><Relationship Id="rId13" Type="http://schemas.openxmlformats.org/officeDocument/2006/relationships/hyperlink" Target="https://www.computrabajo.com.co/salarios/trabajador-social" TargetMode="External"/><Relationship Id="rId18" Type="http://schemas.openxmlformats.org/officeDocument/2006/relationships/printerSettings" Target="../printerSettings/printerSettings5.bin"/><Relationship Id="rId3" Type="http://schemas.openxmlformats.org/officeDocument/2006/relationships/hyperlink" Target="https://www.computrabajo.com.co/salarios/oficial-de-obra" TargetMode="External"/><Relationship Id="rId7" Type="http://schemas.openxmlformats.org/officeDocument/2006/relationships/hyperlink" Target="https://www.computrabajo.com.co/salarios/gerente-general" TargetMode="External"/><Relationship Id="rId12" Type="http://schemas.openxmlformats.org/officeDocument/2006/relationships/hyperlink" Target="https://www.computrabajo.com.co/salarios/ingeniero-civil" TargetMode="External"/><Relationship Id="rId17" Type="http://schemas.openxmlformats.org/officeDocument/2006/relationships/hyperlink" Target="https://co.computrabajo.com/salarios/soldador" TargetMode="External"/><Relationship Id="rId2" Type="http://schemas.openxmlformats.org/officeDocument/2006/relationships/hyperlink" Target="https://www.computrabajo.com.co/salarios/topografoa" TargetMode="External"/><Relationship Id="rId16" Type="http://schemas.openxmlformats.org/officeDocument/2006/relationships/hyperlink" Target="https://www.computrabajo.com.co/salarios/ingeniero-especialista" TargetMode="External"/><Relationship Id="rId1" Type="http://schemas.openxmlformats.org/officeDocument/2006/relationships/hyperlink" Target="https://www.computrabajo.com.co/salarios/electricista" TargetMode="External"/><Relationship Id="rId6" Type="http://schemas.openxmlformats.org/officeDocument/2006/relationships/hyperlink" Target="https://www.computrabajo.com.co/salarios/ingeniero-electricista" TargetMode="External"/><Relationship Id="rId11" Type="http://schemas.openxmlformats.org/officeDocument/2006/relationships/hyperlink" Target="https://www.computrabajo.com.co/salarios/siso" TargetMode="External"/><Relationship Id="rId5" Type="http://schemas.openxmlformats.org/officeDocument/2006/relationships/hyperlink" Target="https://www.computrabajo.com.co/salarios/directora-de-proyectos" TargetMode="External"/><Relationship Id="rId15" Type="http://schemas.openxmlformats.org/officeDocument/2006/relationships/hyperlink" Target="https://www.computrabajo.com.co/salarios/directora-de-proyectos" TargetMode="External"/><Relationship Id="rId10" Type="http://schemas.openxmlformats.org/officeDocument/2006/relationships/hyperlink" Target="https://www.computrabajo.com.co/salarios/ingeniero-ambiental" TargetMode="External"/><Relationship Id="rId19" Type="http://schemas.openxmlformats.org/officeDocument/2006/relationships/table" Target="../tables/table3.xml"/><Relationship Id="rId4" Type="http://schemas.openxmlformats.org/officeDocument/2006/relationships/hyperlink" Target="https://www.computrabajo.com.co/salarios/ingenieroa-de-sistemas" TargetMode="External"/><Relationship Id="rId9" Type="http://schemas.openxmlformats.org/officeDocument/2006/relationships/hyperlink" Target="https://www.computrabajo.com.co/salarios/abogadoa" TargetMode="External"/><Relationship Id="rId14" Type="http://schemas.openxmlformats.org/officeDocument/2006/relationships/hyperlink" Target="https://www.computrabajo.com.co/salarios/seguridad-privada"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s://interelectricas.com.co/319-tuberia-emt" TargetMode="External"/><Relationship Id="rId13" Type="http://schemas.openxmlformats.org/officeDocument/2006/relationships/hyperlink" Target="https://equipmaster.com.co/product/planta-electrica-advance-de12stai3/" TargetMode="External"/><Relationship Id="rId18" Type="http://schemas.openxmlformats.org/officeDocument/2006/relationships/hyperlink" Target="https://interelectricas.com.co/139-fotoceldas" TargetMode="External"/><Relationship Id="rId3" Type="http://schemas.openxmlformats.org/officeDocument/2006/relationships/hyperlink" Target="https://autosolar.co/inversores-solares-48v/inversor-quattro-48v-10000va-140-100-120v-vebus-victron-energy" TargetMode="External"/><Relationship Id="rId21" Type="http://schemas.openxmlformats.org/officeDocument/2006/relationships/hyperlink" Target="https://interelectricas.com.co/94-capacetes" TargetMode="External"/><Relationship Id="rId7" Type="http://schemas.openxmlformats.org/officeDocument/2006/relationships/hyperlink" Target="https://interelectricas.com.co/328-tuberia-imc" TargetMode="External"/><Relationship Id="rId12" Type="http://schemas.openxmlformats.org/officeDocument/2006/relationships/hyperlink" Target="https://interelectricas.com.co/126-curvas-emt" TargetMode="External"/><Relationship Id="rId17" Type="http://schemas.openxmlformats.org/officeDocument/2006/relationships/hyperlink" Target="https://interelectricas.com.co/167-luminaria-led-alumbrado-publico" TargetMode="External"/><Relationship Id="rId2" Type="http://schemas.openxmlformats.org/officeDocument/2006/relationships/hyperlink" Target="https://ecofener.com/inversores-a-red-trifasicos/2206-inversor-a-red-trifasico-15000w-fronius-symo-advanced-150-3-m.html" TargetMode="External"/><Relationship Id="rId16" Type="http://schemas.openxmlformats.org/officeDocument/2006/relationships/hyperlink" Target="https://ineldec.com/producto/transformador-trifasico-seco-de-30-kva-clase-h/" TargetMode="External"/><Relationship Id="rId20" Type="http://schemas.openxmlformats.org/officeDocument/2006/relationships/hyperlink" Target="https://interelectricas.com.co/328-tuberia-imc" TargetMode="External"/><Relationship Id="rId1" Type="http://schemas.openxmlformats.org/officeDocument/2006/relationships/hyperlink" Target="https://solphower.co/es/productos/solar-dc-breaker-projoy-2p-500v-16a" TargetMode="External"/><Relationship Id="rId6" Type="http://schemas.openxmlformats.org/officeDocument/2006/relationships/hyperlink" Target="https://interelectricas.com.co/127-curvas-imc" TargetMode="External"/><Relationship Id="rId11" Type="http://schemas.openxmlformats.org/officeDocument/2006/relationships/hyperlink" Target="https://interelectricas.com.co/227-uniones-emt" TargetMode="External"/><Relationship Id="rId5" Type="http://schemas.openxmlformats.org/officeDocument/2006/relationships/hyperlink" Target="https://interelectricas.com.co/94-capacetes" TargetMode="External"/><Relationship Id="rId15" Type="http://schemas.openxmlformats.org/officeDocument/2006/relationships/hyperlink" Target="https://ineldec.com/producto/transformador-seco-trifasico-75-kva-tipo-clase-h/" TargetMode="External"/><Relationship Id="rId23" Type="http://schemas.openxmlformats.org/officeDocument/2006/relationships/table" Target="../tables/table5.xml"/><Relationship Id="rId10" Type="http://schemas.openxmlformats.org/officeDocument/2006/relationships/hyperlink" Target="https://interelectricas.com.co/296-cable-acometida-concentrico" TargetMode="External"/><Relationship Id="rId19" Type="http://schemas.openxmlformats.org/officeDocument/2006/relationships/hyperlink" Target="https://interelectricas.com.co/83-cajas-acometidas" TargetMode="External"/><Relationship Id="rId4" Type="http://schemas.openxmlformats.org/officeDocument/2006/relationships/hyperlink" Target="https://maquitecdecolombia.com/compra-de/generador/generador-abierto/generador-diesel-abierto-24-kw-110-220v-3f-fdg30/" TargetMode="External"/><Relationship Id="rId9" Type="http://schemas.openxmlformats.org/officeDocument/2006/relationships/hyperlink" Target="https://interelectricas.com.co/308-cables-multiplex" TargetMode="External"/><Relationship Id="rId14" Type="http://schemas.openxmlformats.org/officeDocument/2006/relationships/hyperlink" Target="https://maquitecdecolombia.com/compra-de/generador/generador-cabinado/planta-electrica-diesel-advance-21kva-trifasico-110-220v-17-9gal-t-digital/" TargetMode="External"/><Relationship Id="rId22"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8.xml"/><Relationship Id="rId1" Type="http://schemas.openxmlformats.org/officeDocument/2006/relationships/printerSettings" Target="../printerSettings/printerSettings86.bin"/><Relationship Id="rId4" Type="http://schemas.openxmlformats.org/officeDocument/2006/relationships/comments" Target="../comments61.xml"/></Relationships>
</file>

<file path=xl/worksheets/_rels/sheet92.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62.vml"/><Relationship Id="rId1" Type="http://schemas.openxmlformats.org/officeDocument/2006/relationships/printerSettings" Target="../printerSettings/printerSettings87.bin"/><Relationship Id="rId4" Type="http://schemas.openxmlformats.org/officeDocument/2006/relationships/comments" Target="../comments62.xml"/></Relationships>
</file>

<file path=xl/worksheets/_rels/sheet93.xml.rels><?xml version="1.0" encoding="UTF-8" standalone="yes"?>
<Relationships xmlns="http://schemas.openxmlformats.org/package/2006/relationships"><Relationship Id="rId1" Type="http://schemas.openxmlformats.org/officeDocument/2006/relationships/hyperlink" Target="https://www.computrabajo.com.co/salarios/ingeniero-especialista" TargetMode="Externa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sheetPr>
  <dimension ref="C1:K153"/>
  <sheetViews>
    <sheetView topLeftCell="C1" zoomScale="70" zoomScaleNormal="70" workbookViewId="0">
      <selection activeCell="F3" sqref="F3:F5"/>
    </sheetView>
  </sheetViews>
  <sheetFormatPr baseColWidth="10" defaultColWidth="11.453125" defaultRowHeight="12.5"/>
  <cols>
    <col min="3" max="3" width="60" customWidth="1"/>
    <col min="4" max="4" width="16.1796875" customWidth="1"/>
    <col min="5" max="5" width="22" customWidth="1"/>
    <col min="6" max="6" width="23.81640625" customWidth="1"/>
    <col min="7" max="7" width="83.453125" customWidth="1"/>
  </cols>
  <sheetData>
    <row r="1" spans="3:11" ht="13">
      <c r="C1" s="1411" t="s">
        <v>0</v>
      </c>
      <c r="D1" s="1411"/>
      <c r="E1" s="1411"/>
      <c r="F1" s="1411"/>
      <c r="G1" s="1411"/>
      <c r="H1" s="1411"/>
    </row>
    <row r="2" spans="3:11" ht="26">
      <c r="C2" s="342" t="s">
        <v>1</v>
      </c>
      <c r="D2" s="343" t="s">
        <v>2</v>
      </c>
      <c r="E2" s="343" t="s">
        <v>3</v>
      </c>
      <c r="F2" s="343" t="s">
        <v>4</v>
      </c>
      <c r="G2" s="344" t="s">
        <v>5</v>
      </c>
      <c r="H2" s="345" t="s">
        <v>6</v>
      </c>
    </row>
    <row r="3" spans="3:11" ht="14.5">
      <c r="C3" s="1412" t="s">
        <v>7</v>
      </c>
      <c r="D3" s="347">
        <f>98736/8</f>
        <v>12342</v>
      </c>
      <c r="E3" s="1407">
        <f>+AVERAGE(D3:D5)</f>
        <v>16323.680171164333</v>
      </c>
      <c r="F3" s="1407">
        <f>+ROUND(E3*$K$7/$K$6,0)</f>
        <v>16285</v>
      </c>
      <c r="G3" s="348" t="s">
        <v>8</v>
      </c>
      <c r="H3" s="349">
        <v>45352</v>
      </c>
    </row>
    <row r="4" spans="3:11" ht="14.5">
      <c r="C4" s="1412"/>
      <c r="D4" s="347">
        <f>450000/20</f>
        <v>22500</v>
      </c>
      <c r="E4" s="1407"/>
      <c r="F4" s="1407"/>
      <c r="G4" s="350" t="s">
        <v>9</v>
      </c>
      <c r="H4" s="349">
        <v>45352</v>
      </c>
      <c r="K4" s="355" t="s">
        <v>10</v>
      </c>
    </row>
    <row r="5" spans="3:11" ht="25">
      <c r="C5" s="1412"/>
      <c r="D5" s="347">
        <f>11519*$K$6/$K$5</f>
        <v>14129.040513492995</v>
      </c>
      <c r="E5" s="1407"/>
      <c r="F5" s="1407"/>
      <c r="G5" s="350" t="s">
        <v>11</v>
      </c>
      <c r="H5" s="349">
        <v>45352</v>
      </c>
      <c r="J5" s="356">
        <v>44682</v>
      </c>
      <c r="K5" s="157">
        <v>144.88999999999999</v>
      </c>
    </row>
    <row r="6" spans="3:11" ht="14.5">
      <c r="C6" s="1413" t="s">
        <v>12</v>
      </c>
      <c r="D6" s="347">
        <f>48000/8</f>
        <v>6000</v>
      </c>
      <c r="E6" s="1407">
        <f>+AVERAGE(D6:D8)</f>
        <v>7384.0978673476429</v>
      </c>
      <c r="F6" s="1407">
        <f>+ROUND(E6*$K$7/$K$6,0)</f>
        <v>7367</v>
      </c>
      <c r="G6" s="351" t="s">
        <v>13</v>
      </c>
      <c r="H6" s="349">
        <v>45352</v>
      </c>
      <c r="J6" s="356">
        <v>45200</v>
      </c>
      <c r="K6" s="78">
        <v>177.72</v>
      </c>
    </row>
    <row r="7" spans="3:11" ht="25">
      <c r="C7" s="1413"/>
      <c r="D7" s="347">
        <f>10356*$K$6/$K$5</f>
        <v>12702.52136103251</v>
      </c>
      <c r="E7" s="1407"/>
      <c r="F7" s="1407"/>
      <c r="G7" s="350" t="s">
        <v>14</v>
      </c>
      <c r="H7" s="349">
        <v>45352</v>
      </c>
      <c r="J7" s="356">
        <v>45352</v>
      </c>
      <c r="K7" s="157">
        <v>177.3</v>
      </c>
    </row>
    <row r="8" spans="3:11">
      <c r="C8" s="1413"/>
      <c r="D8" s="347">
        <f>450000/(20*8)*$K$6/$K$5</f>
        <v>3449.772241010422</v>
      </c>
      <c r="E8" s="1407"/>
      <c r="F8" s="1407"/>
      <c r="G8" s="350" t="s">
        <v>9</v>
      </c>
      <c r="H8" s="349">
        <v>45352</v>
      </c>
    </row>
    <row r="9" spans="3:11" ht="25">
      <c r="C9" s="1413" t="s">
        <v>15</v>
      </c>
      <c r="D9" s="347">
        <f>2633*$K$6/$K$5</f>
        <v>3229.6001104286015</v>
      </c>
      <c r="E9" s="1407">
        <f>+AVERAGE(D9:D10)</f>
        <v>2791.1723893988546</v>
      </c>
      <c r="F9" s="1407">
        <f>+ROUND(E9*$K$7/$K$6,0)</f>
        <v>2785</v>
      </c>
      <c r="G9" s="350" t="s">
        <v>16</v>
      </c>
      <c r="H9" s="349">
        <v>45352</v>
      </c>
    </row>
    <row r="10" spans="3:11">
      <c r="C10" s="1413"/>
      <c r="D10" s="347">
        <f>306900/(20*8)*$K$6/$K$5</f>
        <v>2352.7446683691078</v>
      </c>
      <c r="E10" s="1407"/>
      <c r="F10" s="1407"/>
      <c r="G10" s="350" t="s">
        <v>17</v>
      </c>
      <c r="H10" s="349">
        <v>45352</v>
      </c>
    </row>
    <row r="11" spans="3:11" ht="29">
      <c r="C11" s="1413" t="s">
        <v>18</v>
      </c>
      <c r="D11" s="347">
        <f>435600/(20*8)</f>
        <v>2722.5</v>
      </c>
      <c r="E11" s="1407">
        <f>+AVERAGE(D11:D13)</f>
        <v>4198.4648612740702</v>
      </c>
      <c r="F11" s="1407">
        <f>+ROUND(E11*$K$7/$K$6,0)</f>
        <v>4189</v>
      </c>
      <c r="G11" s="351" t="s">
        <v>19</v>
      </c>
      <c r="H11" s="349">
        <v>45352</v>
      </c>
    </row>
    <row r="12" spans="3:11" ht="25">
      <c r="C12" s="1413"/>
      <c r="D12" s="347">
        <f>5562*$K$6/$K$5</f>
        <v>6822.2695838222107</v>
      </c>
      <c r="E12" s="1407"/>
      <c r="F12" s="1407"/>
      <c r="G12" s="350" t="s">
        <v>20</v>
      </c>
      <c r="H12" s="349">
        <v>45352</v>
      </c>
    </row>
    <row r="13" spans="3:11" ht="14.5">
      <c r="C13" s="1413"/>
      <c r="D13" s="347">
        <f>488100/(20*8)</f>
        <v>3050.625</v>
      </c>
      <c r="E13" s="1407"/>
      <c r="F13" s="1407"/>
      <c r="G13" s="351" t="s">
        <v>21</v>
      </c>
      <c r="H13" s="349">
        <v>45352</v>
      </c>
    </row>
    <row r="14" spans="3:11">
      <c r="C14" s="1413" t="s">
        <v>22</v>
      </c>
      <c r="D14" s="347">
        <f>901900/(20*8)</f>
        <v>5636.875</v>
      </c>
      <c r="E14" s="1407">
        <f>+AVERAGE(D14:D16)</f>
        <v>13439.442562748753</v>
      </c>
      <c r="F14" s="1407">
        <f>+ROUND(E14*$K$7/$K$6,0)</f>
        <v>13408</v>
      </c>
      <c r="G14" s="350" t="s">
        <v>23</v>
      </c>
      <c r="H14" s="349">
        <v>45352</v>
      </c>
    </row>
    <row r="15" spans="3:11" ht="25">
      <c r="C15" s="1413"/>
      <c r="D15" s="347">
        <f>22894*$K$6/$K$5</f>
        <v>28081.45268824626</v>
      </c>
      <c r="E15" s="1407"/>
      <c r="F15" s="1407"/>
      <c r="G15" s="350" t="s">
        <v>24</v>
      </c>
      <c r="H15" s="349">
        <v>45352</v>
      </c>
    </row>
    <row r="16" spans="3:11" ht="14.5">
      <c r="C16" s="1413"/>
      <c r="D16" s="347">
        <f>52800/8</f>
        <v>6600</v>
      </c>
      <c r="E16" s="1407"/>
      <c r="F16" s="1407"/>
      <c r="G16" s="351" t="s">
        <v>25</v>
      </c>
      <c r="H16" s="349">
        <v>45352</v>
      </c>
    </row>
    <row r="17" spans="3:8" ht="25">
      <c r="C17" s="1413" t="s">
        <v>26</v>
      </c>
      <c r="D17" s="347">
        <f>30827*$K$6/$K$5</f>
        <v>37811.956932845613</v>
      </c>
      <c r="E17" s="1407">
        <f>+AVERAGE(D17:D18)</f>
        <v>40932.390917247569</v>
      </c>
      <c r="F17" s="1407">
        <f>+ROUND(E17*$K$7/$K$6,0)</f>
        <v>40836</v>
      </c>
      <c r="G17" s="350" t="s">
        <v>27</v>
      </c>
      <c r="H17" s="349">
        <v>45352</v>
      </c>
    </row>
    <row r="18" spans="3:8">
      <c r="C18" s="1414"/>
      <c r="D18" s="352">
        <f>35915*$K$6/$K$5</f>
        <v>44052.824901649532</v>
      </c>
      <c r="E18" s="1408"/>
      <c r="F18" s="1407"/>
      <c r="G18" s="353" t="s">
        <v>9</v>
      </c>
      <c r="H18" s="349">
        <v>45352</v>
      </c>
    </row>
    <row r="19" spans="3:8">
      <c r="C19" s="1413" t="s">
        <v>28</v>
      </c>
      <c r="D19" s="347">
        <f>473900/(20*8)</f>
        <v>2961.875</v>
      </c>
      <c r="E19" s="1407">
        <f>+AVERAGE(D19:D20)</f>
        <v>4497.1117011180895</v>
      </c>
      <c r="F19" s="1407">
        <f>+ROUND(E19*$K$7/$K$6,0)</f>
        <v>4486</v>
      </c>
      <c r="G19" s="350" t="s">
        <v>29</v>
      </c>
      <c r="H19" s="349">
        <v>45352</v>
      </c>
    </row>
    <row r="20" spans="3:8" ht="25">
      <c r="C20" s="1414"/>
      <c r="D20" s="352">
        <f>4918*$K$6/$K$5</f>
        <v>6032.348402236179</v>
      </c>
      <c r="E20" s="1408"/>
      <c r="F20" s="1407"/>
      <c r="G20" s="353" t="s">
        <v>30</v>
      </c>
      <c r="H20" s="349">
        <v>45352</v>
      </c>
    </row>
    <row r="21" spans="3:8" ht="25">
      <c r="C21" s="1413" t="s">
        <v>31</v>
      </c>
      <c r="D21" s="347">
        <f>14733*$K$6/$K$5</f>
        <v>18071.286907308993</v>
      </c>
      <c r="E21" s="1407">
        <f>+AVERAGE(D21:D22)</f>
        <v>13410.643453654497</v>
      </c>
      <c r="F21" s="1407">
        <f>+ROUND(E21*$K$7/$K$6,0)</f>
        <v>13379</v>
      </c>
      <c r="G21" s="350" t="s">
        <v>32</v>
      </c>
      <c r="H21" s="349">
        <v>45352</v>
      </c>
    </row>
    <row r="22" spans="3:8" ht="14.5">
      <c r="C22" s="1414"/>
      <c r="D22" s="352">
        <f>70000/8</f>
        <v>8750</v>
      </c>
      <c r="E22" s="1408"/>
      <c r="F22" s="1407"/>
      <c r="G22" s="354" t="s">
        <v>33</v>
      </c>
      <c r="H22" s="349">
        <v>45352</v>
      </c>
    </row>
    <row r="23" spans="3:8" ht="14.5">
      <c r="C23" s="1413" t="s">
        <v>34</v>
      </c>
      <c r="D23" s="347">
        <f>192000</f>
        <v>192000</v>
      </c>
      <c r="E23" s="1407">
        <f>+AVERAGE(D23:D24)</f>
        <v>223352.09869556216</v>
      </c>
      <c r="F23" s="1407">
        <f>+ROUND(E23*$K$7/$K$6,0)</f>
        <v>222824</v>
      </c>
      <c r="G23" s="351" t="s">
        <v>35</v>
      </c>
      <c r="H23" s="349">
        <v>45352</v>
      </c>
    </row>
    <row r="24" spans="3:8" ht="25">
      <c r="C24" s="1413"/>
      <c r="D24" s="347">
        <f>207653*$K$6/$K$5</f>
        <v>254704.1973911243</v>
      </c>
      <c r="E24" s="1407"/>
      <c r="F24" s="1407"/>
      <c r="G24" s="350" t="s">
        <v>36</v>
      </c>
      <c r="H24" s="349">
        <v>45352</v>
      </c>
    </row>
    <row r="33" spans="3:8" ht="13">
      <c r="C33" s="1411" t="s">
        <v>37</v>
      </c>
      <c r="D33" s="1411"/>
      <c r="E33" s="1411"/>
      <c r="F33" s="1411"/>
      <c r="G33" s="1411"/>
      <c r="H33" s="1415"/>
    </row>
    <row r="34" spans="3:8" ht="13">
      <c r="C34" s="342" t="s">
        <v>1</v>
      </c>
      <c r="D34" s="343" t="s">
        <v>2</v>
      </c>
      <c r="E34" s="343"/>
      <c r="F34" s="343" t="s">
        <v>38</v>
      </c>
      <c r="G34" s="344" t="s">
        <v>5</v>
      </c>
      <c r="H34" s="345" t="s">
        <v>6</v>
      </c>
    </row>
    <row r="35" spans="3:8" ht="25">
      <c r="C35" s="1412" t="s">
        <v>39</v>
      </c>
      <c r="D35" s="347">
        <f>23344*$K$6/$K$5</f>
        <v>28633.416246807927</v>
      </c>
      <c r="E35" s="1407">
        <f>+AVERAGE(D35:D36)</f>
        <v>26779.431982883572</v>
      </c>
      <c r="F35" s="1407">
        <f>+ROUND(E35*$K$7/$K$6,0)</f>
        <v>26716</v>
      </c>
      <c r="G35" s="350" t="s">
        <v>40</v>
      </c>
      <c r="H35" s="349">
        <v>45352</v>
      </c>
    </row>
    <row r="36" spans="3:8">
      <c r="C36" s="1412"/>
      <c r="D36" s="347">
        <f>20321*$K$6/$K$5</f>
        <v>24925.447718959214</v>
      </c>
      <c r="E36" s="1407"/>
      <c r="F36" s="1407"/>
      <c r="G36" s="350" t="s">
        <v>9</v>
      </c>
      <c r="H36" s="349">
        <v>45352</v>
      </c>
    </row>
    <row r="37" spans="3:8" ht="25">
      <c r="C37" s="346" t="s">
        <v>41</v>
      </c>
      <c r="D37" s="347">
        <v>30</v>
      </c>
      <c r="E37" s="347">
        <f>+AVERAGE(D37)</f>
        <v>30</v>
      </c>
      <c r="F37" s="347">
        <f>+ROUND(E37*K7/K6,0)</f>
        <v>30</v>
      </c>
      <c r="G37" s="350" t="s">
        <v>42</v>
      </c>
      <c r="H37" s="349">
        <v>45352</v>
      </c>
    </row>
    <row r="38" spans="3:8" ht="25">
      <c r="C38" s="1413" t="s">
        <v>43</v>
      </c>
      <c r="D38" s="347">
        <f>76732*$K$6/$K$5</f>
        <v>94118.372834564158</v>
      </c>
      <c r="E38" s="1407">
        <f>+AVERAGE(D38:D39)</f>
        <v>91522.917523638636</v>
      </c>
      <c r="F38" s="1407">
        <f>+ROUND(E38*$K$7/$K$6,0)</f>
        <v>91307</v>
      </c>
      <c r="G38" s="350" t="s">
        <v>44</v>
      </c>
      <c r="H38" s="349">
        <v>45352</v>
      </c>
    </row>
    <row r="39" spans="3:8">
      <c r="C39" s="1413"/>
      <c r="D39" s="347">
        <f>72500*$K$6/$K$5</f>
        <v>88927.462212713101</v>
      </c>
      <c r="E39" s="1407"/>
      <c r="F39" s="1407"/>
      <c r="G39" s="350" t="s">
        <v>9</v>
      </c>
      <c r="H39" s="349">
        <v>45352</v>
      </c>
    </row>
    <row r="40" spans="3:8" ht="25">
      <c r="C40" s="1413" t="s">
        <v>45</v>
      </c>
      <c r="D40" s="347">
        <f>60892*$K$6/$K$5</f>
        <v>74689.25557319347</v>
      </c>
      <c r="E40" s="1407">
        <f>+AVERAGE(D40:D41)</f>
        <v>108744.62778659674</v>
      </c>
      <c r="F40" s="1407">
        <f>+ROUND(E40*$K$7/$K$6,0)</f>
        <v>108488</v>
      </c>
      <c r="G40" s="350" t="s">
        <v>46</v>
      </c>
      <c r="H40" s="349">
        <v>45352</v>
      </c>
    </row>
    <row r="41" spans="3:8">
      <c r="C41" s="1414"/>
      <c r="D41" s="352">
        <v>142800</v>
      </c>
      <c r="E41" s="1407"/>
      <c r="F41" s="1407"/>
      <c r="G41" s="353" t="s">
        <v>9</v>
      </c>
      <c r="H41" s="349">
        <v>45352</v>
      </c>
    </row>
    <row r="42" spans="3:8">
      <c r="C42" s="1413" t="s">
        <v>47</v>
      </c>
      <c r="D42" s="347">
        <f>31800/50</f>
        <v>636</v>
      </c>
      <c r="E42" s="1408">
        <f>+AVERAGE(D42:D44)</f>
        <v>658</v>
      </c>
      <c r="F42" s="1407">
        <f>+ROUND(E42*$K$7/$K$6,0)</f>
        <v>656</v>
      </c>
      <c r="G42" s="350" t="s">
        <v>48</v>
      </c>
      <c r="H42" s="349">
        <v>45352</v>
      </c>
    </row>
    <row r="43" spans="3:8">
      <c r="C43" s="1413"/>
      <c r="D43" s="347">
        <f>32900/50</f>
        <v>658</v>
      </c>
      <c r="E43" s="1416"/>
      <c r="F43" s="1407"/>
      <c r="G43" s="350" t="s">
        <v>49</v>
      </c>
      <c r="H43" s="349">
        <v>45352</v>
      </c>
    </row>
    <row r="44" spans="3:8">
      <c r="C44" s="1413"/>
      <c r="D44" s="347">
        <f>34000/50</f>
        <v>680</v>
      </c>
      <c r="E44" s="1416"/>
      <c r="F44" s="1407"/>
      <c r="G44" s="350" t="s">
        <v>50</v>
      </c>
      <c r="H44" s="349">
        <v>45352</v>
      </c>
    </row>
    <row r="45" spans="3:8">
      <c r="C45" s="1413" t="s">
        <v>51</v>
      </c>
      <c r="D45" s="358">
        <v>4510</v>
      </c>
      <c r="E45" s="1407">
        <f>+AVERAGE(D45:D46)</f>
        <v>4754.7816274415072</v>
      </c>
      <c r="F45" s="1407">
        <f>+ROUND(E45*$K$7/$K$6,0)</f>
        <v>4744</v>
      </c>
      <c r="G45" s="359" t="s">
        <v>52</v>
      </c>
      <c r="H45" s="349">
        <v>45352</v>
      </c>
    </row>
    <row r="46" spans="3:8" ht="25">
      <c r="C46" s="1413"/>
      <c r="D46" s="358">
        <f>4076*$K$6/$K$5</f>
        <v>4999.5632548830154</v>
      </c>
      <c r="E46" s="1407"/>
      <c r="F46" s="1407"/>
      <c r="G46" s="359" t="s">
        <v>53</v>
      </c>
      <c r="H46" s="349">
        <v>45352</v>
      </c>
    </row>
    <row r="47" spans="3:8">
      <c r="C47" s="1413" t="s">
        <v>54</v>
      </c>
      <c r="D47" s="358">
        <v>11900</v>
      </c>
      <c r="E47" s="1407">
        <f>+AVERAGE(D47:D48)</f>
        <v>11183.227828007453</v>
      </c>
      <c r="F47" s="1407">
        <f>+ROUND(E47*$K$7/$K$6,0)</f>
        <v>11157</v>
      </c>
      <c r="G47" s="350" t="s">
        <v>55</v>
      </c>
      <c r="H47" s="349">
        <v>45352</v>
      </c>
    </row>
    <row r="48" spans="3:8" ht="25">
      <c r="C48" s="1413"/>
      <c r="D48" s="358">
        <f>8533*$K$6/$K$5</f>
        <v>10466.455656014909</v>
      </c>
      <c r="E48" s="1407"/>
      <c r="F48" s="1407"/>
      <c r="G48" s="359" t="s">
        <v>56</v>
      </c>
      <c r="H48" s="349">
        <v>45352</v>
      </c>
    </row>
    <row r="49" spans="3:8" ht="29">
      <c r="C49" s="1414" t="s">
        <v>57</v>
      </c>
      <c r="D49" s="358">
        <v>24900</v>
      </c>
      <c r="E49" s="1408">
        <f>+AVERAGE(D49:D51)</f>
        <v>22866.666666666668</v>
      </c>
      <c r="F49" s="1407">
        <f>+ROUND(E49*$K$7/$K$6,0)</f>
        <v>22813</v>
      </c>
      <c r="G49" s="360" t="s">
        <v>58</v>
      </c>
      <c r="H49" s="349">
        <v>45352</v>
      </c>
    </row>
    <row r="50" spans="3:8">
      <c r="C50" s="1417"/>
      <c r="D50" s="358">
        <v>9800</v>
      </c>
      <c r="E50" s="1416"/>
      <c r="F50" s="1407"/>
      <c r="G50" s="350" t="s">
        <v>59</v>
      </c>
      <c r="H50" s="349">
        <v>45352</v>
      </c>
    </row>
    <row r="51" spans="3:8">
      <c r="C51" s="1417"/>
      <c r="D51" s="361">
        <v>33900</v>
      </c>
      <c r="E51" s="1416"/>
      <c r="F51" s="1407"/>
      <c r="G51" s="353" t="s">
        <v>60</v>
      </c>
      <c r="H51" s="349">
        <v>45352</v>
      </c>
    </row>
    <row r="52" spans="3:8">
      <c r="C52" s="1413" t="s">
        <v>61</v>
      </c>
      <c r="D52" s="347">
        <v>18900</v>
      </c>
      <c r="E52" s="1408">
        <f>+AVERAGE(D52:D54)</f>
        <v>20466.666666666668</v>
      </c>
      <c r="F52" s="1407">
        <f>+ROUND(E52*$K$7/$K$6,0)</f>
        <v>20418</v>
      </c>
      <c r="G52" s="350" t="s">
        <v>62</v>
      </c>
      <c r="H52" s="349">
        <v>45352</v>
      </c>
    </row>
    <row r="53" spans="3:8">
      <c r="C53" s="1413"/>
      <c r="D53" s="347">
        <v>14700</v>
      </c>
      <c r="E53" s="1416"/>
      <c r="F53" s="1407"/>
      <c r="G53" s="350" t="s">
        <v>63</v>
      </c>
      <c r="H53" s="349">
        <v>45352</v>
      </c>
    </row>
    <row r="54" spans="3:8">
      <c r="C54" s="1414"/>
      <c r="D54" s="352">
        <v>27800</v>
      </c>
      <c r="E54" s="1416"/>
      <c r="F54" s="1407"/>
      <c r="G54" s="353" t="s">
        <v>64</v>
      </c>
      <c r="H54" s="349">
        <v>45352</v>
      </c>
    </row>
    <row r="55" spans="3:8">
      <c r="C55" s="1413" t="s">
        <v>65</v>
      </c>
      <c r="D55" s="362">
        <v>59900</v>
      </c>
      <c r="E55" s="1408">
        <f>+AVERAGE(D55:D57)</f>
        <v>38366.666666666664</v>
      </c>
      <c r="F55" s="1407">
        <f>+ROUND(E55*$K$7/$K$6,0)</f>
        <v>38276</v>
      </c>
      <c r="G55" s="350" t="s">
        <v>66</v>
      </c>
      <c r="H55" s="349">
        <v>45352</v>
      </c>
    </row>
    <row r="56" spans="3:8" ht="29">
      <c r="C56" s="1413"/>
      <c r="D56" s="362">
        <v>29900</v>
      </c>
      <c r="E56" s="1416"/>
      <c r="F56" s="1407"/>
      <c r="G56" s="351" t="s">
        <v>67</v>
      </c>
      <c r="H56" s="349">
        <v>45352</v>
      </c>
    </row>
    <row r="57" spans="3:8" ht="29">
      <c r="C57" s="1413"/>
      <c r="D57" s="363">
        <v>25300</v>
      </c>
      <c r="E57" s="1416"/>
      <c r="F57" s="1407"/>
      <c r="G57" s="354" t="s">
        <v>68</v>
      </c>
      <c r="H57" s="349">
        <v>45352</v>
      </c>
    </row>
    <row r="58" spans="3:8">
      <c r="C58" s="1418" t="s">
        <v>69</v>
      </c>
      <c r="D58" s="347">
        <v>24900</v>
      </c>
      <c r="E58" s="1408">
        <f>+AVERAGE(D58:D60)</f>
        <v>20081.666666666668</v>
      </c>
      <c r="F58" s="1407">
        <f>+ROUND(E58*$K$7/$K$6,0)</f>
        <v>20034</v>
      </c>
      <c r="G58" s="350" t="s">
        <v>70</v>
      </c>
      <c r="H58" s="349">
        <v>45352</v>
      </c>
    </row>
    <row r="59" spans="3:8">
      <c r="C59" s="1413"/>
      <c r="D59" s="347">
        <v>17245</v>
      </c>
      <c r="E59" s="1416"/>
      <c r="F59" s="1407"/>
      <c r="G59" s="350" t="s">
        <v>70</v>
      </c>
      <c r="H59" s="349">
        <v>45352</v>
      </c>
    </row>
    <row r="60" spans="3:8">
      <c r="C60" s="1414"/>
      <c r="D60" s="352">
        <f>90500/5</f>
        <v>18100</v>
      </c>
      <c r="E60" s="1416"/>
      <c r="F60" s="1407"/>
      <c r="G60" s="350" t="s">
        <v>71</v>
      </c>
      <c r="H60" s="349">
        <v>45352</v>
      </c>
    </row>
    <row r="61" spans="3:8">
      <c r="C61" s="1413" t="s">
        <v>72</v>
      </c>
      <c r="D61" s="347">
        <v>9900</v>
      </c>
      <c r="E61" s="1407">
        <f>+AVERAGE(D61:D62)</f>
        <v>14258.5</v>
      </c>
      <c r="F61" s="1407">
        <f>+ROUND(E61*$K$7/$K$6,0)</f>
        <v>14225</v>
      </c>
      <c r="G61" s="359" t="s">
        <v>73</v>
      </c>
      <c r="H61" s="349">
        <v>45352</v>
      </c>
    </row>
    <row r="62" spans="3:8" ht="29">
      <c r="C62" s="1413" t="s">
        <v>72</v>
      </c>
      <c r="D62" s="347">
        <v>18617</v>
      </c>
      <c r="E62" s="1407"/>
      <c r="F62" s="1407"/>
      <c r="G62" s="364" t="s">
        <v>74</v>
      </c>
      <c r="H62" s="349">
        <v>45352</v>
      </c>
    </row>
    <row r="63" spans="3:8">
      <c r="C63" s="1413" t="s">
        <v>75</v>
      </c>
      <c r="D63" s="347">
        <v>25900</v>
      </c>
      <c r="E63" s="1407">
        <f>+AVERAGE(D63:D64)</f>
        <v>22345</v>
      </c>
      <c r="F63" s="1407">
        <f>+ROUND(E63*$K$7/$K$6,0)</f>
        <v>22292</v>
      </c>
      <c r="G63" s="353" t="s">
        <v>29</v>
      </c>
      <c r="H63" s="349">
        <v>45352</v>
      </c>
    </row>
    <row r="64" spans="3:8">
      <c r="C64" s="1414"/>
      <c r="D64" s="352">
        <v>18790</v>
      </c>
      <c r="E64" s="1407"/>
      <c r="F64" s="1407"/>
      <c r="G64" s="353" t="s">
        <v>76</v>
      </c>
      <c r="H64" s="349">
        <v>45352</v>
      </c>
    </row>
    <row r="65" spans="3:8">
      <c r="C65" s="1413" t="s">
        <v>77</v>
      </c>
      <c r="D65" s="347">
        <v>199.83</v>
      </c>
      <c r="E65" s="1407">
        <f>+AVERAGE(D65:D66)</f>
        <v>341.06</v>
      </c>
      <c r="F65" s="1407">
        <f>+ROUND(E65*$K$7/$K$6,0)</f>
        <v>340</v>
      </c>
      <c r="G65" s="350" t="s">
        <v>29</v>
      </c>
      <c r="H65" s="349">
        <v>45352</v>
      </c>
    </row>
    <row r="66" spans="3:8" ht="43.5">
      <c r="C66" s="1414"/>
      <c r="D66" s="352">
        <f>144687/300</f>
        <v>482.29</v>
      </c>
      <c r="E66" s="1407"/>
      <c r="F66" s="1407"/>
      <c r="G66" s="365" t="s">
        <v>78</v>
      </c>
      <c r="H66" s="349">
        <v>45352</v>
      </c>
    </row>
    <row r="67" spans="3:8" ht="25">
      <c r="C67" s="1413" t="s">
        <v>79</v>
      </c>
      <c r="D67" s="347">
        <f>6902*$K$6/$K$5</f>
        <v>8465.8944026502868</v>
      </c>
      <c r="E67" s="1408">
        <f>+AVERAGE(D67:D69)</f>
        <v>6508.5032624218902</v>
      </c>
      <c r="F67" s="1407">
        <f>+ROUND(E67*$K$7/$K$6,0)</f>
        <v>6493</v>
      </c>
      <c r="G67" s="350" t="s">
        <v>46</v>
      </c>
      <c r="H67" s="349">
        <v>45352</v>
      </c>
    </row>
    <row r="68" spans="3:8" ht="43.5">
      <c r="C68" s="1413"/>
      <c r="D68" s="347">
        <f>18800/3.25</f>
        <v>5784.6153846153848</v>
      </c>
      <c r="E68" s="1416"/>
      <c r="F68" s="1407"/>
      <c r="G68" s="351" t="s">
        <v>80</v>
      </c>
      <c r="H68" s="349">
        <v>45352</v>
      </c>
    </row>
    <row r="69" spans="3:8" ht="43.5">
      <c r="C69" s="1414"/>
      <c r="D69" s="352">
        <f>21100/4</f>
        <v>5275</v>
      </c>
      <c r="E69" s="1416"/>
      <c r="F69" s="1407"/>
      <c r="G69" s="354" t="s">
        <v>81</v>
      </c>
      <c r="H69" s="349">
        <v>45352</v>
      </c>
    </row>
    <row r="70" spans="3:8" ht="14.5">
      <c r="C70" s="1419" t="s">
        <v>82</v>
      </c>
      <c r="D70" s="416">
        <v>99200</v>
      </c>
      <c r="E70" s="1421">
        <f>+AVERAGE(D70:D71)</f>
        <v>85180.184277727938</v>
      </c>
      <c r="F70" s="1421">
        <f>+ROUND(E70*$K$7/$K$6,0)</f>
        <v>84979</v>
      </c>
      <c r="G70" s="417"/>
      <c r="H70" s="418">
        <v>45352</v>
      </c>
    </row>
    <row r="71" spans="3:8">
      <c r="C71" s="1420"/>
      <c r="D71" s="419">
        <f>58015*$K$6/$K$5</f>
        <v>71160.368555455876</v>
      </c>
      <c r="E71" s="1421"/>
      <c r="F71" s="1421"/>
      <c r="G71" s="420"/>
      <c r="H71" s="418">
        <v>45352</v>
      </c>
    </row>
    <row r="72" spans="3:8">
      <c r="C72" s="1413" t="s">
        <v>83</v>
      </c>
      <c r="D72" s="347">
        <v>31595</v>
      </c>
      <c r="E72" s="1408">
        <f>+AVERAGE(D72:D74)</f>
        <v>23007.747992730117</v>
      </c>
      <c r="F72" s="1407">
        <f>+ROUND(E72*$K$7/$K$6,0)</f>
        <v>22953</v>
      </c>
      <c r="G72" s="350" t="s">
        <v>73</v>
      </c>
      <c r="H72" s="349">
        <v>45352</v>
      </c>
    </row>
    <row r="73" spans="3:8" ht="25">
      <c r="C73" s="1413"/>
      <c r="D73" s="347">
        <f>16251*$K$6/$K$5</f>
        <v>19933.243978190356</v>
      </c>
      <c r="E73" s="1416"/>
      <c r="F73" s="1407"/>
      <c r="G73" s="353" t="s">
        <v>84</v>
      </c>
      <c r="H73" s="349">
        <v>45352</v>
      </c>
    </row>
    <row r="74" spans="3:8" ht="14.5">
      <c r="C74" s="1413"/>
      <c r="D74" s="347">
        <f>349900/(10*2)</f>
        <v>17495</v>
      </c>
      <c r="E74" s="1416"/>
      <c r="F74" s="1407"/>
      <c r="G74" s="354" t="s">
        <v>85</v>
      </c>
      <c r="H74" s="389">
        <v>45352</v>
      </c>
    </row>
    <row r="75" spans="3:8">
      <c r="C75" s="1387" t="s">
        <v>86</v>
      </c>
      <c r="D75" s="1">
        <f>90000/70</f>
        <v>1285.7142857142858</v>
      </c>
      <c r="E75" s="1407"/>
      <c r="F75" s="1409">
        <f>+AVERAGE(D75:D76)</f>
        <v>1710.5357142857142</v>
      </c>
      <c r="G75" s="88" t="s">
        <v>87</v>
      </c>
      <c r="H75" s="389">
        <v>45352</v>
      </c>
    </row>
    <row r="76" spans="3:8">
      <c r="C76" s="1406"/>
      <c r="D76" s="392">
        <f>149475/70</f>
        <v>2135.3571428571427</v>
      </c>
      <c r="E76" s="1408"/>
      <c r="F76" s="1410"/>
      <c r="G76" s="146" t="s">
        <v>85</v>
      </c>
      <c r="H76" s="389">
        <v>45352</v>
      </c>
    </row>
    <row r="77" spans="3:8">
      <c r="C77" s="1385" t="s">
        <v>88</v>
      </c>
      <c r="D77" s="1">
        <f>570000/(12.17*6)</f>
        <v>7806.0805258833198</v>
      </c>
      <c r="E77" s="1384"/>
      <c r="F77" s="1384">
        <f>+AVERAGE(D77:D78)</f>
        <v>7466.964764366161</v>
      </c>
      <c r="G77" s="88" t="s">
        <v>89</v>
      </c>
      <c r="H77" s="367"/>
    </row>
    <row r="78" spans="3:8">
      <c r="C78" s="1386"/>
      <c r="D78" s="1">
        <f>800600/(18.72*6)</f>
        <v>7127.8490028490032</v>
      </c>
      <c r="E78" s="1384"/>
      <c r="F78" s="1384"/>
      <c r="G78" s="88" t="s">
        <v>90</v>
      </c>
      <c r="H78" s="388">
        <v>2024</v>
      </c>
    </row>
    <row r="79" spans="3:8">
      <c r="C79" s="1402" t="s">
        <v>91</v>
      </c>
      <c r="D79" s="431">
        <v>459553</v>
      </c>
      <c r="E79" s="1400"/>
      <c r="F79" s="1404">
        <f>+AVERAGE(D79:D81)/6</f>
        <v>72325.166666666672</v>
      </c>
      <c r="G79" s="432" t="s">
        <v>92</v>
      </c>
      <c r="H79" s="433">
        <v>2024</v>
      </c>
    </row>
    <row r="80" spans="3:8">
      <c r="C80" s="1402"/>
      <c r="D80" s="1">
        <v>337000</v>
      </c>
      <c r="E80" s="1400"/>
      <c r="F80" s="1404"/>
      <c r="G80" s="387" t="s">
        <v>93</v>
      </c>
      <c r="H80" s="391">
        <v>2024</v>
      </c>
    </row>
    <row r="81" spans="3:8" ht="20">
      <c r="C81" s="1403"/>
      <c r="D81" s="1">
        <v>505300</v>
      </c>
      <c r="E81" s="1401"/>
      <c r="F81" s="1405"/>
      <c r="G81" s="387" t="s">
        <v>94</v>
      </c>
      <c r="H81" s="391">
        <v>2024</v>
      </c>
    </row>
    <row r="82" spans="3:8">
      <c r="C82" s="1398" t="s">
        <v>95</v>
      </c>
      <c r="D82" s="1">
        <v>163789</v>
      </c>
      <c r="E82" s="1399"/>
      <c r="F82" s="1392">
        <f>+AVERAGE(D82:D84)/4.2</f>
        <v>32753.730158730155</v>
      </c>
      <c r="G82" s="390" t="s">
        <v>96</v>
      </c>
      <c r="H82" s="391">
        <v>2024</v>
      </c>
    </row>
    <row r="83" spans="3:8">
      <c r="C83" s="1398"/>
      <c r="D83" s="1">
        <v>119000</v>
      </c>
      <c r="E83" s="1400"/>
      <c r="F83" s="1393"/>
      <c r="G83" s="387" t="s">
        <v>97</v>
      </c>
      <c r="H83" s="391">
        <v>2024</v>
      </c>
    </row>
    <row r="84" spans="3:8">
      <c r="C84" s="1398"/>
      <c r="D84" s="1">
        <v>129908</v>
      </c>
      <c r="E84" s="1401"/>
      <c r="F84" s="1394"/>
      <c r="G84" s="387" t="s">
        <v>98</v>
      </c>
      <c r="H84" s="391">
        <v>2024</v>
      </c>
    </row>
    <row r="85" spans="3:8">
      <c r="C85" s="1398" t="s">
        <v>99</v>
      </c>
      <c r="D85" s="1">
        <v>639000</v>
      </c>
      <c r="E85" s="1392"/>
      <c r="F85" s="1392">
        <f>+AVERAGE(D85:D87)/(1.22*2.44)</f>
        <v>246123.24196004658</v>
      </c>
      <c r="G85" s="390" t="s">
        <v>100</v>
      </c>
      <c r="H85" s="391">
        <v>2024</v>
      </c>
    </row>
    <row r="86" spans="3:8">
      <c r="C86" s="1398"/>
      <c r="D86" s="1">
        <v>817506</v>
      </c>
      <c r="E86" s="1393"/>
      <c r="F86" s="1393"/>
      <c r="G86" s="387" t="s">
        <v>101</v>
      </c>
      <c r="H86" s="391">
        <v>2024</v>
      </c>
    </row>
    <row r="87" spans="3:8">
      <c r="C87" s="1398"/>
      <c r="D87" s="1">
        <v>741473</v>
      </c>
      <c r="E87" s="1394"/>
      <c r="F87" s="1394"/>
      <c r="G87" s="387" t="s">
        <v>102</v>
      </c>
      <c r="H87" s="391">
        <v>2024</v>
      </c>
    </row>
    <row r="88" spans="3:8">
      <c r="C88" s="1398" t="s">
        <v>103</v>
      </c>
      <c r="D88" s="1">
        <v>29900</v>
      </c>
      <c r="E88" s="1392"/>
      <c r="F88" s="1392">
        <f>+AVERAGE(D88:D90)/6</f>
        <v>5502.4444444444443</v>
      </c>
      <c r="G88" s="390" t="s">
        <v>104</v>
      </c>
      <c r="H88" s="391">
        <v>2024</v>
      </c>
    </row>
    <row r="89" spans="3:8">
      <c r="C89" s="1398"/>
      <c r="D89" s="1">
        <v>33200</v>
      </c>
      <c r="E89" s="1393"/>
      <c r="F89" s="1393"/>
      <c r="G89" s="387" t="s">
        <v>105</v>
      </c>
      <c r="H89" s="391">
        <v>2024</v>
      </c>
    </row>
    <row r="90" spans="3:8">
      <c r="C90" s="1398"/>
      <c r="D90" s="1">
        <v>35944</v>
      </c>
      <c r="E90" s="1394"/>
      <c r="F90" s="1394"/>
      <c r="G90" s="387" t="s">
        <v>106</v>
      </c>
      <c r="H90" s="391">
        <v>2024</v>
      </c>
    </row>
    <row r="91" spans="3:8">
      <c r="C91" s="1390" t="s">
        <v>107</v>
      </c>
      <c r="D91" s="1">
        <v>1322600</v>
      </c>
      <c r="E91" s="1392"/>
      <c r="F91" s="1392">
        <f>+AVERAGE(D91:D93)/(1.22*2.44)</f>
        <v>494030.27859894291</v>
      </c>
      <c r="G91" s="390" t="s">
        <v>108</v>
      </c>
      <c r="H91" s="391">
        <v>2024</v>
      </c>
    </row>
    <row r="92" spans="3:8">
      <c r="C92" s="1390"/>
      <c r="D92" s="1">
        <v>1635012</v>
      </c>
      <c r="E92" s="1393"/>
      <c r="F92" s="1393"/>
      <c r="G92" s="387" t="s">
        <v>101</v>
      </c>
      <c r="H92" s="391">
        <v>2024</v>
      </c>
    </row>
    <row r="93" spans="3:8">
      <c r="C93" s="1390"/>
      <c r="D93" s="1">
        <v>1454276</v>
      </c>
      <c r="E93" s="1394"/>
      <c r="F93" s="1394"/>
      <c r="G93" s="387" t="s">
        <v>102</v>
      </c>
      <c r="H93" s="391">
        <v>2024</v>
      </c>
    </row>
    <row r="94" spans="3:8" ht="20">
      <c r="C94" s="1390" t="s">
        <v>109</v>
      </c>
      <c r="D94" s="1">
        <v>145180</v>
      </c>
      <c r="E94" s="1392"/>
      <c r="F94" s="1392">
        <f>+AVERAGE(D94:D96)</f>
        <v>153096.66666666666</v>
      </c>
      <c r="G94" s="390" t="s">
        <v>110</v>
      </c>
      <c r="H94" s="391">
        <v>2024</v>
      </c>
    </row>
    <row r="95" spans="3:8" ht="20">
      <c r="C95" s="1390"/>
      <c r="D95" s="1">
        <v>135470</v>
      </c>
      <c r="E95" s="1393"/>
      <c r="F95" s="1393"/>
      <c r="G95" s="387" t="s">
        <v>111</v>
      </c>
      <c r="H95" s="391">
        <v>2024</v>
      </c>
    </row>
    <row r="96" spans="3:8">
      <c r="C96" s="1390"/>
      <c r="D96" s="1">
        <v>178640</v>
      </c>
      <c r="E96" s="1394"/>
      <c r="F96" s="1394"/>
      <c r="G96" s="387" t="s">
        <v>112</v>
      </c>
      <c r="H96" s="391">
        <v>2024</v>
      </c>
    </row>
    <row r="97" spans="3:8">
      <c r="C97" s="1390" t="s">
        <v>113</v>
      </c>
      <c r="D97" s="1">
        <v>479200</v>
      </c>
      <c r="E97" s="1392"/>
      <c r="F97" s="1392">
        <f>+AVERAGE(D97:D99)/(1.22*2.44)</f>
        <v>187229.91131416286</v>
      </c>
      <c r="G97" s="390" t="s">
        <v>114</v>
      </c>
      <c r="H97" s="391">
        <v>2024</v>
      </c>
    </row>
    <row r="98" spans="3:8">
      <c r="C98" s="1390"/>
      <c r="D98" s="1">
        <v>580000</v>
      </c>
      <c r="E98" s="1393"/>
      <c r="F98" s="1393"/>
      <c r="G98" s="387" t="s">
        <v>115</v>
      </c>
      <c r="H98" s="391">
        <v>2024</v>
      </c>
    </row>
    <row r="99" spans="3:8">
      <c r="C99" s="1390"/>
      <c r="D99" s="1">
        <v>612838</v>
      </c>
      <c r="E99" s="1394"/>
      <c r="F99" s="1394"/>
      <c r="G99" s="387" t="s">
        <v>101</v>
      </c>
      <c r="H99" s="391">
        <v>2024</v>
      </c>
    </row>
    <row r="100" spans="3:8">
      <c r="C100" s="1390" t="s">
        <v>116</v>
      </c>
      <c r="D100" s="1">
        <v>75990</v>
      </c>
      <c r="E100" s="1392"/>
      <c r="F100" s="1392">
        <f>+AVERAGE(D100:D102)</f>
        <v>99692</v>
      </c>
      <c r="G100" s="390" t="s">
        <v>117</v>
      </c>
      <c r="H100" s="391">
        <v>2024</v>
      </c>
    </row>
    <row r="101" spans="3:8" ht="20">
      <c r="C101" s="1390"/>
      <c r="D101" s="1">
        <v>155300</v>
      </c>
      <c r="E101" s="1393"/>
      <c r="F101" s="1393"/>
      <c r="G101" s="387" t="s">
        <v>118</v>
      </c>
      <c r="H101" s="391">
        <v>2024</v>
      </c>
    </row>
    <row r="102" spans="3:8" ht="20">
      <c r="C102" s="1390"/>
      <c r="D102" s="1">
        <v>67786</v>
      </c>
      <c r="E102" s="1394"/>
      <c r="F102" s="1394"/>
      <c r="G102" s="387" t="s">
        <v>119</v>
      </c>
      <c r="H102" s="391">
        <v>2024</v>
      </c>
    </row>
    <row r="103" spans="3:8">
      <c r="C103" s="1398" t="s">
        <v>120</v>
      </c>
      <c r="D103" s="1">
        <v>94900</v>
      </c>
      <c r="E103" s="1392"/>
      <c r="F103" s="1392">
        <f>+AVERAGE(D103:D105)/6</f>
        <v>14502.722222222221</v>
      </c>
      <c r="G103" s="390" t="s">
        <v>121</v>
      </c>
      <c r="H103" s="391">
        <v>2024</v>
      </c>
    </row>
    <row r="104" spans="3:8">
      <c r="C104" s="1398"/>
      <c r="D104" s="1">
        <v>80200</v>
      </c>
      <c r="E104" s="1393"/>
      <c r="F104" s="1393"/>
      <c r="G104" s="387" t="s">
        <v>122</v>
      </c>
      <c r="H104" s="391">
        <v>2024</v>
      </c>
    </row>
    <row r="105" spans="3:8">
      <c r="C105" s="1398"/>
      <c r="D105" s="1">
        <v>85949</v>
      </c>
      <c r="E105" s="1394"/>
      <c r="F105" s="1394"/>
      <c r="G105" s="387" t="s">
        <v>123</v>
      </c>
      <c r="H105" s="391">
        <v>2024</v>
      </c>
    </row>
    <row r="106" spans="3:8">
      <c r="C106" s="1398" t="s">
        <v>124</v>
      </c>
      <c r="D106" s="1">
        <v>3700</v>
      </c>
      <c r="E106" s="1392"/>
      <c r="F106" s="1392">
        <f>+AVERAGE(D106:D108)</f>
        <v>1958.9933333333331</v>
      </c>
      <c r="G106" s="390" t="s">
        <v>125</v>
      </c>
      <c r="H106" s="391">
        <v>2024</v>
      </c>
    </row>
    <row r="107" spans="3:8">
      <c r="C107" s="1398"/>
      <c r="D107" s="1">
        <f>467992/400</f>
        <v>1169.98</v>
      </c>
      <c r="E107" s="1393"/>
      <c r="F107" s="1393"/>
      <c r="G107" s="387" t="s">
        <v>126</v>
      </c>
      <c r="H107" s="391">
        <v>2024</v>
      </c>
    </row>
    <row r="108" spans="3:8" ht="20">
      <c r="C108" s="1398"/>
      <c r="D108" s="1">
        <v>1007</v>
      </c>
      <c r="E108" s="1394"/>
      <c r="F108" s="1394"/>
      <c r="G108" s="387" t="s">
        <v>127</v>
      </c>
      <c r="H108" s="391">
        <v>2024</v>
      </c>
    </row>
    <row r="109" spans="3:8">
      <c r="C109" s="1390" t="s">
        <v>128</v>
      </c>
      <c r="D109" s="1">
        <v>308500</v>
      </c>
      <c r="E109" s="1392"/>
      <c r="F109" s="1392">
        <f>+AVERAGE(D109:D111)/(1*3)</f>
        <v>114219.33333333333</v>
      </c>
      <c r="G109" s="390" t="s">
        <v>129</v>
      </c>
      <c r="H109" s="391">
        <v>2024</v>
      </c>
    </row>
    <row r="110" spans="3:8">
      <c r="C110" s="1390"/>
      <c r="D110" s="1">
        <v>368186</v>
      </c>
      <c r="E110" s="1393"/>
      <c r="F110" s="1393"/>
      <c r="G110" s="387" t="s">
        <v>130</v>
      </c>
      <c r="H110" s="391">
        <v>2024</v>
      </c>
    </row>
    <row r="111" spans="3:8">
      <c r="C111" s="1390"/>
      <c r="D111" s="1">
        <v>351288</v>
      </c>
      <c r="E111" s="1394"/>
      <c r="F111" s="1394"/>
      <c r="G111" s="387" t="s">
        <v>131</v>
      </c>
      <c r="H111" s="391">
        <v>2024</v>
      </c>
    </row>
    <row r="112" spans="3:8">
      <c r="C112" s="1390" t="s">
        <v>132</v>
      </c>
      <c r="D112" s="1">
        <v>271559</v>
      </c>
      <c r="E112" s="1392"/>
      <c r="F112" s="1392">
        <f>+AVERAGE(D112:D114)/6</f>
        <v>35786.611111111109</v>
      </c>
      <c r="G112" s="390" t="s">
        <v>133</v>
      </c>
      <c r="H112" s="391">
        <v>2024</v>
      </c>
    </row>
    <row r="113" spans="3:8">
      <c r="C113" s="1390"/>
      <c r="D113" s="1">
        <f>189900*1.15</f>
        <v>218384.99999999997</v>
      </c>
      <c r="E113" s="1393"/>
      <c r="F113" s="1393"/>
      <c r="G113" s="390" t="s">
        <v>134</v>
      </c>
      <c r="H113" s="391">
        <v>2024</v>
      </c>
    </row>
    <row r="114" spans="3:8">
      <c r="C114" s="1390"/>
      <c r="D114" s="1">
        <f>134100*1.15</f>
        <v>154215</v>
      </c>
      <c r="E114" s="1394"/>
      <c r="F114" s="1394"/>
      <c r="G114" s="387" t="s">
        <v>135</v>
      </c>
      <c r="H114" s="391">
        <v>2024</v>
      </c>
    </row>
    <row r="115" spans="3:8">
      <c r="C115" s="1395" t="s">
        <v>136</v>
      </c>
      <c r="D115" s="1">
        <v>265518</v>
      </c>
      <c r="E115" s="1392"/>
      <c r="F115" s="1392">
        <f>+AVERAGE(D115:D117)/6</f>
        <v>39318.888888888891</v>
      </c>
      <c r="G115" s="390" t="s">
        <v>137</v>
      </c>
      <c r="H115" s="391">
        <v>2024</v>
      </c>
    </row>
    <row r="116" spans="3:8">
      <c r="C116" s="1396"/>
      <c r="D116" s="1">
        <v>265928</v>
      </c>
      <c r="E116" s="1393"/>
      <c r="F116" s="1393"/>
      <c r="G116" s="390" t="s">
        <v>138</v>
      </c>
      <c r="H116" s="391">
        <v>2024</v>
      </c>
    </row>
    <row r="117" spans="3:8">
      <c r="C117" s="1397"/>
      <c r="D117" s="1">
        <v>176294</v>
      </c>
      <c r="E117" s="1394"/>
      <c r="F117" s="1394"/>
      <c r="G117" s="387" t="s">
        <v>87</v>
      </c>
      <c r="H117" s="391">
        <v>2024</v>
      </c>
    </row>
    <row r="118" spans="3:8">
      <c r="C118" s="1395" t="s">
        <v>139</v>
      </c>
      <c r="D118" s="1">
        <v>42400</v>
      </c>
      <c r="E118" s="1392"/>
      <c r="F118" s="1392">
        <f>+AVERAGE(D118:D120)/6</f>
        <v>7875.2777777777774</v>
      </c>
      <c r="G118" s="390" t="s">
        <v>140</v>
      </c>
      <c r="H118" s="391">
        <v>2024</v>
      </c>
    </row>
    <row r="119" spans="3:8">
      <c r="C119" s="1396"/>
      <c r="D119" s="1">
        <v>55600</v>
      </c>
      <c r="E119" s="1393"/>
      <c r="F119" s="1393"/>
      <c r="G119" s="387" t="s">
        <v>141</v>
      </c>
      <c r="H119" s="391">
        <v>2024</v>
      </c>
    </row>
    <row r="120" spans="3:8">
      <c r="C120" s="1397"/>
      <c r="D120" s="1">
        <v>43755</v>
      </c>
      <c r="E120" s="1394"/>
      <c r="F120" s="1394"/>
      <c r="G120" s="387" t="s">
        <v>142</v>
      </c>
      <c r="H120" s="391">
        <v>2024</v>
      </c>
    </row>
    <row r="121" spans="3:8">
      <c r="C121" s="1390" t="s">
        <v>143</v>
      </c>
      <c r="D121" s="1">
        <v>5200</v>
      </c>
      <c r="E121" s="1392"/>
      <c r="F121" s="1392">
        <f>+AVERAGE(D121:D123)</f>
        <v>2502.6666666666665</v>
      </c>
      <c r="G121" s="390" t="s">
        <v>144</v>
      </c>
      <c r="H121" s="391">
        <v>2024</v>
      </c>
    </row>
    <row r="122" spans="3:8">
      <c r="C122" s="1390"/>
      <c r="D122" s="1">
        <v>1400</v>
      </c>
      <c r="E122" s="1393"/>
      <c r="F122" s="1393"/>
      <c r="G122" s="387" t="s">
        <v>145</v>
      </c>
      <c r="H122" s="391">
        <v>2024</v>
      </c>
    </row>
    <row r="123" spans="3:8">
      <c r="C123" s="1390"/>
      <c r="D123" s="1">
        <v>908</v>
      </c>
      <c r="E123" s="1394"/>
      <c r="F123" s="1394"/>
      <c r="G123" s="387" t="s">
        <v>146</v>
      </c>
      <c r="H123" s="391">
        <v>2024</v>
      </c>
    </row>
    <row r="124" spans="3:8">
      <c r="C124" s="1390" t="s">
        <v>147</v>
      </c>
      <c r="D124" s="1">
        <v>6400</v>
      </c>
      <c r="E124" s="1392"/>
      <c r="F124" s="1392">
        <f>+AVERAGE(D124:D126)</f>
        <v>3060.3333333333335</v>
      </c>
      <c r="G124" s="390" t="s">
        <v>148</v>
      </c>
      <c r="H124" s="391">
        <v>2024</v>
      </c>
    </row>
    <row r="125" spans="3:8">
      <c r="C125" s="1390"/>
      <c r="D125" s="1">
        <v>1131</v>
      </c>
      <c r="E125" s="1393"/>
      <c r="F125" s="1393"/>
      <c r="G125" s="387" t="s">
        <v>149</v>
      </c>
      <c r="H125" s="391">
        <v>2024</v>
      </c>
    </row>
    <row r="126" spans="3:8">
      <c r="C126" s="1390"/>
      <c r="D126" s="1">
        <v>1650</v>
      </c>
      <c r="E126" s="1394"/>
      <c r="F126" s="1394"/>
      <c r="G126" s="387" t="s">
        <v>150</v>
      </c>
      <c r="H126" s="391">
        <v>2024</v>
      </c>
    </row>
    <row r="127" spans="3:8" ht="50">
      <c r="C127" s="1390" t="s">
        <v>151</v>
      </c>
      <c r="D127" s="1">
        <v>697300</v>
      </c>
      <c r="E127" s="1392"/>
      <c r="F127" s="1392">
        <f>+AVERAGE(D127:D129)</f>
        <v>702079.33333333337</v>
      </c>
      <c r="G127" s="390" t="s">
        <v>152</v>
      </c>
      <c r="H127" s="391">
        <v>2024</v>
      </c>
    </row>
    <row r="128" spans="3:8">
      <c r="C128" s="1390"/>
      <c r="D128" s="1">
        <v>760988</v>
      </c>
      <c r="E128" s="1393"/>
      <c r="F128" s="1393"/>
      <c r="G128" s="387" t="s">
        <v>87</v>
      </c>
      <c r="H128" s="391">
        <v>2024</v>
      </c>
    </row>
    <row r="129" spans="3:8" ht="50">
      <c r="C129" s="1390"/>
      <c r="D129" s="1">
        <v>647950</v>
      </c>
      <c r="E129" s="1394"/>
      <c r="F129" s="1394"/>
      <c r="G129" s="387" t="s">
        <v>153</v>
      </c>
      <c r="H129" s="391">
        <v>2024</v>
      </c>
    </row>
    <row r="130" spans="3:8">
      <c r="C130" s="1390" t="s">
        <v>154</v>
      </c>
      <c r="D130" s="1">
        <v>83836</v>
      </c>
      <c r="E130" s="1392"/>
      <c r="F130" s="1392">
        <f>+AVERAGE(D130:D132)</f>
        <v>61742</v>
      </c>
      <c r="G130" s="390" t="s">
        <v>155</v>
      </c>
      <c r="H130" s="391">
        <v>2024</v>
      </c>
    </row>
    <row r="131" spans="3:8" ht="20">
      <c r="C131" s="1390"/>
      <c r="D131" s="1">
        <v>28490</v>
      </c>
      <c r="E131" s="1393"/>
      <c r="F131" s="1393"/>
      <c r="G131" s="387" t="s">
        <v>156</v>
      </c>
      <c r="H131" s="391">
        <v>2024</v>
      </c>
    </row>
    <row r="132" spans="3:8" ht="30">
      <c r="C132" s="1391"/>
      <c r="D132" s="392">
        <v>72900</v>
      </c>
      <c r="E132" s="1393"/>
      <c r="F132" s="1394"/>
      <c r="G132" s="393" t="s">
        <v>157</v>
      </c>
      <c r="H132" s="394">
        <v>2024</v>
      </c>
    </row>
    <row r="133" spans="3:8">
      <c r="C133" s="1389" t="s">
        <v>158</v>
      </c>
      <c r="D133" s="1">
        <v>65900</v>
      </c>
      <c r="E133" s="1388"/>
      <c r="F133" s="1388">
        <f>+AVERAGE(D133:D134)</f>
        <v>66620.239702903447</v>
      </c>
      <c r="G133" s="387" t="s">
        <v>159</v>
      </c>
      <c r="H133" s="388">
        <v>2024</v>
      </c>
    </row>
    <row r="134" spans="3:8" ht="20">
      <c r="C134" s="1389"/>
      <c r="D134" s="1">
        <f>67500*K7/K6</f>
        <v>67340.479405806895</v>
      </c>
      <c r="E134" s="1388"/>
      <c r="F134" s="1388"/>
      <c r="G134" s="387" t="s">
        <v>160</v>
      </c>
      <c r="H134" s="388">
        <v>2024</v>
      </c>
    </row>
    <row r="135" spans="3:8">
      <c r="C135" s="1387" t="s">
        <v>161</v>
      </c>
      <c r="D135" s="1">
        <v>18412</v>
      </c>
      <c r="E135" s="1388"/>
      <c r="F135" s="1388">
        <f>+AVERAGE(D135:D136)</f>
        <v>19164.833333333336</v>
      </c>
      <c r="G135" s="387" t="s">
        <v>87</v>
      </c>
      <c r="H135" s="388">
        <v>2024</v>
      </c>
    </row>
    <row r="136" spans="3:8">
      <c r="C136" s="1387"/>
      <c r="D136" s="1">
        <f>119506/6</f>
        <v>19917.666666666668</v>
      </c>
      <c r="E136" s="1388"/>
      <c r="F136" s="1388"/>
      <c r="G136" s="387" t="s">
        <v>162</v>
      </c>
      <c r="H136" s="388">
        <v>2024</v>
      </c>
    </row>
    <row r="137" spans="3:8">
      <c r="C137" s="1387" t="s">
        <v>163</v>
      </c>
      <c r="D137" s="1">
        <v>36692</v>
      </c>
      <c r="E137" s="1388"/>
      <c r="F137" s="1388">
        <f>+AVERAGE(D137:D138)</f>
        <v>32947.083333333336</v>
      </c>
      <c r="G137" s="387" t="s">
        <v>164</v>
      </c>
      <c r="H137" s="388">
        <v>2024</v>
      </c>
    </row>
    <row r="138" spans="3:8">
      <c r="C138" s="1387"/>
      <c r="D138" s="1">
        <f>175213/6</f>
        <v>29202.166666666668</v>
      </c>
      <c r="E138" s="1388"/>
      <c r="F138" s="1388"/>
      <c r="G138" s="387" t="s">
        <v>162</v>
      </c>
      <c r="H138" s="388">
        <v>2024</v>
      </c>
    </row>
    <row r="139" spans="3:8">
      <c r="C139" s="1387" t="s">
        <v>165</v>
      </c>
      <c r="D139" s="1">
        <f>297648/6</f>
        <v>49608</v>
      </c>
      <c r="E139" s="1388"/>
      <c r="F139" s="1388">
        <f>+AVERAGE(D139:D140)</f>
        <v>43149.833333333328</v>
      </c>
      <c r="G139" s="387" t="s">
        <v>162</v>
      </c>
      <c r="H139" s="388">
        <v>2024</v>
      </c>
    </row>
    <row r="140" spans="3:8">
      <c r="C140" s="1387"/>
      <c r="D140" s="1">
        <f>220150/6</f>
        <v>36691.666666666664</v>
      </c>
      <c r="E140" s="1388"/>
      <c r="F140" s="1388"/>
      <c r="G140" s="387" t="s">
        <v>166</v>
      </c>
      <c r="H140" s="388">
        <v>2024</v>
      </c>
    </row>
    <row r="141" spans="3:8">
      <c r="C141" s="1387" t="s">
        <v>167</v>
      </c>
      <c r="D141" s="1">
        <f>305000/6</f>
        <v>50833.333333333336</v>
      </c>
      <c r="E141" s="1388"/>
      <c r="F141" s="1388">
        <f>+AVERAGE(D141:D142)</f>
        <v>54471.333333333336</v>
      </c>
      <c r="G141" s="387" t="s">
        <v>168</v>
      </c>
      <c r="H141" s="388">
        <v>2024</v>
      </c>
    </row>
    <row r="142" spans="3:8">
      <c r="C142" s="1387"/>
      <c r="D142" s="1">
        <f>348656/6</f>
        <v>58109.333333333336</v>
      </c>
      <c r="E142" s="1388"/>
      <c r="F142" s="1388"/>
      <c r="G142" s="387" t="s">
        <v>162</v>
      </c>
      <c r="H142" s="388">
        <v>2024</v>
      </c>
    </row>
    <row r="143" spans="3:8" ht="20">
      <c r="C143" s="1387" t="s">
        <v>169</v>
      </c>
      <c r="D143" s="1">
        <v>789</v>
      </c>
      <c r="E143" s="1388"/>
      <c r="F143" s="1388">
        <f>+AVERAGE(D143:D144)</f>
        <v>718.4</v>
      </c>
      <c r="G143" s="387" t="s">
        <v>170</v>
      </c>
      <c r="H143" s="388">
        <v>2024</v>
      </c>
    </row>
    <row r="144" spans="3:8">
      <c r="C144" s="1387"/>
      <c r="D144" s="1">
        <v>647.79999999999995</v>
      </c>
      <c r="E144" s="1388"/>
      <c r="F144" s="1388"/>
      <c r="G144" s="387" t="s">
        <v>171</v>
      </c>
      <c r="H144" s="388">
        <v>2024</v>
      </c>
    </row>
    <row r="145" spans="3:8">
      <c r="C145" s="1387" t="s">
        <v>172</v>
      </c>
      <c r="D145" s="1">
        <f>7168</f>
        <v>7168</v>
      </c>
      <c r="E145" s="1388"/>
      <c r="F145" s="1388">
        <f>+AVERAGE(D145:D146)</f>
        <v>11739</v>
      </c>
      <c r="G145" s="387" t="s">
        <v>87</v>
      </c>
      <c r="H145" s="388">
        <v>2024</v>
      </c>
    </row>
    <row r="146" spans="3:8">
      <c r="C146" s="1387"/>
      <c r="D146" s="1">
        <f>326200/(10*2)</f>
        <v>16310</v>
      </c>
      <c r="E146" s="1388"/>
      <c r="F146" s="1388"/>
      <c r="G146" s="387" t="s">
        <v>85</v>
      </c>
      <c r="H146" s="388">
        <v>2024</v>
      </c>
    </row>
    <row r="147" spans="3:8">
      <c r="C147" s="1387" t="s">
        <v>173</v>
      </c>
      <c r="D147" s="1">
        <v>13650</v>
      </c>
      <c r="E147" s="1388"/>
      <c r="F147" s="1388">
        <f>+AVERAGE(D147:D148)</f>
        <v>14362.916666666668</v>
      </c>
      <c r="G147" s="387" t="s">
        <v>174</v>
      </c>
      <c r="H147" s="388">
        <v>2024</v>
      </c>
    </row>
    <row r="148" spans="3:8">
      <c r="C148" s="1387"/>
      <c r="D148" s="1">
        <f>90455/6</f>
        <v>15075.833333333334</v>
      </c>
      <c r="E148" s="1388"/>
      <c r="F148" s="1388"/>
      <c r="G148" s="387" t="s">
        <v>175</v>
      </c>
      <c r="H148" s="388">
        <v>2024</v>
      </c>
    </row>
    <row r="149" spans="3:8">
      <c r="C149" s="1387" t="s">
        <v>176</v>
      </c>
      <c r="D149" s="1">
        <f>24718/6</f>
        <v>4119.666666666667</v>
      </c>
      <c r="E149" s="1388"/>
      <c r="F149" s="1388">
        <f>+AVERAGE(D149:D150)</f>
        <v>3634.8333333333335</v>
      </c>
      <c r="G149" s="387" t="s">
        <v>177</v>
      </c>
      <c r="H149" s="388">
        <v>2024</v>
      </c>
    </row>
    <row r="150" spans="3:8">
      <c r="C150" s="1387"/>
      <c r="D150" s="1">
        <v>3150</v>
      </c>
      <c r="E150" s="1388"/>
      <c r="F150" s="1388"/>
      <c r="G150" s="387" t="s">
        <v>178</v>
      </c>
      <c r="H150" s="388">
        <v>2024</v>
      </c>
    </row>
    <row r="151" spans="3:8" ht="41.15" customHeight="1">
      <c r="C151" s="401" t="s">
        <v>179</v>
      </c>
      <c r="D151" s="1">
        <v>146558</v>
      </c>
      <c r="E151" s="88"/>
      <c r="F151" s="413">
        <f>+D151</f>
        <v>146558</v>
      </c>
      <c r="G151" s="412" t="s">
        <v>180</v>
      </c>
      <c r="H151" s="388">
        <v>2024</v>
      </c>
    </row>
    <row r="152" spans="3:8" ht="13">
      <c r="C152" s="401" t="s">
        <v>181</v>
      </c>
      <c r="D152" s="1">
        <f>28560/3</f>
        <v>9520</v>
      </c>
      <c r="E152" s="88"/>
      <c r="F152" s="413">
        <f>+D152</f>
        <v>9520</v>
      </c>
      <c r="G152" s="412" t="s">
        <v>180</v>
      </c>
      <c r="H152" s="388">
        <v>2024</v>
      </c>
    </row>
    <row r="153" spans="3:8" ht="13">
      <c r="C153" s="401" t="s">
        <v>182</v>
      </c>
      <c r="D153" s="1">
        <v>19040</v>
      </c>
      <c r="E153" s="88"/>
      <c r="F153" s="413">
        <f>+D153</f>
        <v>19040</v>
      </c>
      <c r="G153" s="387" t="s">
        <v>87</v>
      </c>
      <c r="H153" s="77">
        <v>2024</v>
      </c>
    </row>
  </sheetData>
  <mergeCells count="164">
    <mergeCell ref="C65:C66"/>
    <mergeCell ref="E65:E66"/>
    <mergeCell ref="F65:F66"/>
    <mergeCell ref="C72:C74"/>
    <mergeCell ref="E72:E74"/>
    <mergeCell ref="F72:F74"/>
    <mergeCell ref="C67:C69"/>
    <mergeCell ref="E67:E69"/>
    <mergeCell ref="F67:F69"/>
    <mergeCell ref="C70:C71"/>
    <mergeCell ref="E70:E71"/>
    <mergeCell ref="F70:F71"/>
    <mergeCell ref="C58:C60"/>
    <mergeCell ref="E58:E60"/>
    <mergeCell ref="F58:F60"/>
    <mergeCell ref="C61:C62"/>
    <mergeCell ref="E61:E62"/>
    <mergeCell ref="F61:F62"/>
    <mergeCell ref="C63:C64"/>
    <mergeCell ref="E63:E64"/>
    <mergeCell ref="F63:F64"/>
    <mergeCell ref="C49:C51"/>
    <mergeCell ref="E49:E51"/>
    <mergeCell ref="F49:F51"/>
    <mergeCell ref="C52:C54"/>
    <mergeCell ref="E52:E54"/>
    <mergeCell ref="F52:F54"/>
    <mergeCell ref="C55:C57"/>
    <mergeCell ref="E55:E57"/>
    <mergeCell ref="F55:F57"/>
    <mergeCell ref="C42:C44"/>
    <mergeCell ref="E42:E44"/>
    <mergeCell ref="F42:F44"/>
    <mergeCell ref="C45:C46"/>
    <mergeCell ref="E45:E46"/>
    <mergeCell ref="F45:F46"/>
    <mergeCell ref="C47:C48"/>
    <mergeCell ref="E47:E48"/>
    <mergeCell ref="F47:F48"/>
    <mergeCell ref="C33:H33"/>
    <mergeCell ref="C35:C36"/>
    <mergeCell ref="E35:E36"/>
    <mergeCell ref="F35:F36"/>
    <mergeCell ref="C38:C39"/>
    <mergeCell ref="E38:E39"/>
    <mergeCell ref="F38:F39"/>
    <mergeCell ref="C40:C41"/>
    <mergeCell ref="E40:E41"/>
    <mergeCell ref="F40:F41"/>
    <mergeCell ref="F17:F18"/>
    <mergeCell ref="C19:C20"/>
    <mergeCell ref="E19:E20"/>
    <mergeCell ref="F19:F20"/>
    <mergeCell ref="C21:C22"/>
    <mergeCell ref="E21:E22"/>
    <mergeCell ref="F21:F22"/>
    <mergeCell ref="C23:C24"/>
    <mergeCell ref="E23:E24"/>
    <mergeCell ref="F23:F24"/>
    <mergeCell ref="C79:C81"/>
    <mergeCell ref="F79:F81"/>
    <mergeCell ref="E79:E81"/>
    <mergeCell ref="C75:C76"/>
    <mergeCell ref="E75:E76"/>
    <mergeCell ref="F75:F76"/>
    <mergeCell ref="C1:H1"/>
    <mergeCell ref="C3:C5"/>
    <mergeCell ref="E3:E5"/>
    <mergeCell ref="F3:F5"/>
    <mergeCell ref="C6:C8"/>
    <mergeCell ref="E6:E8"/>
    <mergeCell ref="F6:F8"/>
    <mergeCell ref="C9:C10"/>
    <mergeCell ref="E9:E10"/>
    <mergeCell ref="F9:F10"/>
    <mergeCell ref="C11:C13"/>
    <mergeCell ref="E11:E13"/>
    <mergeCell ref="F11:F13"/>
    <mergeCell ref="C14:C16"/>
    <mergeCell ref="E14:E16"/>
    <mergeCell ref="F14:F16"/>
    <mergeCell ref="C17:C18"/>
    <mergeCell ref="E17:E18"/>
    <mergeCell ref="C88:C90"/>
    <mergeCell ref="E88:E90"/>
    <mergeCell ref="F88:F90"/>
    <mergeCell ref="C91:C93"/>
    <mergeCell ref="E91:E93"/>
    <mergeCell ref="F91:F93"/>
    <mergeCell ref="C82:C84"/>
    <mergeCell ref="F82:F84"/>
    <mergeCell ref="C85:C87"/>
    <mergeCell ref="E85:E87"/>
    <mergeCell ref="F85:F87"/>
    <mergeCell ref="E82:E84"/>
    <mergeCell ref="C100:C102"/>
    <mergeCell ref="E100:E102"/>
    <mergeCell ref="F100:F102"/>
    <mergeCell ref="C103:C105"/>
    <mergeCell ref="E103:E105"/>
    <mergeCell ref="F103:F105"/>
    <mergeCell ref="C94:C96"/>
    <mergeCell ref="E94:E96"/>
    <mergeCell ref="F94:F96"/>
    <mergeCell ref="C97:C99"/>
    <mergeCell ref="E97:E99"/>
    <mergeCell ref="F97:F99"/>
    <mergeCell ref="C112:C114"/>
    <mergeCell ref="E112:E114"/>
    <mergeCell ref="F112:F114"/>
    <mergeCell ref="C115:C117"/>
    <mergeCell ref="E115:E117"/>
    <mergeCell ref="F115:F117"/>
    <mergeCell ref="C106:C108"/>
    <mergeCell ref="E106:E108"/>
    <mergeCell ref="F106:F108"/>
    <mergeCell ref="C109:C111"/>
    <mergeCell ref="E109:E111"/>
    <mergeCell ref="F109:F111"/>
    <mergeCell ref="C124:C126"/>
    <mergeCell ref="E124:E126"/>
    <mergeCell ref="F124:F126"/>
    <mergeCell ref="C127:C129"/>
    <mergeCell ref="E127:E129"/>
    <mergeCell ref="F127:F129"/>
    <mergeCell ref="C118:C120"/>
    <mergeCell ref="E118:E120"/>
    <mergeCell ref="F118:F120"/>
    <mergeCell ref="C121:C123"/>
    <mergeCell ref="E121:E123"/>
    <mergeCell ref="F121:F123"/>
    <mergeCell ref="E137:E138"/>
    <mergeCell ref="E139:E140"/>
    <mergeCell ref="C133:C134"/>
    <mergeCell ref="E133:E134"/>
    <mergeCell ref="F133:F134"/>
    <mergeCell ref="E135:E136"/>
    <mergeCell ref="C130:C132"/>
    <mergeCell ref="E130:E132"/>
    <mergeCell ref="F130:F132"/>
    <mergeCell ref="F77:F78"/>
    <mergeCell ref="C77:C78"/>
    <mergeCell ref="E77:E78"/>
    <mergeCell ref="C149:C150"/>
    <mergeCell ref="F149:F150"/>
    <mergeCell ref="E149:E150"/>
    <mergeCell ref="C147:C148"/>
    <mergeCell ref="F147:F148"/>
    <mergeCell ref="E147:E148"/>
    <mergeCell ref="C143:C144"/>
    <mergeCell ref="F143:F144"/>
    <mergeCell ref="C145:C146"/>
    <mergeCell ref="F145:F146"/>
    <mergeCell ref="E143:E144"/>
    <mergeCell ref="E145:E146"/>
    <mergeCell ref="C139:C140"/>
    <mergeCell ref="F139:F140"/>
    <mergeCell ref="C141:C142"/>
    <mergeCell ref="F141:F142"/>
    <mergeCell ref="E141:E142"/>
    <mergeCell ref="C135:C136"/>
    <mergeCell ref="F135:F136"/>
    <mergeCell ref="C137:C138"/>
    <mergeCell ref="F137:F138"/>
  </mergeCells>
  <hyperlinks>
    <hyperlink ref="G3" r:id="rId1" xr:uid="{00000000-0004-0000-0B00-000000000000}"/>
    <hyperlink ref="G6" r:id="rId2" xr:uid="{00000000-0004-0000-0B00-000001000000}"/>
    <hyperlink ref="G11" r:id="rId3" xr:uid="{00000000-0004-0000-0B00-000002000000}"/>
    <hyperlink ref="G13" r:id="rId4" xr:uid="{00000000-0004-0000-0B00-000003000000}"/>
    <hyperlink ref="G16" r:id="rId5" xr:uid="{00000000-0004-0000-0B00-000004000000}"/>
    <hyperlink ref="G22" r:id="rId6" xr:uid="{00000000-0004-0000-0B00-000005000000}"/>
    <hyperlink ref="G23" r:id="rId7" xr:uid="{00000000-0004-0000-0B00-000006000000}"/>
    <hyperlink ref="G49" r:id="rId8" xr:uid="{00000000-0004-0000-0B00-000007000000}"/>
    <hyperlink ref="G56" r:id="rId9" xr:uid="{00000000-0004-0000-0B00-000008000000}"/>
    <hyperlink ref="G57" r:id="rId10" xr:uid="{00000000-0004-0000-0B00-000009000000}"/>
    <hyperlink ref="G62" r:id="rId11" xr:uid="{00000000-0004-0000-0B00-00000A000000}"/>
    <hyperlink ref="G66" r:id="rId12" xr:uid="{00000000-0004-0000-0B00-00000B000000}"/>
    <hyperlink ref="G69" r:id="rId13" xr:uid="{00000000-0004-0000-0B00-00000C000000}"/>
    <hyperlink ref="G68" r:id="rId14" xr:uid="{00000000-0004-0000-0B00-00000D000000}"/>
    <hyperlink ref="G74" r:id="rId15" xr:uid="{00000000-0004-0000-0B00-00000F000000}"/>
    <hyperlink ref="G106" r:id="rId16" xr:uid="{00000000-0004-0000-0B00-000010000000}"/>
    <hyperlink ref="G113" r:id="rId17" xr:uid="{00000000-0004-0000-0B00-000011000000}"/>
    <hyperlink ref="G151" r:id="rId18" xr:uid="{8CD01702-DA54-4E00-B100-9160F29CE728}"/>
    <hyperlink ref="G152" r:id="rId19" xr:uid="{36CD59BD-27AB-4673-8CA2-B5A8CB3A018F}"/>
  </hyperlinks>
  <pageMargins left="0.7" right="0.7" top="0.75" bottom="0.75" header="0.3" footer="0.3"/>
  <drawing r:id="rId2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53023-E11B-46FD-BA38-51778247E2CC}">
  <sheetPr>
    <tabColor rgb="FFFF0000"/>
  </sheetPr>
  <dimension ref="A1:IV889"/>
  <sheetViews>
    <sheetView showGridLines="0" topLeftCell="M4" zoomScale="85" zoomScaleNormal="85" workbookViewId="0">
      <selection sqref="A1:P1"/>
    </sheetView>
  </sheetViews>
  <sheetFormatPr baseColWidth="10" defaultColWidth="11" defaultRowHeight="13" outlineLevelRow="1"/>
  <cols>
    <col min="1" max="1" width="36.81640625" style="1180" customWidth="1"/>
    <col min="2" max="2" width="11.453125" style="1189" customWidth="1"/>
    <col min="3" max="3" width="31.453125" style="1169" customWidth="1"/>
    <col min="4" max="4" width="9.81640625" style="1213" customWidth="1"/>
    <col min="5" max="5" width="11.54296875" style="1189" customWidth="1"/>
    <col min="6" max="6" width="16.54296875" style="1189" customWidth="1"/>
    <col min="7" max="7" width="14.54296875" style="1189" customWidth="1"/>
    <col min="8" max="8" width="14.54296875" style="1189" bestFit="1" customWidth="1"/>
    <col min="9" max="9" width="14.54296875" style="1189" hidden="1" customWidth="1"/>
    <col min="10" max="10" width="15.54296875" style="1189" customWidth="1"/>
    <col min="11" max="11" width="13.81640625" style="1180" bestFit="1" customWidth="1"/>
    <col min="12" max="12" width="0.81640625" style="1180" customWidth="1"/>
    <col min="13" max="13" width="13.54296875" style="1180" customWidth="1"/>
    <col min="14" max="14" width="14.453125" style="1180" customWidth="1"/>
    <col min="15" max="15" width="23.453125" style="1189" customWidth="1"/>
    <col min="16" max="16" width="19.1796875" style="1180" customWidth="1"/>
    <col min="17" max="17" width="15.81640625" style="1181" customWidth="1"/>
    <col min="18" max="19" width="20.1796875" style="1180" customWidth="1"/>
    <col min="20" max="20" width="17.453125" style="1180" customWidth="1"/>
    <col min="21" max="24" width="12.453125" style="1180" customWidth="1"/>
    <col min="25" max="25" width="11.453125" style="1180" customWidth="1"/>
    <col min="26" max="249" width="10.54296875" style="1180" customWidth="1"/>
    <col min="250" max="250" width="14.453125" style="1180" bestFit="1" customWidth="1"/>
    <col min="251" max="252" width="10.54296875" style="1180" customWidth="1"/>
    <col min="253" max="253" width="19.54296875" style="1180" bestFit="1" customWidth="1"/>
    <col min="254" max="254" width="26.54296875" style="1180" bestFit="1" customWidth="1"/>
    <col min="255" max="255" width="12.453125" style="1189" bestFit="1" customWidth="1"/>
    <col min="256" max="256" width="11" style="1189"/>
    <col min="257" max="257" width="36.81640625" style="1189" customWidth="1"/>
    <col min="258" max="258" width="11.453125" style="1189" customWidth="1"/>
    <col min="259" max="259" width="31.453125" style="1189" customWidth="1"/>
    <col min="260" max="260" width="9.81640625" style="1189" customWidth="1"/>
    <col min="261" max="261" width="11.54296875" style="1189" customWidth="1"/>
    <col min="262" max="262" width="16.54296875" style="1189" customWidth="1"/>
    <col min="263" max="263" width="14.54296875" style="1189" customWidth="1"/>
    <col min="264" max="264" width="14.54296875" style="1189" bestFit="1" customWidth="1"/>
    <col min="265" max="265" width="0" style="1189" hidden="1" customWidth="1"/>
    <col min="266" max="266" width="15.54296875" style="1189" customWidth="1"/>
    <col min="267" max="267" width="13.81640625" style="1189" bestFit="1" customWidth="1"/>
    <col min="268" max="268" width="0.81640625" style="1189" customWidth="1"/>
    <col min="269" max="269" width="13.54296875" style="1189" customWidth="1"/>
    <col min="270" max="270" width="14.453125" style="1189" customWidth="1"/>
    <col min="271" max="271" width="23.453125" style="1189" customWidth="1"/>
    <col min="272" max="272" width="19.1796875" style="1189" customWidth="1"/>
    <col min="273" max="273" width="15.81640625" style="1189" customWidth="1"/>
    <col min="274" max="275" width="20.1796875" style="1189" customWidth="1"/>
    <col min="276" max="276" width="17.453125" style="1189" customWidth="1"/>
    <col min="277" max="280" width="12.453125" style="1189" customWidth="1"/>
    <col min="281" max="281" width="11.453125" style="1189" customWidth="1"/>
    <col min="282" max="505" width="10.54296875" style="1189" customWidth="1"/>
    <col min="506" max="506" width="14.453125" style="1189" bestFit="1" customWidth="1"/>
    <col min="507" max="508" width="10.54296875" style="1189" customWidth="1"/>
    <col min="509" max="509" width="19.54296875" style="1189" bestFit="1" customWidth="1"/>
    <col min="510" max="510" width="26.54296875" style="1189" bestFit="1" customWidth="1"/>
    <col min="511" max="511" width="12.453125" style="1189" bestFit="1" customWidth="1"/>
    <col min="512" max="512" width="11" style="1189"/>
    <col min="513" max="513" width="36.81640625" style="1189" customWidth="1"/>
    <col min="514" max="514" width="11.453125" style="1189" customWidth="1"/>
    <col min="515" max="515" width="31.453125" style="1189" customWidth="1"/>
    <col min="516" max="516" width="9.81640625" style="1189" customWidth="1"/>
    <col min="517" max="517" width="11.54296875" style="1189" customWidth="1"/>
    <col min="518" max="518" width="16.54296875" style="1189" customWidth="1"/>
    <col min="519" max="519" width="14.54296875" style="1189" customWidth="1"/>
    <col min="520" max="520" width="14.54296875" style="1189" bestFit="1" customWidth="1"/>
    <col min="521" max="521" width="0" style="1189" hidden="1" customWidth="1"/>
    <col min="522" max="522" width="15.54296875" style="1189" customWidth="1"/>
    <col min="523" max="523" width="13.81640625" style="1189" bestFit="1" customWidth="1"/>
    <col min="524" max="524" width="0.81640625" style="1189" customWidth="1"/>
    <col min="525" max="525" width="13.54296875" style="1189" customWidth="1"/>
    <col min="526" max="526" width="14.453125" style="1189" customWidth="1"/>
    <col min="527" max="527" width="23.453125" style="1189" customWidth="1"/>
    <col min="528" max="528" width="19.1796875" style="1189" customWidth="1"/>
    <col min="529" max="529" width="15.81640625" style="1189" customWidth="1"/>
    <col min="530" max="531" width="20.1796875" style="1189" customWidth="1"/>
    <col min="532" max="532" width="17.453125" style="1189" customWidth="1"/>
    <col min="533" max="536" width="12.453125" style="1189" customWidth="1"/>
    <col min="537" max="537" width="11.453125" style="1189" customWidth="1"/>
    <col min="538" max="761" width="10.54296875" style="1189" customWidth="1"/>
    <col min="762" max="762" width="14.453125" style="1189" bestFit="1" customWidth="1"/>
    <col min="763" max="764" width="10.54296875" style="1189" customWidth="1"/>
    <col min="765" max="765" width="19.54296875" style="1189" bestFit="1" customWidth="1"/>
    <col min="766" max="766" width="26.54296875" style="1189" bestFit="1" customWidth="1"/>
    <col min="767" max="767" width="12.453125" style="1189" bestFit="1" customWidth="1"/>
    <col min="768" max="768" width="11" style="1189"/>
    <col min="769" max="769" width="36.81640625" style="1189" customWidth="1"/>
    <col min="770" max="770" width="11.453125" style="1189" customWidth="1"/>
    <col min="771" max="771" width="31.453125" style="1189" customWidth="1"/>
    <col min="772" max="772" width="9.81640625" style="1189" customWidth="1"/>
    <col min="773" max="773" width="11.54296875" style="1189" customWidth="1"/>
    <col min="774" max="774" width="16.54296875" style="1189" customWidth="1"/>
    <col min="775" max="775" width="14.54296875" style="1189" customWidth="1"/>
    <col min="776" max="776" width="14.54296875" style="1189" bestFit="1" customWidth="1"/>
    <col min="777" max="777" width="0" style="1189" hidden="1" customWidth="1"/>
    <col min="778" max="778" width="15.54296875" style="1189" customWidth="1"/>
    <col min="779" max="779" width="13.81640625" style="1189" bestFit="1" customWidth="1"/>
    <col min="780" max="780" width="0.81640625" style="1189" customWidth="1"/>
    <col min="781" max="781" width="13.54296875" style="1189" customWidth="1"/>
    <col min="782" max="782" width="14.453125" style="1189" customWidth="1"/>
    <col min="783" max="783" width="23.453125" style="1189" customWidth="1"/>
    <col min="784" max="784" width="19.1796875" style="1189" customWidth="1"/>
    <col min="785" max="785" width="15.81640625" style="1189" customWidth="1"/>
    <col min="786" max="787" width="20.1796875" style="1189" customWidth="1"/>
    <col min="788" max="788" width="17.453125" style="1189" customWidth="1"/>
    <col min="789" max="792" width="12.453125" style="1189" customWidth="1"/>
    <col min="793" max="793" width="11.453125" style="1189" customWidth="1"/>
    <col min="794" max="1017" width="10.54296875" style="1189" customWidth="1"/>
    <col min="1018" max="1018" width="14.453125" style="1189" bestFit="1" customWidth="1"/>
    <col min="1019" max="1020" width="10.54296875" style="1189" customWidth="1"/>
    <col min="1021" max="1021" width="19.54296875" style="1189" bestFit="1" customWidth="1"/>
    <col min="1022" max="1022" width="26.54296875" style="1189" bestFit="1" customWidth="1"/>
    <col min="1023" max="1023" width="12.453125" style="1189" bestFit="1" customWidth="1"/>
    <col min="1024" max="1024" width="11" style="1189"/>
    <col min="1025" max="1025" width="36.81640625" style="1189" customWidth="1"/>
    <col min="1026" max="1026" width="11.453125" style="1189" customWidth="1"/>
    <col min="1027" max="1027" width="31.453125" style="1189" customWidth="1"/>
    <col min="1028" max="1028" width="9.81640625" style="1189" customWidth="1"/>
    <col min="1029" max="1029" width="11.54296875" style="1189" customWidth="1"/>
    <col min="1030" max="1030" width="16.54296875" style="1189" customWidth="1"/>
    <col min="1031" max="1031" width="14.54296875" style="1189" customWidth="1"/>
    <col min="1032" max="1032" width="14.54296875" style="1189" bestFit="1" customWidth="1"/>
    <col min="1033" max="1033" width="0" style="1189" hidden="1" customWidth="1"/>
    <col min="1034" max="1034" width="15.54296875" style="1189" customWidth="1"/>
    <col min="1035" max="1035" width="13.81640625" style="1189" bestFit="1" customWidth="1"/>
    <col min="1036" max="1036" width="0.81640625" style="1189" customWidth="1"/>
    <col min="1037" max="1037" width="13.54296875" style="1189" customWidth="1"/>
    <col min="1038" max="1038" width="14.453125" style="1189" customWidth="1"/>
    <col min="1039" max="1039" width="23.453125" style="1189" customWidth="1"/>
    <col min="1040" max="1040" width="19.1796875" style="1189" customWidth="1"/>
    <col min="1041" max="1041" width="15.81640625" style="1189" customWidth="1"/>
    <col min="1042" max="1043" width="20.1796875" style="1189" customWidth="1"/>
    <col min="1044" max="1044" width="17.453125" style="1189" customWidth="1"/>
    <col min="1045" max="1048" width="12.453125" style="1189" customWidth="1"/>
    <col min="1049" max="1049" width="11.453125" style="1189" customWidth="1"/>
    <col min="1050" max="1273" width="10.54296875" style="1189" customWidth="1"/>
    <col min="1274" max="1274" width="14.453125" style="1189" bestFit="1" customWidth="1"/>
    <col min="1275" max="1276" width="10.54296875" style="1189" customWidth="1"/>
    <col min="1277" max="1277" width="19.54296875" style="1189" bestFit="1" customWidth="1"/>
    <col min="1278" max="1278" width="26.54296875" style="1189" bestFit="1" customWidth="1"/>
    <col min="1279" max="1279" width="12.453125" style="1189" bestFit="1" customWidth="1"/>
    <col min="1280" max="1280" width="11" style="1189"/>
    <col min="1281" max="1281" width="36.81640625" style="1189" customWidth="1"/>
    <col min="1282" max="1282" width="11.453125" style="1189" customWidth="1"/>
    <col min="1283" max="1283" width="31.453125" style="1189" customWidth="1"/>
    <col min="1284" max="1284" width="9.81640625" style="1189" customWidth="1"/>
    <col min="1285" max="1285" width="11.54296875" style="1189" customWidth="1"/>
    <col min="1286" max="1286" width="16.54296875" style="1189" customWidth="1"/>
    <col min="1287" max="1287" width="14.54296875" style="1189" customWidth="1"/>
    <col min="1288" max="1288" width="14.54296875" style="1189" bestFit="1" customWidth="1"/>
    <col min="1289" max="1289" width="0" style="1189" hidden="1" customWidth="1"/>
    <col min="1290" max="1290" width="15.54296875" style="1189" customWidth="1"/>
    <col min="1291" max="1291" width="13.81640625" style="1189" bestFit="1" customWidth="1"/>
    <col min="1292" max="1292" width="0.81640625" style="1189" customWidth="1"/>
    <col min="1293" max="1293" width="13.54296875" style="1189" customWidth="1"/>
    <col min="1294" max="1294" width="14.453125" style="1189" customWidth="1"/>
    <col min="1295" max="1295" width="23.453125" style="1189" customWidth="1"/>
    <col min="1296" max="1296" width="19.1796875" style="1189" customWidth="1"/>
    <col min="1297" max="1297" width="15.81640625" style="1189" customWidth="1"/>
    <col min="1298" max="1299" width="20.1796875" style="1189" customWidth="1"/>
    <col min="1300" max="1300" width="17.453125" style="1189" customWidth="1"/>
    <col min="1301" max="1304" width="12.453125" style="1189" customWidth="1"/>
    <col min="1305" max="1305" width="11.453125" style="1189" customWidth="1"/>
    <col min="1306" max="1529" width="10.54296875" style="1189" customWidth="1"/>
    <col min="1530" max="1530" width="14.453125" style="1189" bestFit="1" customWidth="1"/>
    <col min="1531" max="1532" width="10.54296875" style="1189" customWidth="1"/>
    <col min="1533" max="1533" width="19.54296875" style="1189" bestFit="1" customWidth="1"/>
    <col min="1534" max="1534" width="26.54296875" style="1189" bestFit="1" customWidth="1"/>
    <col min="1535" max="1535" width="12.453125" style="1189" bestFit="1" customWidth="1"/>
    <col min="1536" max="1536" width="11" style="1189"/>
    <col min="1537" max="1537" width="36.81640625" style="1189" customWidth="1"/>
    <col min="1538" max="1538" width="11.453125" style="1189" customWidth="1"/>
    <col min="1539" max="1539" width="31.453125" style="1189" customWidth="1"/>
    <col min="1540" max="1540" width="9.81640625" style="1189" customWidth="1"/>
    <col min="1541" max="1541" width="11.54296875" style="1189" customWidth="1"/>
    <col min="1542" max="1542" width="16.54296875" style="1189" customWidth="1"/>
    <col min="1543" max="1543" width="14.54296875" style="1189" customWidth="1"/>
    <col min="1544" max="1544" width="14.54296875" style="1189" bestFit="1" customWidth="1"/>
    <col min="1545" max="1545" width="0" style="1189" hidden="1" customWidth="1"/>
    <col min="1546" max="1546" width="15.54296875" style="1189" customWidth="1"/>
    <col min="1547" max="1547" width="13.81640625" style="1189" bestFit="1" customWidth="1"/>
    <col min="1548" max="1548" width="0.81640625" style="1189" customWidth="1"/>
    <col min="1549" max="1549" width="13.54296875" style="1189" customWidth="1"/>
    <col min="1550" max="1550" width="14.453125" style="1189" customWidth="1"/>
    <col min="1551" max="1551" width="23.453125" style="1189" customWidth="1"/>
    <col min="1552" max="1552" width="19.1796875" style="1189" customWidth="1"/>
    <col min="1553" max="1553" width="15.81640625" style="1189" customWidth="1"/>
    <col min="1554" max="1555" width="20.1796875" style="1189" customWidth="1"/>
    <col min="1556" max="1556" width="17.453125" style="1189" customWidth="1"/>
    <col min="1557" max="1560" width="12.453125" style="1189" customWidth="1"/>
    <col min="1561" max="1561" width="11.453125" style="1189" customWidth="1"/>
    <col min="1562" max="1785" width="10.54296875" style="1189" customWidth="1"/>
    <col min="1786" max="1786" width="14.453125" style="1189" bestFit="1" customWidth="1"/>
    <col min="1787" max="1788" width="10.54296875" style="1189" customWidth="1"/>
    <col min="1789" max="1789" width="19.54296875" style="1189" bestFit="1" customWidth="1"/>
    <col min="1790" max="1790" width="26.54296875" style="1189" bestFit="1" customWidth="1"/>
    <col min="1791" max="1791" width="12.453125" style="1189" bestFit="1" customWidth="1"/>
    <col min="1792" max="1792" width="11" style="1189"/>
    <col min="1793" max="1793" width="36.81640625" style="1189" customWidth="1"/>
    <col min="1794" max="1794" width="11.453125" style="1189" customWidth="1"/>
    <col min="1795" max="1795" width="31.453125" style="1189" customWidth="1"/>
    <col min="1796" max="1796" width="9.81640625" style="1189" customWidth="1"/>
    <col min="1797" max="1797" width="11.54296875" style="1189" customWidth="1"/>
    <col min="1798" max="1798" width="16.54296875" style="1189" customWidth="1"/>
    <col min="1799" max="1799" width="14.54296875" style="1189" customWidth="1"/>
    <col min="1800" max="1800" width="14.54296875" style="1189" bestFit="1" customWidth="1"/>
    <col min="1801" max="1801" width="0" style="1189" hidden="1" customWidth="1"/>
    <col min="1802" max="1802" width="15.54296875" style="1189" customWidth="1"/>
    <col min="1803" max="1803" width="13.81640625" style="1189" bestFit="1" customWidth="1"/>
    <col min="1804" max="1804" width="0.81640625" style="1189" customWidth="1"/>
    <col min="1805" max="1805" width="13.54296875" style="1189" customWidth="1"/>
    <col min="1806" max="1806" width="14.453125" style="1189" customWidth="1"/>
    <col min="1807" max="1807" width="23.453125" style="1189" customWidth="1"/>
    <col min="1808" max="1808" width="19.1796875" style="1189" customWidth="1"/>
    <col min="1809" max="1809" width="15.81640625" style="1189" customWidth="1"/>
    <col min="1810" max="1811" width="20.1796875" style="1189" customWidth="1"/>
    <col min="1812" max="1812" width="17.453125" style="1189" customWidth="1"/>
    <col min="1813" max="1816" width="12.453125" style="1189" customWidth="1"/>
    <col min="1817" max="1817" width="11.453125" style="1189" customWidth="1"/>
    <col min="1818" max="2041" width="10.54296875" style="1189" customWidth="1"/>
    <col min="2042" max="2042" width="14.453125" style="1189" bestFit="1" customWidth="1"/>
    <col min="2043" max="2044" width="10.54296875" style="1189" customWidth="1"/>
    <col min="2045" max="2045" width="19.54296875" style="1189" bestFit="1" customWidth="1"/>
    <col min="2046" max="2046" width="26.54296875" style="1189" bestFit="1" customWidth="1"/>
    <col min="2047" max="2047" width="12.453125" style="1189" bestFit="1" customWidth="1"/>
    <col min="2048" max="2048" width="11" style="1189"/>
    <col min="2049" max="2049" width="36.81640625" style="1189" customWidth="1"/>
    <col min="2050" max="2050" width="11.453125" style="1189" customWidth="1"/>
    <col min="2051" max="2051" width="31.453125" style="1189" customWidth="1"/>
    <col min="2052" max="2052" width="9.81640625" style="1189" customWidth="1"/>
    <col min="2053" max="2053" width="11.54296875" style="1189" customWidth="1"/>
    <col min="2054" max="2054" width="16.54296875" style="1189" customWidth="1"/>
    <col min="2055" max="2055" width="14.54296875" style="1189" customWidth="1"/>
    <col min="2056" max="2056" width="14.54296875" style="1189" bestFit="1" customWidth="1"/>
    <col min="2057" max="2057" width="0" style="1189" hidden="1" customWidth="1"/>
    <col min="2058" max="2058" width="15.54296875" style="1189" customWidth="1"/>
    <col min="2059" max="2059" width="13.81640625" style="1189" bestFit="1" customWidth="1"/>
    <col min="2060" max="2060" width="0.81640625" style="1189" customWidth="1"/>
    <col min="2061" max="2061" width="13.54296875" style="1189" customWidth="1"/>
    <col min="2062" max="2062" width="14.453125" style="1189" customWidth="1"/>
    <col min="2063" max="2063" width="23.453125" style="1189" customWidth="1"/>
    <col min="2064" max="2064" width="19.1796875" style="1189" customWidth="1"/>
    <col min="2065" max="2065" width="15.81640625" style="1189" customWidth="1"/>
    <col min="2066" max="2067" width="20.1796875" style="1189" customWidth="1"/>
    <col min="2068" max="2068" width="17.453125" style="1189" customWidth="1"/>
    <col min="2069" max="2072" width="12.453125" style="1189" customWidth="1"/>
    <col min="2073" max="2073" width="11.453125" style="1189" customWidth="1"/>
    <col min="2074" max="2297" width="10.54296875" style="1189" customWidth="1"/>
    <col min="2298" max="2298" width="14.453125" style="1189" bestFit="1" customWidth="1"/>
    <col min="2299" max="2300" width="10.54296875" style="1189" customWidth="1"/>
    <col min="2301" max="2301" width="19.54296875" style="1189" bestFit="1" customWidth="1"/>
    <col min="2302" max="2302" width="26.54296875" style="1189" bestFit="1" customWidth="1"/>
    <col min="2303" max="2303" width="12.453125" style="1189" bestFit="1" customWidth="1"/>
    <col min="2304" max="2304" width="11" style="1189"/>
    <col min="2305" max="2305" width="36.81640625" style="1189" customWidth="1"/>
    <col min="2306" max="2306" width="11.453125" style="1189" customWidth="1"/>
    <col min="2307" max="2307" width="31.453125" style="1189" customWidth="1"/>
    <col min="2308" max="2308" width="9.81640625" style="1189" customWidth="1"/>
    <col min="2309" max="2309" width="11.54296875" style="1189" customWidth="1"/>
    <col min="2310" max="2310" width="16.54296875" style="1189" customWidth="1"/>
    <col min="2311" max="2311" width="14.54296875" style="1189" customWidth="1"/>
    <col min="2312" max="2312" width="14.54296875" style="1189" bestFit="1" customWidth="1"/>
    <col min="2313" max="2313" width="0" style="1189" hidden="1" customWidth="1"/>
    <col min="2314" max="2314" width="15.54296875" style="1189" customWidth="1"/>
    <col min="2315" max="2315" width="13.81640625" style="1189" bestFit="1" customWidth="1"/>
    <col min="2316" max="2316" width="0.81640625" style="1189" customWidth="1"/>
    <col min="2317" max="2317" width="13.54296875" style="1189" customWidth="1"/>
    <col min="2318" max="2318" width="14.453125" style="1189" customWidth="1"/>
    <col min="2319" max="2319" width="23.453125" style="1189" customWidth="1"/>
    <col min="2320" max="2320" width="19.1796875" style="1189" customWidth="1"/>
    <col min="2321" max="2321" width="15.81640625" style="1189" customWidth="1"/>
    <col min="2322" max="2323" width="20.1796875" style="1189" customWidth="1"/>
    <col min="2324" max="2324" width="17.453125" style="1189" customWidth="1"/>
    <col min="2325" max="2328" width="12.453125" style="1189" customWidth="1"/>
    <col min="2329" max="2329" width="11.453125" style="1189" customWidth="1"/>
    <col min="2330" max="2553" width="10.54296875" style="1189" customWidth="1"/>
    <col min="2554" max="2554" width="14.453125" style="1189" bestFit="1" customWidth="1"/>
    <col min="2555" max="2556" width="10.54296875" style="1189" customWidth="1"/>
    <col min="2557" max="2557" width="19.54296875" style="1189" bestFit="1" customWidth="1"/>
    <col min="2558" max="2558" width="26.54296875" style="1189" bestFit="1" customWidth="1"/>
    <col min="2559" max="2559" width="12.453125" style="1189" bestFit="1" customWidth="1"/>
    <col min="2560" max="2560" width="11" style="1189"/>
    <col min="2561" max="2561" width="36.81640625" style="1189" customWidth="1"/>
    <col min="2562" max="2562" width="11.453125" style="1189" customWidth="1"/>
    <col min="2563" max="2563" width="31.453125" style="1189" customWidth="1"/>
    <col min="2564" max="2564" width="9.81640625" style="1189" customWidth="1"/>
    <col min="2565" max="2565" width="11.54296875" style="1189" customWidth="1"/>
    <col min="2566" max="2566" width="16.54296875" style="1189" customWidth="1"/>
    <col min="2567" max="2567" width="14.54296875" style="1189" customWidth="1"/>
    <col min="2568" max="2568" width="14.54296875" style="1189" bestFit="1" customWidth="1"/>
    <col min="2569" max="2569" width="0" style="1189" hidden="1" customWidth="1"/>
    <col min="2570" max="2570" width="15.54296875" style="1189" customWidth="1"/>
    <col min="2571" max="2571" width="13.81640625" style="1189" bestFit="1" customWidth="1"/>
    <col min="2572" max="2572" width="0.81640625" style="1189" customWidth="1"/>
    <col min="2573" max="2573" width="13.54296875" style="1189" customWidth="1"/>
    <col min="2574" max="2574" width="14.453125" style="1189" customWidth="1"/>
    <col min="2575" max="2575" width="23.453125" style="1189" customWidth="1"/>
    <col min="2576" max="2576" width="19.1796875" style="1189" customWidth="1"/>
    <col min="2577" max="2577" width="15.81640625" style="1189" customWidth="1"/>
    <col min="2578" max="2579" width="20.1796875" style="1189" customWidth="1"/>
    <col min="2580" max="2580" width="17.453125" style="1189" customWidth="1"/>
    <col min="2581" max="2584" width="12.453125" style="1189" customWidth="1"/>
    <col min="2585" max="2585" width="11.453125" style="1189" customWidth="1"/>
    <col min="2586" max="2809" width="10.54296875" style="1189" customWidth="1"/>
    <col min="2810" max="2810" width="14.453125" style="1189" bestFit="1" customWidth="1"/>
    <col min="2811" max="2812" width="10.54296875" style="1189" customWidth="1"/>
    <col min="2813" max="2813" width="19.54296875" style="1189" bestFit="1" customWidth="1"/>
    <col min="2814" max="2814" width="26.54296875" style="1189" bestFit="1" customWidth="1"/>
    <col min="2815" max="2815" width="12.453125" style="1189" bestFit="1" customWidth="1"/>
    <col min="2816" max="2816" width="11" style="1189"/>
    <col min="2817" max="2817" width="36.81640625" style="1189" customWidth="1"/>
    <col min="2818" max="2818" width="11.453125" style="1189" customWidth="1"/>
    <col min="2819" max="2819" width="31.453125" style="1189" customWidth="1"/>
    <col min="2820" max="2820" width="9.81640625" style="1189" customWidth="1"/>
    <col min="2821" max="2821" width="11.54296875" style="1189" customWidth="1"/>
    <col min="2822" max="2822" width="16.54296875" style="1189" customWidth="1"/>
    <col min="2823" max="2823" width="14.54296875" style="1189" customWidth="1"/>
    <col min="2824" max="2824" width="14.54296875" style="1189" bestFit="1" customWidth="1"/>
    <col min="2825" max="2825" width="0" style="1189" hidden="1" customWidth="1"/>
    <col min="2826" max="2826" width="15.54296875" style="1189" customWidth="1"/>
    <col min="2827" max="2827" width="13.81640625" style="1189" bestFit="1" customWidth="1"/>
    <col min="2828" max="2828" width="0.81640625" style="1189" customWidth="1"/>
    <col min="2829" max="2829" width="13.54296875" style="1189" customWidth="1"/>
    <col min="2830" max="2830" width="14.453125" style="1189" customWidth="1"/>
    <col min="2831" max="2831" width="23.453125" style="1189" customWidth="1"/>
    <col min="2832" max="2832" width="19.1796875" style="1189" customWidth="1"/>
    <col min="2833" max="2833" width="15.81640625" style="1189" customWidth="1"/>
    <col min="2834" max="2835" width="20.1796875" style="1189" customWidth="1"/>
    <col min="2836" max="2836" width="17.453125" style="1189" customWidth="1"/>
    <col min="2837" max="2840" width="12.453125" style="1189" customWidth="1"/>
    <col min="2841" max="2841" width="11.453125" style="1189" customWidth="1"/>
    <col min="2842" max="3065" width="10.54296875" style="1189" customWidth="1"/>
    <col min="3066" max="3066" width="14.453125" style="1189" bestFit="1" customWidth="1"/>
    <col min="3067" max="3068" width="10.54296875" style="1189" customWidth="1"/>
    <col min="3069" max="3069" width="19.54296875" style="1189" bestFit="1" customWidth="1"/>
    <col min="3070" max="3070" width="26.54296875" style="1189" bestFit="1" customWidth="1"/>
    <col min="3071" max="3071" width="12.453125" style="1189" bestFit="1" customWidth="1"/>
    <col min="3072" max="3072" width="11" style="1189"/>
    <col min="3073" max="3073" width="36.81640625" style="1189" customWidth="1"/>
    <col min="3074" max="3074" width="11.453125" style="1189" customWidth="1"/>
    <col min="3075" max="3075" width="31.453125" style="1189" customWidth="1"/>
    <col min="3076" max="3076" width="9.81640625" style="1189" customWidth="1"/>
    <col min="3077" max="3077" width="11.54296875" style="1189" customWidth="1"/>
    <col min="3078" max="3078" width="16.54296875" style="1189" customWidth="1"/>
    <col min="3079" max="3079" width="14.54296875" style="1189" customWidth="1"/>
    <col min="3080" max="3080" width="14.54296875" style="1189" bestFit="1" customWidth="1"/>
    <col min="3081" max="3081" width="0" style="1189" hidden="1" customWidth="1"/>
    <col min="3082" max="3082" width="15.54296875" style="1189" customWidth="1"/>
    <col min="3083" max="3083" width="13.81640625" style="1189" bestFit="1" customWidth="1"/>
    <col min="3084" max="3084" width="0.81640625" style="1189" customWidth="1"/>
    <col min="3085" max="3085" width="13.54296875" style="1189" customWidth="1"/>
    <col min="3086" max="3086" width="14.453125" style="1189" customWidth="1"/>
    <col min="3087" max="3087" width="23.453125" style="1189" customWidth="1"/>
    <col min="3088" max="3088" width="19.1796875" style="1189" customWidth="1"/>
    <col min="3089" max="3089" width="15.81640625" style="1189" customWidth="1"/>
    <col min="3090" max="3091" width="20.1796875" style="1189" customWidth="1"/>
    <col min="3092" max="3092" width="17.453125" style="1189" customWidth="1"/>
    <col min="3093" max="3096" width="12.453125" style="1189" customWidth="1"/>
    <col min="3097" max="3097" width="11.453125" style="1189" customWidth="1"/>
    <col min="3098" max="3321" width="10.54296875" style="1189" customWidth="1"/>
    <col min="3322" max="3322" width="14.453125" style="1189" bestFit="1" customWidth="1"/>
    <col min="3323" max="3324" width="10.54296875" style="1189" customWidth="1"/>
    <col min="3325" max="3325" width="19.54296875" style="1189" bestFit="1" customWidth="1"/>
    <col min="3326" max="3326" width="26.54296875" style="1189" bestFit="1" customWidth="1"/>
    <col min="3327" max="3327" width="12.453125" style="1189" bestFit="1" customWidth="1"/>
    <col min="3328" max="3328" width="11" style="1189"/>
    <col min="3329" max="3329" width="36.81640625" style="1189" customWidth="1"/>
    <col min="3330" max="3330" width="11.453125" style="1189" customWidth="1"/>
    <col min="3331" max="3331" width="31.453125" style="1189" customWidth="1"/>
    <col min="3332" max="3332" width="9.81640625" style="1189" customWidth="1"/>
    <col min="3333" max="3333" width="11.54296875" style="1189" customWidth="1"/>
    <col min="3334" max="3334" width="16.54296875" style="1189" customWidth="1"/>
    <col min="3335" max="3335" width="14.54296875" style="1189" customWidth="1"/>
    <col min="3336" max="3336" width="14.54296875" style="1189" bestFit="1" customWidth="1"/>
    <col min="3337" max="3337" width="0" style="1189" hidden="1" customWidth="1"/>
    <col min="3338" max="3338" width="15.54296875" style="1189" customWidth="1"/>
    <col min="3339" max="3339" width="13.81640625" style="1189" bestFit="1" customWidth="1"/>
    <col min="3340" max="3340" width="0.81640625" style="1189" customWidth="1"/>
    <col min="3341" max="3341" width="13.54296875" style="1189" customWidth="1"/>
    <col min="3342" max="3342" width="14.453125" style="1189" customWidth="1"/>
    <col min="3343" max="3343" width="23.453125" style="1189" customWidth="1"/>
    <col min="3344" max="3344" width="19.1796875" style="1189" customWidth="1"/>
    <col min="3345" max="3345" width="15.81640625" style="1189" customWidth="1"/>
    <col min="3346" max="3347" width="20.1796875" style="1189" customWidth="1"/>
    <col min="3348" max="3348" width="17.453125" style="1189" customWidth="1"/>
    <col min="3349" max="3352" width="12.453125" style="1189" customWidth="1"/>
    <col min="3353" max="3353" width="11.453125" style="1189" customWidth="1"/>
    <col min="3354" max="3577" width="10.54296875" style="1189" customWidth="1"/>
    <col min="3578" max="3578" width="14.453125" style="1189" bestFit="1" customWidth="1"/>
    <col min="3579" max="3580" width="10.54296875" style="1189" customWidth="1"/>
    <col min="3581" max="3581" width="19.54296875" style="1189" bestFit="1" customWidth="1"/>
    <col min="3582" max="3582" width="26.54296875" style="1189" bestFit="1" customWidth="1"/>
    <col min="3583" max="3583" width="12.453125" style="1189" bestFit="1" customWidth="1"/>
    <col min="3584" max="3584" width="11" style="1189"/>
    <col min="3585" max="3585" width="36.81640625" style="1189" customWidth="1"/>
    <col min="3586" max="3586" width="11.453125" style="1189" customWidth="1"/>
    <col min="3587" max="3587" width="31.453125" style="1189" customWidth="1"/>
    <col min="3588" max="3588" width="9.81640625" style="1189" customWidth="1"/>
    <col min="3589" max="3589" width="11.54296875" style="1189" customWidth="1"/>
    <col min="3590" max="3590" width="16.54296875" style="1189" customWidth="1"/>
    <col min="3591" max="3591" width="14.54296875" style="1189" customWidth="1"/>
    <col min="3592" max="3592" width="14.54296875" style="1189" bestFit="1" customWidth="1"/>
    <col min="3593" max="3593" width="0" style="1189" hidden="1" customWidth="1"/>
    <col min="3594" max="3594" width="15.54296875" style="1189" customWidth="1"/>
    <col min="3595" max="3595" width="13.81640625" style="1189" bestFit="1" customWidth="1"/>
    <col min="3596" max="3596" width="0.81640625" style="1189" customWidth="1"/>
    <col min="3597" max="3597" width="13.54296875" style="1189" customWidth="1"/>
    <col min="3598" max="3598" width="14.453125" style="1189" customWidth="1"/>
    <col min="3599" max="3599" width="23.453125" style="1189" customWidth="1"/>
    <col min="3600" max="3600" width="19.1796875" style="1189" customWidth="1"/>
    <col min="3601" max="3601" width="15.81640625" style="1189" customWidth="1"/>
    <col min="3602" max="3603" width="20.1796875" style="1189" customWidth="1"/>
    <col min="3604" max="3604" width="17.453125" style="1189" customWidth="1"/>
    <col min="3605" max="3608" width="12.453125" style="1189" customWidth="1"/>
    <col min="3609" max="3609" width="11.453125" style="1189" customWidth="1"/>
    <col min="3610" max="3833" width="10.54296875" style="1189" customWidth="1"/>
    <col min="3834" max="3834" width="14.453125" style="1189" bestFit="1" customWidth="1"/>
    <col min="3835" max="3836" width="10.54296875" style="1189" customWidth="1"/>
    <col min="3837" max="3837" width="19.54296875" style="1189" bestFit="1" customWidth="1"/>
    <col min="3838" max="3838" width="26.54296875" style="1189" bestFit="1" customWidth="1"/>
    <col min="3839" max="3839" width="12.453125" style="1189" bestFit="1" customWidth="1"/>
    <col min="3840" max="3840" width="11" style="1189"/>
    <col min="3841" max="3841" width="36.81640625" style="1189" customWidth="1"/>
    <col min="3842" max="3842" width="11.453125" style="1189" customWidth="1"/>
    <col min="3843" max="3843" width="31.453125" style="1189" customWidth="1"/>
    <col min="3844" max="3844" width="9.81640625" style="1189" customWidth="1"/>
    <col min="3845" max="3845" width="11.54296875" style="1189" customWidth="1"/>
    <col min="3846" max="3846" width="16.54296875" style="1189" customWidth="1"/>
    <col min="3847" max="3847" width="14.54296875" style="1189" customWidth="1"/>
    <col min="3848" max="3848" width="14.54296875" style="1189" bestFit="1" customWidth="1"/>
    <col min="3849" max="3849" width="0" style="1189" hidden="1" customWidth="1"/>
    <col min="3850" max="3850" width="15.54296875" style="1189" customWidth="1"/>
    <col min="3851" max="3851" width="13.81640625" style="1189" bestFit="1" customWidth="1"/>
    <col min="3852" max="3852" width="0.81640625" style="1189" customWidth="1"/>
    <col min="3853" max="3853" width="13.54296875" style="1189" customWidth="1"/>
    <col min="3854" max="3854" width="14.453125" style="1189" customWidth="1"/>
    <col min="3855" max="3855" width="23.453125" style="1189" customWidth="1"/>
    <col min="3856" max="3856" width="19.1796875" style="1189" customWidth="1"/>
    <col min="3857" max="3857" width="15.81640625" style="1189" customWidth="1"/>
    <col min="3858" max="3859" width="20.1796875" style="1189" customWidth="1"/>
    <col min="3860" max="3860" width="17.453125" style="1189" customWidth="1"/>
    <col min="3861" max="3864" width="12.453125" style="1189" customWidth="1"/>
    <col min="3865" max="3865" width="11.453125" style="1189" customWidth="1"/>
    <col min="3866" max="4089" width="10.54296875" style="1189" customWidth="1"/>
    <col min="4090" max="4090" width="14.453125" style="1189" bestFit="1" customWidth="1"/>
    <col min="4091" max="4092" width="10.54296875" style="1189" customWidth="1"/>
    <col min="4093" max="4093" width="19.54296875" style="1189" bestFit="1" customWidth="1"/>
    <col min="4094" max="4094" width="26.54296875" style="1189" bestFit="1" customWidth="1"/>
    <col min="4095" max="4095" width="12.453125" style="1189" bestFit="1" customWidth="1"/>
    <col min="4096" max="4096" width="11" style="1189"/>
    <col min="4097" max="4097" width="36.81640625" style="1189" customWidth="1"/>
    <col min="4098" max="4098" width="11.453125" style="1189" customWidth="1"/>
    <col min="4099" max="4099" width="31.453125" style="1189" customWidth="1"/>
    <col min="4100" max="4100" width="9.81640625" style="1189" customWidth="1"/>
    <col min="4101" max="4101" width="11.54296875" style="1189" customWidth="1"/>
    <col min="4102" max="4102" width="16.54296875" style="1189" customWidth="1"/>
    <col min="4103" max="4103" width="14.54296875" style="1189" customWidth="1"/>
    <col min="4104" max="4104" width="14.54296875" style="1189" bestFit="1" customWidth="1"/>
    <col min="4105" max="4105" width="0" style="1189" hidden="1" customWidth="1"/>
    <col min="4106" max="4106" width="15.54296875" style="1189" customWidth="1"/>
    <col min="4107" max="4107" width="13.81640625" style="1189" bestFit="1" customWidth="1"/>
    <col min="4108" max="4108" width="0.81640625" style="1189" customWidth="1"/>
    <col min="4109" max="4109" width="13.54296875" style="1189" customWidth="1"/>
    <col min="4110" max="4110" width="14.453125" style="1189" customWidth="1"/>
    <col min="4111" max="4111" width="23.453125" style="1189" customWidth="1"/>
    <col min="4112" max="4112" width="19.1796875" style="1189" customWidth="1"/>
    <col min="4113" max="4113" width="15.81640625" style="1189" customWidth="1"/>
    <col min="4114" max="4115" width="20.1796875" style="1189" customWidth="1"/>
    <col min="4116" max="4116" width="17.453125" style="1189" customWidth="1"/>
    <col min="4117" max="4120" width="12.453125" style="1189" customWidth="1"/>
    <col min="4121" max="4121" width="11.453125" style="1189" customWidth="1"/>
    <col min="4122" max="4345" width="10.54296875" style="1189" customWidth="1"/>
    <col min="4346" max="4346" width="14.453125" style="1189" bestFit="1" customWidth="1"/>
    <col min="4347" max="4348" width="10.54296875" style="1189" customWidth="1"/>
    <col min="4349" max="4349" width="19.54296875" style="1189" bestFit="1" customWidth="1"/>
    <col min="4350" max="4350" width="26.54296875" style="1189" bestFit="1" customWidth="1"/>
    <col min="4351" max="4351" width="12.453125" style="1189" bestFit="1" customWidth="1"/>
    <col min="4352" max="4352" width="11" style="1189"/>
    <col min="4353" max="4353" width="36.81640625" style="1189" customWidth="1"/>
    <col min="4354" max="4354" width="11.453125" style="1189" customWidth="1"/>
    <col min="4355" max="4355" width="31.453125" style="1189" customWidth="1"/>
    <col min="4356" max="4356" width="9.81640625" style="1189" customWidth="1"/>
    <col min="4357" max="4357" width="11.54296875" style="1189" customWidth="1"/>
    <col min="4358" max="4358" width="16.54296875" style="1189" customWidth="1"/>
    <col min="4359" max="4359" width="14.54296875" style="1189" customWidth="1"/>
    <col min="4360" max="4360" width="14.54296875" style="1189" bestFit="1" customWidth="1"/>
    <col min="4361" max="4361" width="0" style="1189" hidden="1" customWidth="1"/>
    <col min="4362" max="4362" width="15.54296875" style="1189" customWidth="1"/>
    <col min="4363" max="4363" width="13.81640625" style="1189" bestFit="1" customWidth="1"/>
    <col min="4364" max="4364" width="0.81640625" style="1189" customWidth="1"/>
    <col min="4365" max="4365" width="13.54296875" style="1189" customWidth="1"/>
    <col min="4366" max="4366" width="14.453125" style="1189" customWidth="1"/>
    <col min="4367" max="4367" width="23.453125" style="1189" customWidth="1"/>
    <col min="4368" max="4368" width="19.1796875" style="1189" customWidth="1"/>
    <col min="4369" max="4369" width="15.81640625" style="1189" customWidth="1"/>
    <col min="4370" max="4371" width="20.1796875" style="1189" customWidth="1"/>
    <col min="4372" max="4372" width="17.453125" style="1189" customWidth="1"/>
    <col min="4373" max="4376" width="12.453125" style="1189" customWidth="1"/>
    <col min="4377" max="4377" width="11.453125" style="1189" customWidth="1"/>
    <col min="4378" max="4601" width="10.54296875" style="1189" customWidth="1"/>
    <col min="4602" max="4602" width="14.453125" style="1189" bestFit="1" customWidth="1"/>
    <col min="4603" max="4604" width="10.54296875" style="1189" customWidth="1"/>
    <col min="4605" max="4605" width="19.54296875" style="1189" bestFit="1" customWidth="1"/>
    <col min="4606" max="4606" width="26.54296875" style="1189" bestFit="1" customWidth="1"/>
    <col min="4607" max="4607" width="12.453125" style="1189" bestFit="1" customWidth="1"/>
    <col min="4608" max="4608" width="11" style="1189"/>
    <col min="4609" max="4609" width="36.81640625" style="1189" customWidth="1"/>
    <col min="4610" max="4610" width="11.453125" style="1189" customWidth="1"/>
    <col min="4611" max="4611" width="31.453125" style="1189" customWidth="1"/>
    <col min="4612" max="4612" width="9.81640625" style="1189" customWidth="1"/>
    <col min="4613" max="4613" width="11.54296875" style="1189" customWidth="1"/>
    <col min="4614" max="4614" width="16.54296875" style="1189" customWidth="1"/>
    <col min="4615" max="4615" width="14.54296875" style="1189" customWidth="1"/>
    <col min="4616" max="4616" width="14.54296875" style="1189" bestFit="1" customWidth="1"/>
    <col min="4617" max="4617" width="0" style="1189" hidden="1" customWidth="1"/>
    <col min="4618" max="4618" width="15.54296875" style="1189" customWidth="1"/>
    <col min="4619" max="4619" width="13.81640625" style="1189" bestFit="1" customWidth="1"/>
    <col min="4620" max="4620" width="0.81640625" style="1189" customWidth="1"/>
    <col min="4621" max="4621" width="13.54296875" style="1189" customWidth="1"/>
    <col min="4622" max="4622" width="14.453125" style="1189" customWidth="1"/>
    <col min="4623" max="4623" width="23.453125" style="1189" customWidth="1"/>
    <col min="4624" max="4624" width="19.1796875" style="1189" customWidth="1"/>
    <col min="4625" max="4625" width="15.81640625" style="1189" customWidth="1"/>
    <col min="4626" max="4627" width="20.1796875" style="1189" customWidth="1"/>
    <col min="4628" max="4628" width="17.453125" style="1189" customWidth="1"/>
    <col min="4629" max="4632" width="12.453125" style="1189" customWidth="1"/>
    <col min="4633" max="4633" width="11.453125" style="1189" customWidth="1"/>
    <col min="4634" max="4857" width="10.54296875" style="1189" customWidth="1"/>
    <col min="4858" max="4858" width="14.453125" style="1189" bestFit="1" customWidth="1"/>
    <col min="4859" max="4860" width="10.54296875" style="1189" customWidth="1"/>
    <col min="4861" max="4861" width="19.54296875" style="1189" bestFit="1" customWidth="1"/>
    <col min="4862" max="4862" width="26.54296875" style="1189" bestFit="1" customWidth="1"/>
    <col min="4863" max="4863" width="12.453125" style="1189" bestFit="1" customWidth="1"/>
    <col min="4864" max="4864" width="11" style="1189"/>
    <col min="4865" max="4865" width="36.81640625" style="1189" customWidth="1"/>
    <col min="4866" max="4866" width="11.453125" style="1189" customWidth="1"/>
    <col min="4867" max="4867" width="31.453125" style="1189" customWidth="1"/>
    <col min="4868" max="4868" width="9.81640625" style="1189" customWidth="1"/>
    <col min="4869" max="4869" width="11.54296875" style="1189" customWidth="1"/>
    <col min="4870" max="4870" width="16.54296875" style="1189" customWidth="1"/>
    <col min="4871" max="4871" width="14.54296875" style="1189" customWidth="1"/>
    <col min="4872" max="4872" width="14.54296875" style="1189" bestFit="1" customWidth="1"/>
    <col min="4873" max="4873" width="0" style="1189" hidden="1" customWidth="1"/>
    <col min="4874" max="4874" width="15.54296875" style="1189" customWidth="1"/>
    <col min="4875" max="4875" width="13.81640625" style="1189" bestFit="1" customWidth="1"/>
    <col min="4876" max="4876" width="0.81640625" style="1189" customWidth="1"/>
    <col min="4877" max="4877" width="13.54296875" style="1189" customWidth="1"/>
    <col min="4878" max="4878" width="14.453125" style="1189" customWidth="1"/>
    <col min="4879" max="4879" width="23.453125" style="1189" customWidth="1"/>
    <col min="4880" max="4880" width="19.1796875" style="1189" customWidth="1"/>
    <col min="4881" max="4881" width="15.81640625" style="1189" customWidth="1"/>
    <col min="4882" max="4883" width="20.1796875" style="1189" customWidth="1"/>
    <col min="4884" max="4884" width="17.453125" style="1189" customWidth="1"/>
    <col min="4885" max="4888" width="12.453125" style="1189" customWidth="1"/>
    <col min="4889" max="4889" width="11.453125" style="1189" customWidth="1"/>
    <col min="4890" max="5113" width="10.54296875" style="1189" customWidth="1"/>
    <col min="5114" max="5114" width="14.453125" style="1189" bestFit="1" customWidth="1"/>
    <col min="5115" max="5116" width="10.54296875" style="1189" customWidth="1"/>
    <col min="5117" max="5117" width="19.54296875" style="1189" bestFit="1" customWidth="1"/>
    <col min="5118" max="5118" width="26.54296875" style="1189" bestFit="1" customWidth="1"/>
    <col min="5119" max="5119" width="12.453125" style="1189" bestFit="1" customWidth="1"/>
    <col min="5120" max="5120" width="11" style="1189"/>
    <col min="5121" max="5121" width="36.81640625" style="1189" customWidth="1"/>
    <col min="5122" max="5122" width="11.453125" style="1189" customWidth="1"/>
    <col min="5123" max="5123" width="31.453125" style="1189" customWidth="1"/>
    <col min="5124" max="5124" width="9.81640625" style="1189" customWidth="1"/>
    <col min="5125" max="5125" width="11.54296875" style="1189" customWidth="1"/>
    <col min="5126" max="5126" width="16.54296875" style="1189" customWidth="1"/>
    <col min="5127" max="5127" width="14.54296875" style="1189" customWidth="1"/>
    <col min="5128" max="5128" width="14.54296875" style="1189" bestFit="1" customWidth="1"/>
    <col min="5129" max="5129" width="0" style="1189" hidden="1" customWidth="1"/>
    <col min="5130" max="5130" width="15.54296875" style="1189" customWidth="1"/>
    <col min="5131" max="5131" width="13.81640625" style="1189" bestFit="1" customWidth="1"/>
    <col min="5132" max="5132" width="0.81640625" style="1189" customWidth="1"/>
    <col min="5133" max="5133" width="13.54296875" style="1189" customWidth="1"/>
    <col min="5134" max="5134" width="14.453125" style="1189" customWidth="1"/>
    <col min="5135" max="5135" width="23.453125" style="1189" customWidth="1"/>
    <col min="5136" max="5136" width="19.1796875" style="1189" customWidth="1"/>
    <col min="5137" max="5137" width="15.81640625" style="1189" customWidth="1"/>
    <col min="5138" max="5139" width="20.1796875" style="1189" customWidth="1"/>
    <col min="5140" max="5140" width="17.453125" style="1189" customWidth="1"/>
    <col min="5141" max="5144" width="12.453125" style="1189" customWidth="1"/>
    <col min="5145" max="5145" width="11.453125" style="1189" customWidth="1"/>
    <col min="5146" max="5369" width="10.54296875" style="1189" customWidth="1"/>
    <col min="5370" max="5370" width="14.453125" style="1189" bestFit="1" customWidth="1"/>
    <col min="5371" max="5372" width="10.54296875" style="1189" customWidth="1"/>
    <col min="5373" max="5373" width="19.54296875" style="1189" bestFit="1" customWidth="1"/>
    <col min="5374" max="5374" width="26.54296875" style="1189" bestFit="1" customWidth="1"/>
    <col min="5375" max="5375" width="12.453125" style="1189" bestFit="1" customWidth="1"/>
    <col min="5376" max="5376" width="11" style="1189"/>
    <col min="5377" max="5377" width="36.81640625" style="1189" customWidth="1"/>
    <col min="5378" max="5378" width="11.453125" style="1189" customWidth="1"/>
    <col min="5379" max="5379" width="31.453125" style="1189" customWidth="1"/>
    <col min="5380" max="5380" width="9.81640625" style="1189" customWidth="1"/>
    <col min="5381" max="5381" width="11.54296875" style="1189" customWidth="1"/>
    <col min="5382" max="5382" width="16.54296875" style="1189" customWidth="1"/>
    <col min="5383" max="5383" width="14.54296875" style="1189" customWidth="1"/>
    <col min="5384" max="5384" width="14.54296875" style="1189" bestFit="1" customWidth="1"/>
    <col min="5385" max="5385" width="0" style="1189" hidden="1" customWidth="1"/>
    <col min="5386" max="5386" width="15.54296875" style="1189" customWidth="1"/>
    <col min="5387" max="5387" width="13.81640625" style="1189" bestFit="1" customWidth="1"/>
    <col min="5388" max="5388" width="0.81640625" style="1189" customWidth="1"/>
    <col min="5389" max="5389" width="13.54296875" style="1189" customWidth="1"/>
    <col min="5390" max="5390" width="14.453125" style="1189" customWidth="1"/>
    <col min="5391" max="5391" width="23.453125" style="1189" customWidth="1"/>
    <col min="5392" max="5392" width="19.1796875" style="1189" customWidth="1"/>
    <col min="5393" max="5393" width="15.81640625" style="1189" customWidth="1"/>
    <col min="5394" max="5395" width="20.1796875" style="1189" customWidth="1"/>
    <col min="5396" max="5396" width="17.453125" style="1189" customWidth="1"/>
    <col min="5397" max="5400" width="12.453125" style="1189" customWidth="1"/>
    <col min="5401" max="5401" width="11.453125" style="1189" customWidth="1"/>
    <col min="5402" max="5625" width="10.54296875" style="1189" customWidth="1"/>
    <col min="5626" max="5626" width="14.453125" style="1189" bestFit="1" customWidth="1"/>
    <col min="5627" max="5628" width="10.54296875" style="1189" customWidth="1"/>
    <col min="5629" max="5629" width="19.54296875" style="1189" bestFit="1" customWidth="1"/>
    <col min="5630" max="5630" width="26.54296875" style="1189" bestFit="1" customWidth="1"/>
    <col min="5631" max="5631" width="12.453125" style="1189" bestFit="1" customWidth="1"/>
    <col min="5632" max="5632" width="11" style="1189"/>
    <col min="5633" max="5633" width="36.81640625" style="1189" customWidth="1"/>
    <col min="5634" max="5634" width="11.453125" style="1189" customWidth="1"/>
    <col min="5635" max="5635" width="31.453125" style="1189" customWidth="1"/>
    <col min="5636" max="5636" width="9.81640625" style="1189" customWidth="1"/>
    <col min="5637" max="5637" width="11.54296875" style="1189" customWidth="1"/>
    <col min="5638" max="5638" width="16.54296875" style="1189" customWidth="1"/>
    <col min="5639" max="5639" width="14.54296875" style="1189" customWidth="1"/>
    <col min="5640" max="5640" width="14.54296875" style="1189" bestFit="1" customWidth="1"/>
    <col min="5641" max="5641" width="0" style="1189" hidden="1" customWidth="1"/>
    <col min="5642" max="5642" width="15.54296875" style="1189" customWidth="1"/>
    <col min="5643" max="5643" width="13.81640625" style="1189" bestFit="1" customWidth="1"/>
    <col min="5644" max="5644" width="0.81640625" style="1189" customWidth="1"/>
    <col min="5645" max="5645" width="13.54296875" style="1189" customWidth="1"/>
    <col min="5646" max="5646" width="14.453125" style="1189" customWidth="1"/>
    <col min="5647" max="5647" width="23.453125" style="1189" customWidth="1"/>
    <col min="5648" max="5648" width="19.1796875" style="1189" customWidth="1"/>
    <col min="5649" max="5649" width="15.81640625" style="1189" customWidth="1"/>
    <col min="5650" max="5651" width="20.1796875" style="1189" customWidth="1"/>
    <col min="5652" max="5652" width="17.453125" style="1189" customWidth="1"/>
    <col min="5653" max="5656" width="12.453125" style="1189" customWidth="1"/>
    <col min="5657" max="5657" width="11.453125" style="1189" customWidth="1"/>
    <col min="5658" max="5881" width="10.54296875" style="1189" customWidth="1"/>
    <col min="5882" max="5882" width="14.453125" style="1189" bestFit="1" customWidth="1"/>
    <col min="5883" max="5884" width="10.54296875" style="1189" customWidth="1"/>
    <col min="5885" max="5885" width="19.54296875" style="1189" bestFit="1" customWidth="1"/>
    <col min="5886" max="5886" width="26.54296875" style="1189" bestFit="1" customWidth="1"/>
    <col min="5887" max="5887" width="12.453125" style="1189" bestFit="1" customWidth="1"/>
    <col min="5888" max="5888" width="11" style="1189"/>
    <col min="5889" max="5889" width="36.81640625" style="1189" customWidth="1"/>
    <col min="5890" max="5890" width="11.453125" style="1189" customWidth="1"/>
    <col min="5891" max="5891" width="31.453125" style="1189" customWidth="1"/>
    <col min="5892" max="5892" width="9.81640625" style="1189" customWidth="1"/>
    <col min="5893" max="5893" width="11.54296875" style="1189" customWidth="1"/>
    <col min="5894" max="5894" width="16.54296875" style="1189" customWidth="1"/>
    <col min="5895" max="5895" width="14.54296875" style="1189" customWidth="1"/>
    <col min="5896" max="5896" width="14.54296875" style="1189" bestFit="1" customWidth="1"/>
    <col min="5897" max="5897" width="0" style="1189" hidden="1" customWidth="1"/>
    <col min="5898" max="5898" width="15.54296875" style="1189" customWidth="1"/>
    <col min="5899" max="5899" width="13.81640625" style="1189" bestFit="1" customWidth="1"/>
    <col min="5900" max="5900" width="0.81640625" style="1189" customWidth="1"/>
    <col min="5901" max="5901" width="13.54296875" style="1189" customWidth="1"/>
    <col min="5902" max="5902" width="14.453125" style="1189" customWidth="1"/>
    <col min="5903" max="5903" width="23.453125" style="1189" customWidth="1"/>
    <col min="5904" max="5904" width="19.1796875" style="1189" customWidth="1"/>
    <col min="5905" max="5905" width="15.81640625" style="1189" customWidth="1"/>
    <col min="5906" max="5907" width="20.1796875" style="1189" customWidth="1"/>
    <col min="5908" max="5908" width="17.453125" style="1189" customWidth="1"/>
    <col min="5909" max="5912" width="12.453125" style="1189" customWidth="1"/>
    <col min="5913" max="5913" width="11.453125" style="1189" customWidth="1"/>
    <col min="5914" max="6137" width="10.54296875" style="1189" customWidth="1"/>
    <col min="6138" max="6138" width="14.453125" style="1189" bestFit="1" customWidth="1"/>
    <col min="6139" max="6140" width="10.54296875" style="1189" customWidth="1"/>
    <col min="6141" max="6141" width="19.54296875" style="1189" bestFit="1" customWidth="1"/>
    <col min="6142" max="6142" width="26.54296875" style="1189" bestFit="1" customWidth="1"/>
    <col min="6143" max="6143" width="12.453125" style="1189" bestFit="1" customWidth="1"/>
    <col min="6144" max="6144" width="11" style="1189"/>
    <col min="6145" max="6145" width="36.81640625" style="1189" customWidth="1"/>
    <col min="6146" max="6146" width="11.453125" style="1189" customWidth="1"/>
    <col min="6147" max="6147" width="31.453125" style="1189" customWidth="1"/>
    <col min="6148" max="6148" width="9.81640625" style="1189" customWidth="1"/>
    <col min="6149" max="6149" width="11.54296875" style="1189" customWidth="1"/>
    <col min="6150" max="6150" width="16.54296875" style="1189" customWidth="1"/>
    <col min="6151" max="6151" width="14.54296875" style="1189" customWidth="1"/>
    <col min="6152" max="6152" width="14.54296875" style="1189" bestFit="1" customWidth="1"/>
    <col min="6153" max="6153" width="0" style="1189" hidden="1" customWidth="1"/>
    <col min="6154" max="6154" width="15.54296875" style="1189" customWidth="1"/>
    <col min="6155" max="6155" width="13.81640625" style="1189" bestFit="1" customWidth="1"/>
    <col min="6156" max="6156" width="0.81640625" style="1189" customWidth="1"/>
    <col min="6157" max="6157" width="13.54296875" style="1189" customWidth="1"/>
    <col min="6158" max="6158" width="14.453125" style="1189" customWidth="1"/>
    <col min="6159" max="6159" width="23.453125" style="1189" customWidth="1"/>
    <col min="6160" max="6160" width="19.1796875" style="1189" customWidth="1"/>
    <col min="6161" max="6161" width="15.81640625" style="1189" customWidth="1"/>
    <col min="6162" max="6163" width="20.1796875" style="1189" customWidth="1"/>
    <col min="6164" max="6164" width="17.453125" style="1189" customWidth="1"/>
    <col min="6165" max="6168" width="12.453125" style="1189" customWidth="1"/>
    <col min="6169" max="6169" width="11.453125" style="1189" customWidth="1"/>
    <col min="6170" max="6393" width="10.54296875" style="1189" customWidth="1"/>
    <col min="6394" max="6394" width="14.453125" style="1189" bestFit="1" customWidth="1"/>
    <col min="6395" max="6396" width="10.54296875" style="1189" customWidth="1"/>
    <col min="6397" max="6397" width="19.54296875" style="1189" bestFit="1" customWidth="1"/>
    <col min="6398" max="6398" width="26.54296875" style="1189" bestFit="1" customWidth="1"/>
    <col min="6399" max="6399" width="12.453125" style="1189" bestFit="1" customWidth="1"/>
    <col min="6400" max="6400" width="11" style="1189"/>
    <col min="6401" max="6401" width="36.81640625" style="1189" customWidth="1"/>
    <col min="6402" max="6402" width="11.453125" style="1189" customWidth="1"/>
    <col min="6403" max="6403" width="31.453125" style="1189" customWidth="1"/>
    <col min="6404" max="6404" width="9.81640625" style="1189" customWidth="1"/>
    <col min="6405" max="6405" width="11.54296875" style="1189" customWidth="1"/>
    <col min="6406" max="6406" width="16.54296875" style="1189" customWidth="1"/>
    <col min="6407" max="6407" width="14.54296875" style="1189" customWidth="1"/>
    <col min="6408" max="6408" width="14.54296875" style="1189" bestFit="1" customWidth="1"/>
    <col min="6409" max="6409" width="0" style="1189" hidden="1" customWidth="1"/>
    <col min="6410" max="6410" width="15.54296875" style="1189" customWidth="1"/>
    <col min="6411" max="6411" width="13.81640625" style="1189" bestFit="1" customWidth="1"/>
    <col min="6412" max="6412" width="0.81640625" style="1189" customWidth="1"/>
    <col min="6413" max="6413" width="13.54296875" style="1189" customWidth="1"/>
    <col min="6414" max="6414" width="14.453125" style="1189" customWidth="1"/>
    <col min="6415" max="6415" width="23.453125" style="1189" customWidth="1"/>
    <col min="6416" max="6416" width="19.1796875" style="1189" customWidth="1"/>
    <col min="6417" max="6417" width="15.81640625" style="1189" customWidth="1"/>
    <col min="6418" max="6419" width="20.1796875" style="1189" customWidth="1"/>
    <col min="6420" max="6420" width="17.453125" style="1189" customWidth="1"/>
    <col min="6421" max="6424" width="12.453125" style="1189" customWidth="1"/>
    <col min="6425" max="6425" width="11.453125" style="1189" customWidth="1"/>
    <col min="6426" max="6649" width="10.54296875" style="1189" customWidth="1"/>
    <col min="6650" max="6650" width="14.453125" style="1189" bestFit="1" customWidth="1"/>
    <col min="6651" max="6652" width="10.54296875" style="1189" customWidth="1"/>
    <col min="6653" max="6653" width="19.54296875" style="1189" bestFit="1" customWidth="1"/>
    <col min="6654" max="6654" width="26.54296875" style="1189" bestFit="1" customWidth="1"/>
    <col min="6655" max="6655" width="12.453125" style="1189" bestFit="1" customWidth="1"/>
    <col min="6656" max="6656" width="11" style="1189"/>
    <col min="6657" max="6657" width="36.81640625" style="1189" customWidth="1"/>
    <col min="6658" max="6658" width="11.453125" style="1189" customWidth="1"/>
    <col min="6659" max="6659" width="31.453125" style="1189" customWidth="1"/>
    <col min="6660" max="6660" width="9.81640625" style="1189" customWidth="1"/>
    <col min="6661" max="6661" width="11.54296875" style="1189" customWidth="1"/>
    <col min="6662" max="6662" width="16.54296875" style="1189" customWidth="1"/>
    <col min="6663" max="6663" width="14.54296875" style="1189" customWidth="1"/>
    <col min="6664" max="6664" width="14.54296875" style="1189" bestFit="1" customWidth="1"/>
    <col min="6665" max="6665" width="0" style="1189" hidden="1" customWidth="1"/>
    <col min="6666" max="6666" width="15.54296875" style="1189" customWidth="1"/>
    <col min="6667" max="6667" width="13.81640625" style="1189" bestFit="1" customWidth="1"/>
    <col min="6668" max="6668" width="0.81640625" style="1189" customWidth="1"/>
    <col min="6669" max="6669" width="13.54296875" style="1189" customWidth="1"/>
    <col min="6670" max="6670" width="14.453125" style="1189" customWidth="1"/>
    <col min="6671" max="6671" width="23.453125" style="1189" customWidth="1"/>
    <col min="6672" max="6672" width="19.1796875" style="1189" customWidth="1"/>
    <col min="6673" max="6673" width="15.81640625" style="1189" customWidth="1"/>
    <col min="6674" max="6675" width="20.1796875" style="1189" customWidth="1"/>
    <col min="6676" max="6676" width="17.453125" style="1189" customWidth="1"/>
    <col min="6677" max="6680" width="12.453125" style="1189" customWidth="1"/>
    <col min="6681" max="6681" width="11.453125" style="1189" customWidth="1"/>
    <col min="6682" max="6905" width="10.54296875" style="1189" customWidth="1"/>
    <col min="6906" max="6906" width="14.453125" style="1189" bestFit="1" customWidth="1"/>
    <col min="6907" max="6908" width="10.54296875" style="1189" customWidth="1"/>
    <col min="6909" max="6909" width="19.54296875" style="1189" bestFit="1" customWidth="1"/>
    <col min="6910" max="6910" width="26.54296875" style="1189" bestFit="1" customWidth="1"/>
    <col min="6911" max="6911" width="12.453125" style="1189" bestFit="1" customWidth="1"/>
    <col min="6912" max="6912" width="11" style="1189"/>
    <col min="6913" max="6913" width="36.81640625" style="1189" customWidth="1"/>
    <col min="6914" max="6914" width="11.453125" style="1189" customWidth="1"/>
    <col min="6915" max="6915" width="31.453125" style="1189" customWidth="1"/>
    <col min="6916" max="6916" width="9.81640625" style="1189" customWidth="1"/>
    <col min="6917" max="6917" width="11.54296875" style="1189" customWidth="1"/>
    <col min="6918" max="6918" width="16.54296875" style="1189" customWidth="1"/>
    <col min="6919" max="6919" width="14.54296875" style="1189" customWidth="1"/>
    <col min="6920" max="6920" width="14.54296875" style="1189" bestFit="1" customWidth="1"/>
    <col min="6921" max="6921" width="0" style="1189" hidden="1" customWidth="1"/>
    <col min="6922" max="6922" width="15.54296875" style="1189" customWidth="1"/>
    <col min="6923" max="6923" width="13.81640625" style="1189" bestFit="1" customWidth="1"/>
    <col min="6924" max="6924" width="0.81640625" style="1189" customWidth="1"/>
    <col min="6925" max="6925" width="13.54296875" style="1189" customWidth="1"/>
    <col min="6926" max="6926" width="14.453125" style="1189" customWidth="1"/>
    <col min="6927" max="6927" width="23.453125" style="1189" customWidth="1"/>
    <col min="6928" max="6928" width="19.1796875" style="1189" customWidth="1"/>
    <col min="6929" max="6929" width="15.81640625" style="1189" customWidth="1"/>
    <col min="6930" max="6931" width="20.1796875" style="1189" customWidth="1"/>
    <col min="6932" max="6932" width="17.453125" style="1189" customWidth="1"/>
    <col min="6933" max="6936" width="12.453125" style="1189" customWidth="1"/>
    <col min="6937" max="6937" width="11.453125" style="1189" customWidth="1"/>
    <col min="6938" max="7161" width="10.54296875" style="1189" customWidth="1"/>
    <col min="7162" max="7162" width="14.453125" style="1189" bestFit="1" customWidth="1"/>
    <col min="7163" max="7164" width="10.54296875" style="1189" customWidth="1"/>
    <col min="7165" max="7165" width="19.54296875" style="1189" bestFit="1" customWidth="1"/>
    <col min="7166" max="7166" width="26.54296875" style="1189" bestFit="1" customWidth="1"/>
    <col min="7167" max="7167" width="12.453125" style="1189" bestFit="1" customWidth="1"/>
    <col min="7168" max="7168" width="11" style="1189"/>
    <col min="7169" max="7169" width="36.81640625" style="1189" customWidth="1"/>
    <col min="7170" max="7170" width="11.453125" style="1189" customWidth="1"/>
    <col min="7171" max="7171" width="31.453125" style="1189" customWidth="1"/>
    <col min="7172" max="7172" width="9.81640625" style="1189" customWidth="1"/>
    <col min="7173" max="7173" width="11.54296875" style="1189" customWidth="1"/>
    <col min="7174" max="7174" width="16.54296875" style="1189" customWidth="1"/>
    <col min="7175" max="7175" width="14.54296875" style="1189" customWidth="1"/>
    <col min="7176" max="7176" width="14.54296875" style="1189" bestFit="1" customWidth="1"/>
    <col min="7177" max="7177" width="0" style="1189" hidden="1" customWidth="1"/>
    <col min="7178" max="7178" width="15.54296875" style="1189" customWidth="1"/>
    <col min="7179" max="7179" width="13.81640625" style="1189" bestFit="1" customWidth="1"/>
    <col min="7180" max="7180" width="0.81640625" style="1189" customWidth="1"/>
    <col min="7181" max="7181" width="13.54296875" style="1189" customWidth="1"/>
    <col min="7182" max="7182" width="14.453125" style="1189" customWidth="1"/>
    <col min="7183" max="7183" width="23.453125" style="1189" customWidth="1"/>
    <col min="7184" max="7184" width="19.1796875" style="1189" customWidth="1"/>
    <col min="7185" max="7185" width="15.81640625" style="1189" customWidth="1"/>
    <col min="7186" max="7187" width="20.1796875" style="1189" customWidth="1"/>
    <col min="7188" max="7188" width="17.453125" style="1189" customWidth="1"/>
    <col min="7189" max="7192" width="12.453125" style="1189" customWidth="1"/>
    <col min="7193" max="7193" width="11.453125" style="1189" customWidth="1"/>
    <col min="7194" max="7417" width="10.54296875" style="1189" customWidth="1"/>
    <col min="7418" max="7418" width="14.453125" style="1189" bestFit="1" customWidth="1"/>
    <col min="7419" max="7420" width="10.54296875" style="1189" customWidth="1"/>
    <col min="7421" max="7421" width="19.54296875" style="1189" bestFit="1" customWidth="1"/>
    <col min="7422" max="7422" width="26.54296875" style="1189" bestFit="1" customWidth="1"/>
    <col min="7423" max="7423" width="12.453125" style="1189" bestFit="1" customWidth="1"/>
    <col min="7424" max="7424" width="11" style="1189"/>
    <col min="7425" max="7425" width="36.81640625" style="1189" customWidth="1"/>
    <col min="7426" max="7426" width="11.453125" style="1189" customWidth="1"/>
    <col min="7427" max="7427" width="31.453125" style="1189" customWidth="1"/>
    <col min="7428" max="7428" width="9.81640625" style="1189" customWidth="1"/>
    <col min="7429" max="7429" width="11.54296875" style="1189" customWidth="1"/>
    <col min="7430" max="7430" width="16.54296875" style="1189" customWidth="1"/>
    <col min="7431" max="7431" width="14.54296875" style="1189" customWidth="1"/>
    <col min="7432" max="7432" width="14.54296875" style="1189" bestFit="1" customWidth="1"/>
    <col min="7433" max="7433" width="0" style="1189" hidden="1" customWidth="1"/>
    <col min="7434" max="7434" width="15.54296875" style="1189" customWidth="1"/>
    <col min="7435" max="7435" width="13.81640625" style="1189" bestFit="1" customWidth="1"/>
    <col min="7436" max="7436" width="0.81640625" style="1189" customWidth="1"/>
    <col min="7437" max="7437" width="13.54296875" style="1189" customWidth="1"/>
    <col min="7438" max="7438" width="14.453125" style="1189" customWidth="1"/>
    <col min="7439" max="7439" width="23.453125" style="1189" customWidth="1"/>
    <col min="7440" max="7440" width="19.1796875" style="1189" customWidth="1"/>
    <col min="7441" max="7441" width="15.81640625" style="1189" customWidth="1"/>
    <col min="7442" max="7443" width="20.1796875" style="1189" customWidth="1"/>
    <col min="7444" max="7444" width="17.453125" style="1189" customWidth="1"/>
    <col min="7445" max="7448" width="12.453125" style="1189" customWidth="1"/>
    <col min="7449" max="7449" width="11.453125" style="1189" customWidth="1"/>
    <col min="7450" max="7673" width="10.54296875" style="1189" customWidth="1"/>
    <col min="7674" max="7674" width="14.453125" style="1189" bestFit="1" customWidth="1"/>
    <col min="7675" max="7676" width="10.54296875" style="1189" customWidth="1"/>
    <col min="7677" max="7677" width="19.54296875" style="1189" bestFit="1" customWidth="1"/>
    <col min="7678" max="7678" width="26.54296875" style="1189" bestFit="1" customWidth="1"/>
    <col min="7679" max="7679" width="12.453125" style="1189" bestFit="1" customWidth="1"/>
    <col min="7680" max="7680" width="11" style="1189"/>
    <col min="7681" max="7681" width="36.81640625" style="1189" customWidth="1"/>
    <col min="7682" max="7682" width="11.453125" style="1189" customWidth="1"/>
    <col min="7683" max="7683" width="31.453125" style="1189" customWidth="1"/>
    <col min="7684" max="7684" width="9.81640625" style="1189" customWidth="1"/>
    <col min="7685" max="7685" width="11.54296875" style="1189" customWidth="1"/>
    <col min="7686" max="7686" width="16.54296875" style="1189" customWidth="1"/>
    <col min="7687" max="7687" width="14.54296875" style="1189" customWidth="1"/>
    <col min="7688" max="7688" width="14.54296875" style="1189" bestFit="1" customWidth="1"/>
    <col min="7689" max="7689" width="0" style="1189" hidden="1" customWidth="1"/>
    <col min="7690" max="7690" width="15.54296875" style="1189" customWidth="1"/>
    <col min="7691" max="7691" width="13.81640625" style="1189" bestFit="1" customWidth="1"/>
    <col min="7692" max="7692" width="0.81640625" style="1189" customWidth="1"/>
    <col min="7693" max="7693" width="13.54296875" style="1189" customWidth="1"/>
    <col min="7694" max="7694" width="14.453125" style="1189" customWidth="1"/>
    <col min="7695" max="7695" width="23.453125" style="1189" customWidth="1"/>
    <col min="7696" max="7696" width="19.1796875" style="1189" customWidth="1"/>
    <col min="7697" max="7697" width="15.81640625" style="1189" customWidth="1"/>
    <col min="7698" max="7699" width="20.1796875" style="1189" customWidth="1"/>
    <col min="7700" max="7700" width="17.453125" style="1189" customWidth="1"/>
    <col min="7701" max="7704" width="12.453125" style="1189" customWidth="1"/>
    <col min="7705" max="7705" width="11.453125" style="1189" customWidth="1"/>
    <col min="7706" max="7929" width="10.54296875" style="1189" customWidth="1"/>
    <col min="7930" max="7930" width="14.453125" style="1189" bestFit="1" customWidth="1"/>
    <col min="7931" max="7932" width="10.54296875" style="1189" customWidth="1"/>
    <col min="7933" max="7933" width="19.54296875" style="1189" bestFit="1" customWidth="1"/>
    <col min="7934" max="7934" width="26.54296875" style="1189" bestFit="1" customWidth="1"/>
    <col min="7935" max="7935" width="12.453125" style="1189" bestFit="1" customWidth="1"/>
    <col min="7936" max="7936" width="11" style="1189"/>
    <col min="7937" max="7937" width="36.81640625" style="1189" customWidth="1"/>
    <col min="7938" max="7938" width="11.453125" style="1189" customWidth="1"/>
    <col min="7939" max="7939" width="31.453125" style="1189" customWidth="1"/>
    <col min="7940" max="7940" width="9.81640625" style="1189" customWidth="1"/>
    <col min="7941" max="7941" width="11.54296875" style="1189" customWidth="1"/>
    <col min="7942" max="7942" width="16.54296875" style="1189" customWidth="1"/>
    <col min="7943" max="7943" width="14.54296875" style="1189" customWidth="1"/>
    <col min="7944" max="7944" width="14.54296875" style="1189" bestFit="1" customWidth="1"/>
    <col min="7945" max="7945" width="0" style="1189" hidden="1" customWidth="1"/>
    <col min="7946" max="7946" width="15.54296875" style="1189" customWidth="1"/>
    <col min="7947" max="7947" width="13.81640625" style="1189" bestFit="1" customWidth="1"/>
    <col min="7948" max="7948" width="0.81640625" style="1189" customWidth="1"/>
    <col min="7949" max="7949" width="13.54296875" style="1189" customWidth="1"/>
    <col min="7950" max="7950" width="14.453125" style="1189" customWidth="1"/>
    <col min="7951" max="7951" width="23.453125" style="1189" customWidth="1"/>
    <col min="7952" max="7952" width="19.1796875" style="1189" customWidth="1"/>
    <col min="7953" max="7953" width="15.81640625" style="1189" customWidth="1"/>
    <col min="7954" max="7955" width="20.1796875" style="1189" customWidth="1"/>
    <col min="7956" max="7956" width="17.453125" style="1189" customWidth="1"/>
    <col min="7957" max="7960" width="12.453125" style="1189" customWidth="1"/>
    <col min="7961" max="7961" width="11.453125" style="1189" customWidth="1"/>
    <col min="7962" max="8185" width="10.54296875" style="1189" customWidth="1"/>
    <col min="8186" max="8186" width="14.453125" style="1189" bestFit="1" customWidth="1"/>
    <col min="8187" max="8188" width="10.54296875" style="1189" customWidth="1"/>
    <col min="8189" max="8189" width="19.54296875" style="1189" bestFit="1" customWidth="1"/>
    <col min="8190" max="8190" width="26.54296875" style="1189" bestFit="1" customWidth="1"/>
    <col min="8191" max="8191" width="12.453125" style="1189" bestFit="1" customWidth="1"/>
    <col min="8192" max="8192" width="11" style="1189"/>
    <col min="8193" max="8193" width="36.81640625" style="1189" customWidth="1"/>
    <col min="8194" max="8194" width="11.453125" style="1189" customWidth="1"/>
    <col min="8195" max="8195" width="31.453125" style="1189" customWidth="1"/>
    <col min="8196" max="8196" width="9.81640625" style="1189" customWidth="1"/>
    <col min="8197" max="8197" width="11.54296875" style="1189" customWidth="1"/>
    <col min="8198" max="8198" width="16.54296875" style="1189" customWidth="1"/>
    <col min="8199" max="8199" width="14.54296875" style="1189" customWidth="1"/>
    <col min="8200" max="8200" width="14.54296875" style="1189" bestFit="1" customWidth="1"/>
    <col min="8201" max="8201" width="0" style="1189" hidden="1" customWidth="1"/>
    <col min="8202" max="8202" width="15.54296875" style="1189" customWidth="1"/>
    <col min="8203" max="8203" width="13.81640625" style="1189" bestFit="1" customWidth="1"/>
    <col min="8204" max="8204" width="0.81640625" style="1189" customWidth="1"/>
    <col min="8205" max="8205" width="13.54296875" style="1189" customWidth="1"/>
    <col min="8206" max="8206" width="14.453125" style="1189" customWidth="1"/>
    <col min="8207" max="8207" width="23.453125" style="1189" customWidth="1"/>
    <col min="8208" max="8208" width="19.1796875" style="1189" customWidth="1"/>
    <col min="8209" max="8209" width="15.81640625" style="1189" customWidth="1"/>
    <col min="8210" max="8211" width="20.1796875" style="1189" customWidth="1"/>
    <col min="8212" max="8212" width="17.453125" style="1189" customWidth="1"/>
    <col min="8213" max="8216" width="12.453125" style="1189" customWidth="1"/>
    <col min="8217" max="8217" width="11.453125" style="1189" customWidth="1"/>
    <col min="8218" max="8441" width="10.54296875" style="1189" customWidth="1"/>
    <col min="8442" max="8442" width="14.453125" style="1189" bestFit="1" customWidth="1"/>
    <col min="8443" max="8444" width="10.54296875" style="1189" customWidth="1"/>
    <col min="8445" max="8445" width="19.54296875" style="1189" bestFit="1" customWidth="1"/>
    <col min="8446" max="8446" width="26.54296875" style="1189" bestFit="1" customWidth="1"/>
    <col min="8447" max="8447" width="12.453125" style="1189" bestFit="1" customWidth="1"/>
    <col min="8448" max="8448" width="11" style="1189"/>
    <col min="8449" max="8449" width="36.81640625" style="1189" customWidth="1"/>
    <col min="8450" max="8450" width="11.453125" style="1189" customWidth="1"/>
    <col min="8451" max="8451" width="31.453125" style="1189" customWidth="1"/>
    <col min="8452" max="8452" width="9.81640625" style="1189" customWidth="1"/>
    <col min="8453" max="8453" width="11.54296875" style="1189" customWidth="1"/>
    <col min="8454" max="8454" width="16.54296875" style="1189" customWidth="1"/>
    <col min="8455" max="8455" width="14.54296875" style="1189" customWidth="1"/>
    <col min="8456" max="8456" width="14.54296875" style="1189" bestFit="1" customWidth="1"/>
    <col min="8457" max="8457" width="0" style="1189" hidden="1" customWidth="1"/>
    <col min="8458" max="8458" width="15.54296875" style="1189" customWidth="1"/>
    <col min="8459" max="8459" width="13.81640625" style="1189" bestFit="1" customWidth="1"/>
    <col min="8460" max="8460" width="0.81640625" style="1189" customWidth="1"/>
    <col min="8461" max="8461" width="13.54296875" style="1189" customWidth="1"/>
    <col min="8462" max="8462" width="14.453125" style="1189" customWidth="1"/>
    <col min="8463" max="8463" width="23.453125" style="1189" customWidth="1"/>
    <col min="8464" max="8464" width="19.1796875" style="1189" customWidth="1"/>
    <col min="8465" max="8465" width="15.81640625" style="1189" customWidth="1"/>
    <col min="8466" max="8467" width="20.1796875" style="1189" customWidth="1"/>
    <col min="8468" max="8468" width="17.453125" style="1189" customWidth="1"/>
    <col min="8469" max="8472" width="12.453125" style="1189" customWidth="1"/>
    <col min="8473" max="8473" width="11.453125" style="1189" customWidth="1"/>
    <col min="8474" max="8697" width="10.54296875" style="1189" customWidth="1"/>
    <col min="8698" max="8698" width="14.453125" style="1189" bestFit="1" customWidth="1"/>
    <col min="8699" max="8700" width="10.54296875" style="1189" customWidth="1"/>
    <col min="8701" max="8701" width="19.54296875" style="1189" bestFit="1" customWidth="1"/>
    <col min="8702" max="8702" width="26.54296875" style="1189" bestFit="1" customWidth="1"/>
    <col min="8703" max="8703" width="12.453125" style="1189" bestFit="1" customWidth="1"/>
    <col min="8704" max="8704" width="11" style="1189"/>
    <col min="8705" max="8705" width="36.81640625" style="1189" customWidth="1"/>
    <col min="8706" max="8706" width="11.453125" style="1189" customWidth="1"/>
    <col min="8707" max="8707" width="31.453125" style="1189" customWidth="1"/>
    <col min="8708" max="8708" width="9.81640625" style="1189" customWidth="1"/>
    <col min="8709" max="8709" width="11.54296875" style="1189" customWidth="1"/>
    <col min="8710" max="8710" width="16.54296875" style="1189" customWidth="1"/>
    <col min="8711" max="8711" width="14.54296875" style="1189" customWidth="1"/>
    <col min="8712" max="8712" width="14.54296875" style="1189" bestFit="1" customWidth="1"/>
    <col min="8713" max="8713" width="0" style="1189" hidden="1" customWidth="1"/>
    <col min="8714" max="8714" width="15.54296875" style="1189" customWidth="1"/>
    <col min="8715" max="8715" width="13.81640625" style="1189" bestFit="1" customWidth="1"/>
    <col min="8716" max="8716" width="0.81640625" style="1189" customWidth="1"/>
    <col min="8717" max="8717" width="13.54296875" style="1189" customWidth="1"/>
    <col min="8718" max="8718" width="14.453125" style="1189" customWidth="1"/>
    <col min="8719" max="8719" width="23.453125" style="1189" customWidth="1"/>
    <col min="8720" max="8720" width="19.1796875" style="1189" customWidth="1"/>
    <col min="8721" max="8721" width="15.81640625" style="1189" customWidth="1"/>
    <col min="8722" max="8723" width="20.1796875" style="1189" customWidth="1"/>
    <col min="8724" max="8724" width="17.453125" style="1189" customWidth="1"/>
    <col min="8725" max="8728" width="12.453125" style="1189" customWidth="1"/>
    <col min="8729" max="8729" width="11.453125" style="1189" customWidth="1"/>
    <col min="8730" max="8953" width="10.54296875" style="1189" customWidth="1"/>
    <col min="8954" max="8954" width="14.453125" style="1189" bestFit="1" customWidth="1"/>
    <col min="8955" max="8956" width="10.54296875" style="1189" customWidth="1"/>
    <col min="8957" max="8957" width="19.54296875" style="1189" bestFit="1" customWidth="1"/>
    <col min="8958" max="8958" width="26.54296875" style="1189" bestFit="1" customWidth="1"/>
    <col min="8959" max="8959" width="12.453125" style="1189" bestFit="1" customWidth="1"/>
    <col min="8960" max="8960" width="11" style="1189"/>
    <col min="8961" max="8961" width="36.81640625" style="1189" customWidth="1"/>
    <col min="8962" max="8962" width="11.453125" style="1189" customWidth="1"/>
    <col min="8963" max="8963" width="31.453125" style="1189" customWidth="1"/>
    <col min="8964" max="8964" width="9.81640625" style="1189" customWidth="1"/>
    <col min="8965" max="8965" width="11.54296875" style="1189" customWidth="1"/>
    <col min="8966" max="8966" width="16.54296875" style="1189" customWidth="1"/>
    <col min="8967" max="8967" width="14.54296875" style="1189" customWidth="1"/>
    <col min="8968" max="8968" width="14.54296875" style="1189" bestFit="1" customWidth="1"/>
    <col min="8969" max="8969" width="0" style="1189" hidden="1" customWidth="1"/>
    <col min="8970" max="8970" width="15.54296875" style="1189" customWidth="1"/>
    <col min="8971" max="8971" width="13.81640625" style="1189" bestFit="1" customWidth="1"/>
    <col min="8972" max="8972" width="0.81640625" style="1189" customWidth="1"/>
    <col min="8973" max="8973" width="13.54296875" style="1189" customWidth="1"/>
    <col min="8974" max="8974" width="14.453125" style="1189" customWidth="1"/>
    <col min="8975" max="8975" width="23.453125" style="1189" customWidth="1"/>
    <col min="8976" max="8976" width="19.1796875" style="1189" customWidth="1"/>
    <col min="8977" max="8977" width="15.81640625" style="1189" customWidth="1"/>
    <col min="8978" max="8979" width="20.1796875" style="1189" customWidth="1"/>
    <col min="8980" max="8980" width="17.453125" style="1189" customWidth="1"/>
    <col min="8981" max="8984" width="12.453125" style="1189" customWidth="1"/>
    <col min="8985" max="8985" width="11.453125" style="1189" customWidth="1"/>
    <col min="8986" max="9209" width="10.54296875" style="1189" customWidth="1"/>
    <col min="9210" max="9210" width="14.453125" style="1189" bestFit="1" customWidth="1"/>
    <col min="9211" max="9212" width="10.54296875" style="1189" customWidth="1"/>
    <col min="9213" max="9213" width="19.54296875" style="1189" bestFit="1" customWidth="1"/>
    <col min="9214" max="9214" width="26.54296875" style="1189" bestFit="1" customWidth="1"/>
    <col min="9215" max="9215" width="12.453125" style="1189" bestFit="1" customWidth="1"/>
    <col min="9216" max="9216" width="11" style="1189"/>
    <col min="9217" max="9217" width="36.81640625" style="1189" customWidth="1"/>
    <col min="9218" max="9218" width="11.453125" style="1189" customWidth="1"/>
    <col min="9219" max="9219" width="31.453125" style="1189" customWidth="1"/>
    <col min="9220" max="9220" width="9.81640625" style="1189" customWidth="1"/>
    <col min="9221" max="9221" width="11.54296875" style="1189" customWidth="1"/>
    <col min="9222" max="9222" width="16.54296875" style="1189" customWidth="1"/>
    <col min="9223" max="9223" width="14.54296875" style="1189" customWidth="1"/>
    <col min="9224" max="9224" width="14.54296875" style="1189" bestFit="1" customWidth="1"/>
    <col min="9225" max="9225" width="0" style="1189" hidden="1" customWidth="1"/>
    <col min="9226" max="9226" width="15.54296875" style="1189" customWidth="1"/>
    <col min="9227" max="9227" width="13.81640625" style="1189" bestFit="1" customWidth="1"/>
    <col min="9228" max="9228" width="0.81640625" style="1189" customWidth="1"/>
    <col min="9229" max="9229" width="13.54296875" style="1189" customWidth="1"/>
    <col min="9230" max="9230" width="14.453125" style="1189" customWidth="1"/>
    <col min="9231" max="9231" width="23.453125" style="1189" customWidth="1"/>
    <col min="9232" max="9232" width="19.1796875" style="1189" customWidth="1"/>
    <col min="9233" max="9233" width="15.81640625" style="1189" customWidth="1"/>
    <col min="9234" max="9235" width="20.1796875" style="1189" customWidth="1"/>
    <col min="9236" max="9236" width="17.453125" style="1189" customWidth="1"/>
    <col min="9237" max="9240" width="12.453125" style="1189" customWidth="1"/>
    <col min="9241" max="9241" width="11.453125" style="1189" customWidth="1"/>
    <col min="9242" max="9465" width="10.54296875" style="1189" customWidth="1"/>
    <col min="9466" max="9466" width="14.453125" style="1189" bestFit="1" customWidth="1"/>
    <col min="9467" max="9468" width="10.54296875" style="1189" customWidth="1"/>
    <col min="9469" max="9469" width="19.54296875" style="1189" bestFit="1" customWidth="1"/>
    <col min="9470" max="9470" width="26.54296875" style="1189" bestFit="1" customWidth="1"/>
    <col min="9471" max="9471" width="12.453125" style="1189" bestFit="1" customWidth="1"/>
    <col min="9472" max="9472" width="11" style="1189"/>
    <col min="9473" max="9473" width="36.81640625" style="1189" customWidth="1"/>
    <col min="9474" max="9474" width="11.453125" style="1189" customWidth="1"/>
    <col min="9475" max="9475" width="31.453125" style="1189" customWidth="1"/>
    <col min="9476" max="9476" width="9.81640625" style="1189" customWidth="1"/>
    <col min="9477" max="9477" width="11.54296875" style="1189" customWidth="1"/>
    <col min="9478" max="9478" width="16.54296875" style="1189" customWidth="1"/>
    <col min="9479" max="9479" width="14.54296875" style="1189" customWidth="1"/>
    <col min="9480" max="9480" width="14.54296875" style="1189" bestFit="1" customWidth="1"/>
    <col min="9481" max="9481" width="0" style="1189" hidden="1" customWidth="1"/>
    <col min="9482" max="9482" width="15.54296875" style="1189" customWidth="1"/>
    <col min="9483" max="9483" width="13.81640625" style="1189" bestFit="1" customWidth="1"/>
    <col min="9484" max="9484" width="0.81640625" style="1189" customWidth="1"/>
    <col min="9485" max="9485" width="13.54296875" style="1189" customWidth="1"/>
    <col min="9486" max="9486" width="14.453125" style="1189" customWidth="1"/>
    <col min="9487" max="9487" width="23.453125" style="1189" customWidth="1"/>
    <col min="9488" max="9488" width="19.1796875" style="1189" customWidth="1"/>
    <col min="9489" max="9489" width="15.81640625" style="1189" customWidth="1"/>
    <col min="9490" max="9491" width="20.1796875" style="1189" customWidth="1"/>
    <col min="9492" max="9492" width="17.453125" style="1189" customWidth="1"/>
    <col min="9493" max="9496" width="12.453125" style="1189" customWidth="1"/>
    <col min="9497" max="9497" width="11.453125" style="1189" customWidth="1"/>
    <col min="9498" max="9721" width="10.54296875" style="1189" customWidth="1"/>
    <col min="9722" max="9722" width="14.453125" style="1189" bestFit="1" customWidth="1"/>
    <col min="9723" max="9724" width="10.54296875" style="1189" customWidth="1"/>
    <col min="9725" max="9725" width="19.54296875" style="1189" bestFit="1" customWidth="1"/>
    <col min="9726" max="9726" width="26.54296875" style="1189" bestFit="1" customWidth="1"/>
    <col min="9727" max="9727" width="12.453125" style="1189" bestFit="1" customWidth="1"/>
    <col min="9728" max="9728" width="11" style="1189"/>
    <col min="9729" max="9729" width="36.81640625" style="1189" customWidth="1"/>
    <col min="9730" max="9730" width="11.453125" style="1189" customWidth="1"/>
    <col min="9731" max="9731" width="31.453125" style="1189" customWidth="1"/>
    <col min="9732" max="9732" width="9.81640625" style="1189" customWidth="1"/>
    <col min="9733" max="9733" width="11.54296875" style="1189" customWidth="1"/>
    <col min="9734" max="9734" width="16.54296875" style="1189" customWidth="1"/>
    <col min="9735" max="9735" width="14.54296875" style="1189" customWidth="1"/>
    <col min="9736" max="9736" width="14.54296875" style="1189" bestFit="1" customWidth="1"/>
    <col min="9737" max="9737" width="0" style="1189" hidden="1" customWidth="1"/>
    <col min="9738" max="9738" width="15.54296875" style="1189" customWidth="1"/>
    <col min="9739" max="9739" width="13.81640625" style="1189" bestFit="1" customWidth="1"/>
    <col min="9740" max="9740" width="0.81640625" style="1189" customWidth="1"/>
    <col min="9741" max="9741" width="13.54296875" style="1189" customWidth="1"/>
    <col min="9742" max="9742" width="14.453125" style="1189" customWidth="1"/>
    <col min="9743" max="9743" width="23.453125" style="1189" customWidth="1"/>
    <col min="9744" max="9744" width="19.1796875" style="1189" customWidth="1"/>
    <col min="9745" max="9745" width="15.81640625" style="1189" customWidth="1"/>
    <col min="9746" max="9747" width="20.1796875" style="1189" customWidth="1"/>
    <col min="9748" max="9748" width="17.453125" style="1189" customWidth="1"/>
    <col min="9749" max="9752" width="12.453125" style="1189" customWidth="1"/>
    <col min="9753" max="9753" width="11.453125" style="1189" customWidth="1"/>
    <col min="9754" max="9977" width="10.54296875" style="1189" customWidth="1"/>
    <col min="9978" max="9978" width="14.453125" style="1189" bestFit="1" customWidth="1"/>
    <col min="9979" max="9980" width="10.54296875" style="1189" customWidth="1"/>
    <col min="9981" max="9981" width="19.54296875" style="1189" bestFit="1" customWidth="1"/>
    <col min="9982" max="9982" width="26.54296875" style="1189" bestFit="1" customWidth="1"/>
    <col min="9983" max="9983" width="12.453125" style="1189" bestFit="1" customWidth="1"/>
    <col min="9984" max="9984" width="11" style="1189"/>
    <col min="9985" max="9985" width="36.81640625" style="1189" customWidth="1"/>
    <col min="9986" max="9986" width="11.453125" style="1189" customWidth="1"/>
    <col min="9987" max="9987" width="31.453125" style="1189" customWidth="1"/>
    <col min="9988" max="9988" width="9.81640625" style="1189" customWidth="1"/>
    <col min="9989" max="9989" width="11.54296875" style="1189" customWidth="1"/>
    <col min="9990" max="9990" width="16.54296875" style="1189" customWidth="1"/>
    <col min="9991" max="9991" width="14.54296875" style="1189" customWidth="1"/>
    <col min="9992" max="9992" width="14.54296875" style="1189" bestFit="1" customWidth="1"/>
    <col min="9993" max="9993" width="0" style="1189" hidden="1" customWidth="1"/>
    <col min="9994" max="9994" width="15.54296875" style="1189" customWidth="1"/>
    <col min="9995" max="9995" width="13.81640625" style="1189" bestFit="1" customWidth="1"/>
    <col min="9996" max="9996" width="0.81640625" style="1189" customWidth="1"/>
    <col min="9997" max="9997" width="13.54296875" style="1189" customWidth="1"/>
    <col min="9998" max="9998" width="14.453125" style="1189" customWidth="1"/>
    <col min="9999" max="9999" width="23.453125" style="1189" customWidth="1"/>
    <col min="10000" max="10000" width="19.1796875" style="1189" customWidth="1"/>
    <col min="10001" max="10001" width="15.81640625" style="1189" customWidth="1"/>
    <col min="10002" max="10003" width="20.1796875" style="1189" customWidth="1"/>
    <col min="10004" max="10004" width="17.453125" style="1189" customWidth="1"/>
    <col min="10005" max="10008" width="12.453125" style="1189" customWidth="1"/>
    <col min="10009" max="10009" width="11.453125" style="1189" customWidth="1"/>
    <col min="10010" max="10233" width="10.54296875" style="1189" customWidth="1"/>
    <col min="10234" max="10234" width="14.453125" style="1189" bestFit="1" customWidth="1"/>
    <col min="10235" max="10236" width="10.54296875" style="1189" customWidth="1"/>
    <col min="10237" max="10237" width="19.54296875" style="1189" bestFit="1" customWidth="1"/>
    <col min="10238" max="10238" width="26.54296875" style="1189" bestFit="1" customWidth="1"/>
    <col min="10239" max="10239" width="12.453125" style="1189" bestFit="1" customWidth="1"/>
    <col min="10240" max="10240" width="11" style="1189"/>
    <col min="10241" max="10241" width="36.81640625" style="1189" customWidth="1"/>
    <col min="10242" max="10242" width="11.453125" style="1189" customWidth="1"/>
    <col min="10243" max="10243" width="31.453125" style="1189" customWidth="1"/>
    <col min="10244" max="10244" width="9.81640625" style="1189" customWidth="1"/>
    <col min="10245" max="10245" width="11.54296875" style="1189" customWidth="1"/>
    <col min="10246" max="10246" width="16.54296875" style="1189" customWidth="1"/>
    <col min="10247" max="10247" width="14.54296875" style="1189" customWidth="1"/>
    <col min="10248" max="10248" width="14.54296875" style="1189" bestFit="1" customWidth="1"/>
    <col min="10249" max="10249" width="0" style="1189" hidden="1" customWidth="1"/>
    <col min="10250" max="10250" width="15.54296875" style="1189" customWidth="1"/>
    <col min="10251" max="10251" width="13.81640625" style="1189" bestFit="1" customWidth="1"/>
    <col min="10252" max="10252" width="0.81640625" style="1189" customWidth="1"/>
    <col min="10253" max="10253" width="13.54296875" style="1189" customWidth="1"/>
    <col min="10254" max="10254" width="14.453125" style="1189" customWidth="1"/>
    <col min="10255" max="10255" width="23.453125" style="1189" customWidth="1"/>
    <col min="10256" max="10256" width="19.1796875" style="1189" customWidth="1"/>
    <col min="10257" max="10257" width="15.81640625" style="1189" customWidth="1"/>
    <col min="10258" max="10259" width="20.1796875" style="1189" customWidth="1"/>
    <col min="10260" max="10260" width="17.453125" style="1189" customWidth="1"/>
    <col min="10261" max="10264" width="12.453125" style="1189" customWidth="1"/>
    <col min="10265" max="10265" width="11.453125" style="1189" customWidth="1"/>
    <col min="10266" max="10489" width="10.54296875" style="1189" customWidth="1"/>
    <col min="10490" max="10490" width="14.453125" style="1189" bestFit="1" customWidth="1"/>
    <col min="10491" max="10492" width="10.54296875" style="1189" customWidth="1"/>
    <col min="10493" max="10493" width="19.54296875" style="1189" bestFit="1" customWidth="1"/>
    <col min="10494" max="10494" width="26.54296875" style="1189" bestFit="1" customWidth="1"/>
    <col min="10495" max="10495" width="12.453125" style="1189" bestFit="1" customWidth="1"/>
    <col min="10496" max="10496" width="11" style="1189"/>
    <col min="10497" max="10497" width="36.81640625" style="1189" customWidth="1"/>
    <col min="10498" max="10498" width="11.453125" style="1189" customWidth="1"/>
    <col min="10499" max="10499" width="31.453125" style="1189" customWidth="1"/>
    <col min="10500" max="10500" width="9.81640625" style="1189" customWidth="1"/>
    <col min="10501" max="10501" width="11.54296875" style="1189" customWidth="1"/>
    <col min="10502" max="10502" width="16.54296875" style="1189" customWidth="1"/>
    <col min="10503" max="10503" width="14.54296875" style="1189" customWidth="1"/>
    <col min="10504" max="10504" width="14.54296875" style="1189" bestFit="1" customWidth="1"/>
    <col min="10505" max="10505" width="0" style="1189" hidden="1" customWidth="1"/>
    <col min="10506" max="10506" width="15.54296875" style="1189" customWidth="1"/>
    <col min="10507" max="10507" width="13.81640625" style="1189" bestFit="1" customWidth="1"/>
    <col min="10508" max="10508" width="0.81640625" style="1189" customWidth="1"/>
    <col min="10509" max="10509" width="13.54296875" style="1189" customWidth="1"/>
    <col min="10510" max="10510" width="14.453125" style="1189" customWidth="1"/>
    <col min="10511" max="10511" width="23.453125" style="1189" customWidth="1"/>
    <col min="10512" max="10512" width="19.1796875" style="1189" customWidth="1"/>
    <col min="10513" max="10513" width="15.81640625" style="1189" customWidth="1"/>
    <col min="10514" max="10515" width="20.1796875" style="1189" customWidth="1"/>
    <col min="10516" max="10516" width="17.453125" style="1189" customWidth="1"/>
    <col min="10517" max="10520" width="12.453125" style="1189" customWidth="1"/>
    <col min="10521" max="10521" width="11.453125" style="1189" customWidth="1"/>
    <col min="10522" max="10745" width="10.54296875" style="1189" customWidth="1"/>
    <col min="10746" max="10746" width="14.453125" style="1189" bestFit="1" customWidth="1"/>
    <col min="10747" max="10748" width="10.54296875" style="1189" customWidth="1"/>
    <col min="10749" max="10749" width="19.54296875" style="1189" bestFit="1" customWidth="1"/>
    <col min="10750" max="10750" width="26.54296875" style="1189" bestFit="1" customWidth="1"/>
    <col min="10751" max="10751" width="12.453125" style="1189" bestFit="1" customWidth="1"/>
    <col min="10752" max="10752" width="11" style="1189"/>
    <col min="10753" max="10753" width="36.81640625" style="1189" customWidth="1"/>
    <col min="10754" max="10754" width="11.453125" style="1189" customWidth="1"/>
    <col min="10755" max="10755" width="31.453125" style="1189" customWidth="1"/>
    <col min="10756" max="10756" width="9.81640625" style="1189" customWidth="1"/>
    <col min="10757" max="10757" width="11.54296875" style="1189" customWidth="1"/>
    <col min="10758" max="10758" width="16.54296875" style="1189" customWidth="1"/>
    <col min="10759" max="10759" width="14.54296875" style="1189" customWidth="1"/>
    <col min="10760" max="10760" width="14.54296875" style="1189" bestFit="1" customWidth="1"/>
    <col min="10761" max="10761" width="0" style="1189" hidden="1" customWidth="1"/>
    <col min="10762" max="10762" width="15.54296875" style="1189" customWidth="1"/>
    <col min="10763" max="10763" width="13.81640625" style="1189" bestFit="1" customWidth="1"/>
    <col min="10764" max="10764" width="0.81640625" style="1189" customWidth="1"/>
    <col min="10765" max="10765" width="13.54296875" style="1189" customWidth="1"/>
    <col min="10766" max="10766" width="14.453125" style="1189" customWidth="1"/>
    <col min="10767" max="10767" width="23.453125" style="1189" customWidth="1"/>
    <col min="10768" max="10768" width="19.1796875" style="1189" customWidth="1"/>
    <col min="10769" max="10769" width="15.81640625" style="1189" customWidth="1"/>
    <col min="10770" max="10771" width="20.1796875" style="1189" customWidth="1"/>
    <col min="10772" max="10772" width="17.453125" style="1189" customWidth="1"/>
    <col min="10773" max="10776" width="12.453125" style="1189" customWidth="1"/>
    <col min="10777" max="10777" width="11.453125" style="1189" customWidth="1"/>
    <col min="10778" max="11001" width="10.54296875" style="1189" customWidth="1"/>
    <col min="11002" max="11002" width="14.453125" style="1189" bestFit="1" customWidth="1"/>
    <col min="11003" max="11004" width="10.54296875" style="1189" customWidth="1"/>
    <col min="11005" max="11005" width="19.54296875" style="1189" bestFit="1" customWidth="1"/>
    <col min="11006" max="11006" width="26.54296875" style="1189" bestFit="1" customWidth="1"/>
    <col min="11007" max="11007" width="12.453125" style="1189" bestFit="1" customWidth="1"/>
    <col min="11008" max="11008" width="11" style="1189"/>
    <col min="11009" max="11009" width="36.81640625" style="1189" customWidth="1"/>
    <col min="11010" max="11010" width="11.453125" style="1189" customWidth="1"/>
    <col min="11011" max="11011" width="31.453125" style="1189" customWidth="1"/>
    <col min="11012" max="11012" width="9.81640625" style="1189" customWidth="1"/>
    <col min="11013" max="11013" width="11.54296875" style="1189" customWidth="1"/>
    <col min="11014" max="11014" width="16.54296875" style="1189" customWidth="1"/>
    <col min="11015" max="11015" width="14.54296875" style="1189" customWidth="1"/>
    <col min="11016" max="11016" width="14.54296875" style="1189" bestFit="1" customWidth="1"/>
    <col min="11017" max="11017" width="0" style="1189" hidden="1" customWidth="1"/>
    <col min="11018" max="11018" width="15.54296875" style="1189" customWidth="1"/>
    <col min="11019" max="11019" width="13.81640625" style="1189" bestFit="1" customWidth="1"/>
    <col min="11020" max="11020" width="0.81640625" style="1189" customWidth="1"/>
    <col min="11021" max="11021" width="13.54296875" style="1189" customWidth="1"/>
    <col min="11022" max="11022" width="14.453125" style="1189" customWidth="1"/>
    <col min="11023" max="11023" width="23.453125" style="1189" customWidth="1"/>
    <col min="11024" max="11024" width="19.1796875" style="1189" customWidth="1"/>
    <col min="11025" max="11025" width="15.81640625" style="1189" customWidth="1"/>
    <col min="11026" max="11027" width="20.1796875" style="1189" customWidth="1"/>
    <col min="11028" max="11028" width="17.453125" style="1189" customWidth="1"/>
    <col min="11029" max="11032" width="12.453125" style="1189" customWidth="1"/>
    <col min="11033" max="11033" width="11.453125" style="1189" customWidth="1"/>
    <col min="11034" max="11257" width="10.54296875" style="1189" customWidth="1"/>
    <col min="11258" max="11258" width="14.453125" style="1189" bestFit="1" customWidth="1"/>
    <col min="11259" max="11260" width="10.54296875" style="1189" customWidth="1"/>
    <col min="11261" max="11261" width="19.54296875" style="1189" bestFit="1" customWidth="1"/>
    <col min="11262" max="11262" width="26.54296875" style="1189" bestFit="1" customWidth="1"/>
    <col min="11263" max="11263" width="12.453125" style="1189" bestFit="1" customWidth="1"/>
    <col min="11264" max="11264" width="11" style="1189"/>
    <col min="11265" max="11265" width="36.81640625" style="1189" customWidth="1"/>
    <col min="11266" max="11266" width="11.453125" style="1189" customWidth="1"/>
    <col min="11267" max="11267" width="31.453125" style="1189" customWidth="1"/>
    <col min="11268" max="11268" width="9.81640625" style="1189" customWidth="1"/>
    <col min="11269" max="11269" width="11.54296875" style="1189" customWidth="1"/>
    <col min="11270" max="11270" width="16.54296875" style="1189" customWidth="1"/>
    <col min="11271" max="11271" width="14.54296875" style="1189" customWidth="1"/>
    <col min="11272" max="11272" width="14.54296875" style="1189" bestFit="1" customWidth="1"/>
    <col min="11273" max="11273" width="0" style="1189" hidden="1" customWidth="1"/>
    <col min="11274" max="11274" width="15.54296875" style="1189" customWidth="1"/>
    <col min="11275" max="11275" width="13.81640625" style="1189" bestFit="1" customWidth="1"/>
    <col min="11276" max="11276" width="0.81640625" style="1189" customWidth="1"/>
    <col min="11277" max="11277" width="13.54296875" style="1189" customWidth="1"/>
    <col min="11278" max="11278" width="14.453125" style="1189" customWidth="1"/>
    <col min="11279" max="11279" width="23.453125" style="1189" customWidth="1"/>
    <col min="11280" max="11280" width="19.1796875" style="1189" customWidth="1"/>
    <col min="11281" max="11281" width="15.81640625" style="1189" customWidth="1"/>
    <col min="11282" max="11283" width="20.1796875" style="1189" customWidth="1"/>
    <col min="11284" max="11284" width="17.453125" style="1189" customWidth="1"/>
    <col min="11285" max="11288" width="12.453125" style="1189" customWidth="1"/>
    <col min="11289" max="11289" width="11.453125" style="1189" customWidth="1"/>
    <col min="11290" max="11513" width="10.54296875" style="1189" customWidth="1"/>
    <col min="11514" max="11514" width="14.453125" style="1189" bestFit="1" customWidth="1"/>
    <col min="11515" max="11516" width="10.54296875" style="1189" customWidth="1"/>
    <col min="11517" max="11517" width="19.54296875" style="1189" bestFit="1" customWidth="1"/>
    <col min="11518" max="11518" width="26.54296875" style="1189" bestFit="1" customWidth="1"/>
    <col min="11519" max="11519" width="12.453125" style="1189" bestFit="1" customWidth="1"/>
    <col min="11520" max="11520" width="11" style="1189"/>
    <col min="11521" max="11521" width="36.81640625" style="1189" customWidth="1"/>
    <col min="11522" max="11522" width="11.453125" style="1189" customWidth="1"/>
    <col min="11523" max="11523" width="31.453125" style="1189" customWidth="1"/>
    <col min="11524" max="11524" width="9.81640625" style="1189" customWidth="1"/>
    <col min="11525" max="11525" width="11.54296875" style="1189" customWidth="1"/>
    <col min="11526" max="11526" width="16.54296875" style="1189" customWidth="1"/>
    <col min="11527" max="11527" width="14.54296875" style="1189" customWidth="1"/>
    <col min="11528" max="11528" width="14.54296875" style="1189" bestFit="1" customWidth="1"/>
    <col min="11529" max="11529" width="0" style="1189" hidden="1" customWidth="1"/>
    <col min="11530" max="11530" width="15.54296875" style="1189" customWidth="1"/>
    <col min="11531" max="11531" width="13.81640625" style="1189" bestFit="1" customWidth="1"/>
    <col min="11532" max="11532" width="0.81640625" style="1189" customWidth="1"/>
    <col min="11533" max="11533" width="13.54296875" style="1189" customWidth="1"/>
    <col min="11534" max="11534" width="14.453125" style="1189" customWidth="1"/>
    <col min="11535" max="11535" width="23.453125" style="1189" customWidth="1"/>
    <col min="11536" max="11536" width="19.1796875" style="1189" customWidth="1"/>
    <col min="11537" max="11537" width="15.81640625" style="1189" customWidth="1"/>
    <col min="11538" max="11539" width="20.1796875" style="1189" customWidth="1"/>
    <col min="11540" max="11540" width="17.453125" style="1189" customWidth="1"/>
    <col min="11541" max="11544" width="12.453125" style="1189" customWidth="1"/>
    <col min="11545" max="11545" width="11.453125" style="1189" customWidth="1"/>
    <col min="11546" max="11769" width="10.54296875" style="1189" customWidth="1"/>
    <col min="11770" max="11770" width="14.453125" style="1189" bestFit="1" customWidth="1"/>
    <col min="11771" max="11772" width="10.54296875" style="1189" customWidth="1"/>
    <col min="11773" max="11773" width="19.54296875" style="1189" bestFit="1" customWidth="1"/>
    <col min="11774" max="11774" width="26.54296875" style="1189" bestFit="1" customWidth="1"/>
    <col min="11775" max="11775" width="12.453125" style="1189" bestFit="1" customWidth="1"/>
    <col min="11776" max="11776" width="11" style="1189"/>
    <col min="11777" max="11777" width="36.81640625" style="1189" customWidth="1"/>
    <col min="11778" max="11778" width="11.453125" style="1189" customWidth="1"/>
    <col min="11779" max="11779" width="31.453125" style="1189" customWidth="1"/>
    <col min="11780" max="11780" width="9.81640625" style="1189" customWidth="1"/>
    <col min="11781" max="11781" width="11.54296875" style="1189" customWidth="1"/>
    <col min="11782" max="11782" width="16.54296875" style="1189" customWidth="1"/>
    <col min="11783" max="11783" width="14.54296875" style="1189" customWidth="1"/>
    <col min="11784" max="11784" width="14.54296875" style="1189" bestFit="1" customWidth="1"/>
    <col min="11785" max="11785" width="0" style="1189" hidden="1" customWidth="1"/>
    <col min="11786" max="11786" width="15.54296875" style="1189" customWidth="1"/>
    <col min="11787" max="11787" width="13.81640625" style="1189" bestFit="1" customWidth="1"/>
    <col min="11788" max="11788" width="0.81640625" style="1189" customWidth="1"/>
    <col min="11789" max="11789" width="13.54296875" style="1189" customWidth="1"/>
    <col min="11790" max="11790" width="14.453125" style="1189" customWidth="1"/>
    <col min="11791" max="11791" width="23.453125" style="1189" customWidth="1"/>
    <col min="11792" max="11792" width="19.1796875" style="1189" customWidth="1"/>
    <col min="11793" max="11793" width="15.81640625" style="1189" customWidth="1"/>
    <col min="11794" max="11795" width="20.1796875" style="1189" customWidth="1"/>
    <col min="11796" max="11796" width="17.453125" style="1189" customWidth="1"/>
    <col min="11797" max="11800" width="12.453125" style="1189" customWidth="1"/>
    <col min="11801" max="11801" width="11.453125" style="1189" customWidth="1"/>
    <col min="11802" max="12025" width="10.54296875" style="1189" customWidth="1"/>
    <col min="12026" max="12026" width="14.453125" style="1189" bestFit="1" customWidth="1"/>
    <col min="12027" max="12028" width="10.54296875" style="1189" customWidth="1"/>
    <col min="12029" max="12029" width="19.54296875" style="1189" bestFit="1" customWidth="1"/>
    <col min="12030" max="12030" width="26.54296875" style="1189" bestFit="1" customWidth="1"/>
    <col min="12031" max="12031" width="12.453125" style="1189" bestFit="1" customWidth="1"/>
    <col min="12032" max="12032" width="11" style="1189"/>
    <col min="12033" max="12033" width="36.81640625" style="1189" customWidth="1"/>
    <col min="12034" max="12034" width="11.453125" style="1189" customWidth="1"/>
    <col min="12035" max="12035" width="31.453125" style="1189" customWidth="1"/>
    <col min="12036" max="12036" width="9.81640625" style="1189" customWidth="1"/>
    <col min="12037" max="12037" width="11.54296875" style="1189" customWidth="1"/>
    <col min="12038" max="12038" width="16.54296875" style="1189" customWidth="1"/>
    <col min="12039" max="12039" width="14.54296875" style="1189" customWidth="1"/>
    <col min="12040" max="12040" width="14.54296875" style="1189" bestFit="1" customWidth="1"/>
    <col min="12041" max="12041" width="0" style="1189" hidden="1" customWidth="1"/>
    <col min="12042" max="12042" width="15.54296875" style="1189" customWidth="1"/>
    <col min="12043" max="12043" width="13.81640625" style="1189" bestFit="1" customWidth="1"/>
    <col min="12044" max="12044" width="0.81640625" style="1189" customWidth="1"/>
    <col min="12045" max="12045" width="13.54296875" style="1189" customWidth="1"/>
    <col min="12046" max="12046" width="14.453125" style="1189" customWidth="1"/>
    <col min="12047" max="12047" width="23.453125" style="1189" customWidth="1"/>
    <col min="12048" max="12048" width="19.1796875" style="1189" customWidth="1"/>
    <col min="12049" max="12049" width="15.81640625" style="1189" customWidth="1"/>
    <col min="12050" max="12051" width="20.1796875" style="1189" customWidth="1"/>
    <col min="12052" max="12052" width="17.453125" style="1189" customWidth="1"/>
    <col min="12053" max="12056" width="12.453125" style="1189" customWidth="1"/>
    <col min="12057" max="12057" width="11.453125" style="1189" customWidth="1"/>
    <col min="12058" max="12281" width="10.54296875" style="1189" customWidth="1"/>
    <col min="12282" max="12282" width="14.453125" style="1189" bestFit="1" customWidth="1"/>
    <col min="12283" max="12284" width="10.54296875" style="1189" customWidth="1"/>
    <col min="12285" max="12285" width="19.54296875" style="1189" bestFit="1" customWidth="1"/>
    <col min="12286" max="12286" width="26.54296875" style="1189" bestFit="1" customWidth="1"/>
    <col min="12287" max="12287" width="12.453125" style="1189" bestFit="1" customWidth="1"/>
    <col min="12288" max="12288" width="11" style="1189"/>
    <col min="12289" max="12289" width="36.81640625" style="1189" customWidth="1"/>
    <col min="12290" max="12290" width="11.453125" style="1189" customWidth="1"/>
    <col min="12291" max="12291" width="31.453125" style="1189" customWidth="1"/>
    <col min="12292" max="12292" width="9.81640625" style="1189" customWidth="1"/>
    <col min="12293" max="12293" width="11.54296875" style="1189" customWidth="1"/>
    <col min="12294" max="12294" width="16.54296875" style="1189" customWidth="1"/>
    <col min="12295" max="12295" width="14.54296875" style="1189" customWidth="1"/>
    <col min="12296" max="12296" width="14.54296875" style="1189" bestFit="1" customWidth="1"/>
    <col min="12297" max="12297" width="0" style="1189" hidden="1" customWidth="1"/>
    <col min="12298" max="12298" width="15.54296875" style="1189" customWidth="1"/>
    <col min="12299" max="12299" width="13.81640625" style="1189" bestFit="1" customWidth="1"/>
    <col min="12300" max="12300" width="0.81640625" style="1189" customWidth="1"/>
    <col min="12301" max="12301" width="13.54296875" style="1189" customWidth="1"/>
    <col min="12302" max="12302" width="14.453125" style="1189" customWidth="1"/>
    <col min="12303" max="12303" width="23.453125" style="1189" customWidth="1"/>
    <col min="12304" max="12304" width="19.1796875" style="1189" customWidth="1"/>
    <col min="12305" max="12305" width="15.81640625" style="1189" customWidth="1"/>
    <col min="12306" max="12307" width="20.1796875" style="1189" customWidth="1"/>
    <col min="12308" max="12308" width="17.453125" style="1189" customWidth="1"/>
    <col min="12309" max="12312" width="12.453125" style="1189" customWidth="1"/>
    <col min="12313" max="12313" width="11.453125" style="1189" customWidth="1"/>
    <col min="12314" max="12537" width="10.54296875" style="1189" customWidth="1"/>
    <col min="12538" max="12538" width="14.453125" style="1189" bestFit="1" customWidth="1"/>
    <col min="12539" max="12540" width="10.54296875" style="1189" customWidth="1"/>
    <col min="12541" max="12541" width="19.54296875" style="1189" bestFit="1" customWidth="1"/>
    <col min="12542" max="12542" width="26.54296875" style="1189" bestFit="1" customWidth="1"/>
    <col min="12543" max="12543" width="12.453125" style="1189" bestFit="1" customWidth="1"/>
    <col min="12544" max="12544" width="11" style="1189"/>
    <col min="12545" max="12545" width="36.81640625" style="1189" customWidth="1"/>
    <col min="12546" max="12546" width="11.453125" style="1189" customWidth="1"/>
    <col min="12547" max="12547" width="31.453125" style="1189" customWidth="1"/>
    <col min="12548" max="12548" width="9.81640625" style="1189" customWidth="1"/>
    <col min="12549" max="12549" width="11.54296875" style="1189" customWidth="1"/>
    <col min="12550" max="12550" width="16.54296875" style="1189" customWidth="1"/>
    <col min="12551" max="12551" width="14.54296875" style="1189" customWidth="1"/>
    <col min="12552" max="12552" width="14.54296875" style="1189" bestFit="1" customWidth="1"/>
    <col min="12553" max="12553" width="0" style="1189" hidden="1" customWidth="1"/>
    <col min="12554" max="12554" width="15.54296875" style="1189" customWidth="1"/>
    <col min="12555" max="12555" width="13.81640625" style="1189" bestFit="1" customWidth="1"/>
    <col min="12556" max="12556" width="0.81640625" style="1189" customWidth="1"/>
    <col min="12557" max="12557" width="13.54296875" style="1189" customWidth="1"/>
    <col min="12558" max="12558" width="14.453125" style="1189" customWidth="1"/>
    <col min="12559" max="12559" width="23.453125" style="1189" customWidth="1"/>
    <col min="12560" max="12560" width="19.1796875" style="1189" customWidth="1"/>
    <col min="12561" max="12561" width="15.81640625" style="1189" customWidth="1"/>
    <col min="12562" max="12563" width="20.1796875" style="1189" customWidth="1"/>
    <col min="12564" max="12564" width="17.453125" style="1189" customWidth="1"/>
    <col min="12565" max="12568" width="12.453125" style="1189" customWidth="1"/>
    <col min="12569" max="12569" width="11.453125" style="1189" customWidth="1"/>
    <col min="12570" max="12793" width="10.54296875" style="1189" customWidth="1"/>
    <col min="12794" max="12794" width="14.453125" style="1189" bestFit="1" customWidth="1"/>
    <col min="12795" max="12796" width="10.54296875" style="1189" customWidth="1"/>
    <col min="12797" max="12797" width="19.54296875" style="1189" bestFit="1" customWidth="1"/>
    <col min="12798" max="12798" width="26.54296875" style="1189" bestFit="1" customWidth="1"/>
    <col min="12799" max="12799" width="12.453125" style="1189" bestFit="1" customWidth="1"/>
    <col min="12800" max="12800" width="11" style="1189"/>
    <col min="12801" max="12801" width="36.81640625" style="1189" customWidth="1"/>
    <col min="12802" max="12802" width="11.453125" style="1189" customWidth="1"/>
    <col min="12803" max="12803" width="31.453125" style="1189" customWidth="1"/>
    <col min="12804" max="12804" width="9.81640625" style="1189" customWidth="1"/>
    <col min="12805" max="12805" width="11.54296875" style="1189" customWidth="1"/>
    <col min="12806" max="12806" width="16.54296875" style="1189" customWidth="1"/>
    <col min="12807" max="12807" width="14.54296875" style="1189" customWidth="1"/>
    <col min="12808" max="12808" width="14.54296875" style="1189" bestFit="1" customWidth="1"/>
    <col min="12809" max="12809" width="0" style="1189" hidden="1" customWidth="1"/>
    <col min="12810" max="12810" width="15.54296875" style="1189" customWidth="1"/>
    <col min="12811" max="12811" width="13.81640625" style="1189" bestFit="1" customWidth="1"/>
    <col min="12812" max="12812" width="0.81640625" style="1189" customWidth="1"/>
    <col min="12813" max="12813" width="13.54296875" style="1189" customWidth="1"/>
    <col min="12814" max="12814" width="14.453125" style="1189" customWidth="1"/>
    <col min="12815" max="12815" width="23.453125" style="1189" customWidth="1"/>
    <col min="12816" max="12816" width="19.1796875" style="1189" customWidth="1"/>
    <col min="12817" max="12817" width="15.81640625" style="1189" customWidth="1"/>
    <col min="12818" max="12819" width="20.1796875" style="1189" customWidth="1"/>
    <col min="12820" max="12820" width="17.453125" style="1189" customWidth="1"/>
    <col min="12821" max="12824" width="12.453125" style="1189" customWidth="1"/>
    <col min="12825" max="12825" width="11.453125" style="1189" customWidth="1"/>
    <col min="12826" max="13049" width="10.54296875" style="1189" customWidth="1"/>
    <col min="13050" max="13050" width="14.453125" style="1189" bestFit="1" customWidth="1"/>
    <col min="13051" max="13052" width="10.54296875" style="1189" customWidth="1"/>
    <col min="13053" max="13053" width="19.54296875" style="1189" bestFit="1" customWidth="1"/>
    <col min="13054" max="13054" width="26.54296875" style="1189" bestFit="1" customWidth="1"/>
    <col min="13055" max="13055" width="12.453125" style="1189" bestFit="1" customWidth="1"/>
    <col min="13056" max="13056" width="11" style="1189"/>
    <col min="13057" max="13057" width="36.81640625" style="1189" customWidth="1"/>
    <col min="13058" max="13058" width="11.453125" style="1189" customWidth="1"/>
    <col min="13059" max="13059" width="31.453125" style="1189" customWidth="1"/>
    <col min="13060" max="13060" width="9.81640625" style="1189" customWidth="1"/>
    <col min="13061" max="13061" width="11.54296875" style="1189" customWidth="1"/>
    <col min="13062" max="13062" width="16.54296875" style="1189" customWidth="1"/>
    <col min="13063" max="13063" width="14.54296875" style="1189" customWidth="1"/>
    <col min="13064" max="13064" width="14.54296875" style="1189" bestFit="1" customWidth="1"/>
    <col min="13065" max="13065" width="0" style="1189" hidden="1" customWidth="1"/>
    <col min="13066" max="13066" width="15.54296875" style="1189" customWidth="1"/>
    <col min="13067" max="13067" width="13.81640625" style="1189" bestFit="1" customWidth="1"/>
    <col min="13068" max="13068" width="0.81640625" style="1189" customWidth="1"/>
    <col min="13069" max="13069" width="13.54296875" style="1189" customWidth="1"/>
    <col min="13070" max="13070" width="14.453125" style="1189" customWidth="1"/>
    <col min="13071" max="13071" width="23.453125" style="1189" customWidth="1"/>
    <col min="13072" max="13072" width="19.1796875" style="1189" customWidth="1"/>
    <col min="13073" max="13073" width="15.81640625" style="1189" customWidth="1"/>
    <col min="13074" max="13075" width="20.1796875" style="1189" customWidth="1"/>
    <col min="13076" max="13076" width="17.453125" style="1189" customWidth="1"/>
    <col min="13077" max="13080" width="12.453125" style="1189" customWidth="1"/>
    <col min="13081" max="13081" width="11.453125" style="1189" customWidth="1"/>
    <col min="13082" max="13305" width="10.54296875" style="1189" customWidth="1"/>
    <col min="13306" max="13306" width="14.453125" style="1189" bestFit="1" customWidth="1"/>
    <col min="13307" max="13308" width="10.54296875" style="1189" customWidth="1"/>
    <col min="13309" max="13309" width="19.54296875" style="1189" bestFit="1" customWidth="1"/>
    <col min="13310" max="13310" width="26.54296875" style="1189" bestFit="1" customWidth="1"/>
    <col min="13311" max="13311" width="12.453125" style="1189" bestFit="1" customWidth="1"/>
    <col min="13312" max="13312" width="11" style="1189"/>
    <col min="13313" max="13313" width="36.81640625" style="1189" customWidth="1"/>
    <col min="13314" max="13314" width="11.453125" style="1189" customWidth="1"/>
    <col min="13315" max="13315" width="31.453125" style="1189" customWidth="1"/>
    <col min="13316" max="13316" width="9.81640625" style="1189" customWidth="1"/>
    <col min="13317" max="13317" width="11.54296875" style="1189" customWidth="1"/>
    <col min="13318" max="13318" width="16.54296875" style="1189" customWidth="1"/>
    <col min="13319" max="13319" width="14.54296875" style="1189" customWidth="1"/>
    <col min="13320" max="13320" width="14.54296875" style="1189" bestFit="1" customWidth="1"/>
    <col min="13321" max="13321" width="0" style="1189" hidden="1" customWidth="1"/>
    <col min="13322" max="13322" width="15.54296875" style="1189" customWidth="1"/>
    <col min="13323" max="13323" width="13.81640625" style="1189" bestFit="1" customWidth="1"/>
    <col min="13324" max="13324" width="0.81640625" style="1189" customWidth="1"/>
    <col min="13325" max="13325" width="13.54296875" style="1189" customWidth="1"/>
    <col min="13326" max="13326" width="14.453125" style="1189" customWidth="1"/>
    <col min="13327" max="13327" width="23.453125" style="1189" customWidth="1"/>
    <col min="13328" max="13328" width="19.1796875" style="1189" customWidth="1"/>
    <col min="13329" max="13329" width="15.81640625" style="1189" customWidth="1"/>
    <col min="13330" max="13331" width="20.1796875" style="1189" customWidth="1"/>
    <col min="13332" max="13332" width="17.453125" style="1189" customWidth="1"/>
    <col min="13333" max="13336" width="12.453125" style="1189" customWidth="1"/>
    <col min="13337" max="13337" width="11.453125" style="1189" customWidth="1"/>
    <col min="13338" max="13561" width="10.54296875" style="1189" customWidth="1"/>
    <col min="13562" max="13562" width="14.453125" style="1189" bestFit="1" customWidth="1"/>
    <col min="13563" max="13564" width="10.54296875" style="1189" customWidth="1"/>
    <col min="13565" max="13565" width="19.54296875" style="1189" bestFit="1" customWidth="1"/>
    <col min="13566" max="13566" width="26.54296875" style="1189" bestFit="1" customWidth="1"/>
    <col min="13567" max="13567" width="12.453125" style="1189" bestFit="1" customWidth="1"/>
    <col min="13568" max="13568" width="11" style="1189"/>
    <col min="13569" max="13569" width="36.81640625" style="1189" customWidth="1"/>
    <col min="13570" max="13570" width="11.453125" style="1189" customWidth="1"/>
    <col min="13571" max="13571" width="31.453125" style="1189" customWidth="1"/>
    <col min="13572" max="13572" width="9.81640625" style="1189" customWidth="1"/>
    <col min="13573" max="13573" width="11.54296875" style="1189" customWidth="1"/>
    <col min="13574" max="13574" width="16.54296875" style="1189" customWidth="1"/>
    <col min="13575" max="13575" width="14.54296875" style="1189" customWidth="1"/>
    <col min="13576" max="13576" width="14.54296875" style="1189" bestFit="1" customWidth="1"/>
    <col min="13577" max="13577" width="0" style="1189" hidden="1" customWidth="1"/>
    <col min="13578" max="13578" width="15.54296875" style="1189" customWidth="1"/>
    <col min="13579" max="13579" width="13.81640625" style="1189" bestFit="1" customWidth="1"/>
    <col min="13580" max="13580" width="0.81640625" style="1189" customWidth="1"/>
    <col min="13581" max="13581" width="13.54296875" style="1189" customWidth="1"/>
    <col min="13582" max="13582" width="14.453125" style="1189" customWidth="1"/>
    <col min="13583" max="13583" width="23.453125" style="1189" customWidth="1"/>
    <col min="13584" max="13584" width="19.1796875" style="1189" customWidth="1"/>
    <col min="13585" max="13585" width="15.81640625" style="1189" customWidth="1"/>
    <col min="13586" max="13587" width="20.1796875" style="1189" customWidth="1"/>
    <col min="13588" max="13588" width="17.453125" style="1189" customWidth="1"/>
    <col min="13589" max="13592" width="12.453125" style="1189" customWidth="1"/>
    <col min="13593" max="13593" width="11.453125" style="1189" customWidth="1"/>
    <col min="13594" max="13817" width="10.54296875" style="1189" customWidth="1"/>
    <col min="13818" max="13818" width="14.453125" style="1189" bestFit="1" customWidth="1"/>
    <col min="13819" max="13820" width="10.54296875" style="1189" customWidth="1"/>
    <col min="13821" max="13821" width="19.54296875" style="1189" bestFit="1" customWidth="1"/>
    <col min="13822" max="13822" width="26.54296875" style="1189" bestFit="1" customWidth="1"/>
    <col min="13823" max="13823" width="12.453125" style="1189" bestFit="1" customWidth="1"/>
    <col min="13824" max="13824" width="11" style="1189"/>
    <col min="13825" max="13825" width="36.81640625" style="1189" customWidth="1"/>
    <col min="13826" max="13826" width="11.453125" style="1189" customWidth="1"/>
    <col min="13827" max="13827" width="31.453125" style="1189" customWidth="1"/>
    <col min="13828" max="13828" width="9.81640625" style="1189" customWidth="1"/>
    <col min="13829" max="13829" width="11.54296875" style="1189" customWidth="1"/>
    <col min="13830" max="13830" width="16.54296875" style="1189" customWidth="1"/>
    <col min="13831" max="13831" width="14.54296875" style="1189" customWidth="1"/>
    <col min="13832" max="13832" width="14.54296875" style="1189" bestFit="1" customWidth="1"/>
    <col min="13833" max="13833" width="0" style="1189" hidden="1" customWidth="1"/>
    <col min="13834" max="13834" width="15.54296875" style="1189" customWidth="1"/>
    <col min="13835" max="13835" width="13.81640625" style="1189" bestFit="1" customWidth="1"/>
    <col min="13836" max="13836" width="0.81640625" style="1189" customWidth="1"/>
    <col min="13837" max="13837" width="13.54296875" style="1189" customWidth="1"/>
    <col min="13838" max="13838" width="14.453125" style="1189" customWidth="1"/>
    <col min="13839" max="13839" width="23.453125" style="1189" customWidth="1"/>
    <col min="13840" max="13840" width="19.1796875" style="1189" customWidth="1"/>
    <col min="13841" max="13841" width="15.81640625" style="1189" customWidth="1"/>
    <col min="13842" max="13843" width="20.1796875" style="1189" customWidth="1"/>
    <col min="13844" max="13844" width="17.453125" style="1189" customWidth="1"/>
    <col min="13845" max="13848" width="12.453125" style="1189" customWidth="1"/>
    <col min="13849" max="13849" width="11.453125" style="1189" customWidth="1"/>
    <col min="13850" max="14073" width="10.54296875" style="1189" customWidth="1"/>
    <col min="14074" max="14074" width="14.453125" style="1189" bestFit="1" customWidth="1"/>
    <col min="14075" max="14076" width="10.54296875" style="1189" customWidth="1"/>
    <col min="14077" max="14077" width="19.54296875" style="1189" bestFit="1" customWidth="1"/>
    <col min="14078" max="14078" width="26.54296875" style="1189" bestFit="1" customWidth="1"/>
    <col min="14079" max="14079" width="12.453125" style="1189" bestFit="1" customWidth="1"/>
    <col min="14080" max="14080" width="11" style="1189"/>
    <col min="14081" max="14081" width="36.81640625" style="1189" customWidth="1"/>
    <col min="14082" max="14082" width="11.453125" style="1189" customWidth="1"/>
    <col min="14083" max="14083" width="31.453125" style="1189" customWidth="1"/>
    <col min="14084" max="14084" width="9.81640625" style="1189" customWidth="1"/>
    <col min="14085" max="14085" width="11.54296875" style="1189" customWidth="1"/>
    <col min="14086" max="14086" width="16.54296875" style="1189" customWidth="1"/>
    <col min="14087" max="14087" width="14.54296875" style="1189" customWidth="1"/>
    <col min="14088" max="14088" width="14.54296875" style="1189" bestFit="1" customWidth="1"/>
    <col min="14089" max="14089" width="0" style="1189" hidden="1" customWidth="1"/>
    <col min="14090" max="14090" width="15.54296875" style="1189" customWidth="1"/>
    <col min="14091" max="14091" width="13.81640625" style="1189" bestFit="1" customWidth="1"/>
    <col min="14092" max="14092" width="0.81640625" style="1189" customWidth="1"/>
    <col min="14093" max="14093" width="13.54296875" style="1189" customWidth="1"/>
    <col min="14094" max="14094" width="14.453125" style="1189" customWidth="1"/>
    <col min="14095" max="14095" width="23.453125" style="1189" customWidth="1"/>
    <col min="14096" max="14096" width="19.1796875" style="1189" customWidth="1"/>
    <col min="14097" max="14097" width="15.81640625" style="1189" customWidth="1"/>
    <col min="14098" max="14099" width="20.1796875" style="1189" customWidth="1"/>
    <col min="14100" max="14100" width="17.453125" style="1189" customWidth="1"/>
    <col min="14101" max="14104" width="12.453125" style="1189" customWidth="1"/>
    <col min="14105" max="14105" width="11.453125" style="1189" customWidth="1"/>
    <col min="14106" max="14329" width="10.54296875" style="1189" customWidth="1"/>
    <col min="14330" max="14330" width="14.453125" style="1189" bestFit="1" customWidth="1"/>
    <col min="14331" max="14332" width="10.54296875" style="1189" customWidth="1"/>
    <col min="14333" max="14333" width="19.54296875" style="1189" bestFit="1" customWidth="1"/>
    <col min="14334" max="14334" width="26.54296875" style="1189" bestFit="1" customWidth="1"/>
    <col min="14335" max="14335" width="12.453125" style="1189" bestFit="1" customWidth="1"/>
    <col min="14336" max="14336" width="11" style="1189"/>
    <col min="14337" max="14337" width="36.81640625" style="1189" customWidth="1"/>
    <col min="14338" max="14338" width="11.453125" style="1189" customWidth="1"/>
    <col min="14339" max="14339" width="31.453125" style="1189" customWidth="1"/>
    <col min="14340" max="14340" width="9.81640625" style="1189" customWidth="1"/>
    <col min="14341" max="14341" width="11.54296875" style="1189" customWidth="1"/>
    <col min="14342" max="14342" width="16.54296875" style="1189" customWidth="1"/>
    <col min="14343" max="14343" width="14.54296875" style="1189" customWidth="1"/>
    <col min="14344" max="14344" width="14.54296875" style="1189" bestFit="1" customWidth="1"/>
    <col min="14345" max="14345" width="0" style="1189" hidden="1" customWidth="1"/>
    <col min="14346" max="14346" width="15.54296875" style="1189" customWidth="1"/>
    <col min="14347" max="14347" width="13.81640625" style="1189" bestFit="1" customWidth="1"/>
    <col min="14348" max="14348" width="0.81640625" style="1189" customWidth="1"/>
    <col min="14349" max="14349" width="13.54296875" style="1189" customWidth="1"/>
    <col min="14350" max="14350" width="14.453125" style="1189" customWidth="1"/>
    <col min="14351" max="14351" width="23.453125" style="1189" customWidth="1"/>
    <col min="14352" max="14352" width="19.1796875" style="1189" customWidth="1"/>
    <col min="14353" max="14353" width="15.81640625" style="1189" customWidth="1"/>
    <col min="14354" max="14355" width="20.1796875" style="1189" customWidth="1"/>
    <col min="14356" max="14356" width="17.453125" style="1189" customWidth="1"/>
    <col min="14357" max="14360" width="12.453125" style="1189" customWidth="1"/>
    <col min="14361" max="14361" width="11.453125" style="1189" customWidth="1"/>
    <col min="14362" max="14585" width="10.54296875" style="1189" customWidth="1"/>
    <col min="14586" max="14586" width="14.453125" style="1189" bestFit="1" customWidth="1"/>
    <col min="14587" max="14588" width="10.54296875" style="1189" customWidth="1"/>
    <col min="14589" max="14589" width="19.54296875" style="1189" bestFit="1" customWidth="1"/>
    <col min="14590" max="14590" width="26.54296875" style="1189" bestFit="1" customWidth="1"/>
    <col min="14591" max="14591" width="12.453125" style="1189" bestFit="1" customWidth="1"/>
    <col min="14592" max="14592" width="11" style="1189"/>
    <col min="14593" max="14593" width="36.81640625" style="1189" customWidth="1"/>
    <col min="14594" max="14594" width="11.453125" style="1189" customWidth="1"/>
    <col min="14595" max="14595" width="31.453125" style="1189" customWidth="1"/>
    <col min="14596" max="14596" width="9.81640625" style="1189" customWidth="1"/>
    <col min="14597" max="14597" width="11.54296875" style="1189" customWidth="1"/>
    <col min="14598" max="14598" width="16.54296875" style="1189" customWidth="1"/>
    <col min="14599" max="14599" width="14.54296875" style="1189" customWidth="1"/>
    <col min="14600" max="14600" width="14.54296875" style="1189" bestFit="1" customWidth="1"/>
    <col min="14601" max="14601" width="0" style="1189" hidden="1" customWidth="1"/>
    <col min="14602" max="14602" width="15.54296875" style="1189" customWidth="1"/>
    <col min="14603" max="14603" width="13.81640625" style="1189" bestFit="1" customWidth="1"/>
    <col min="14604" max="14604" width="0.81640625" style="1189" customWidth="1"/>
    <col min="14605" max="14605" width="13.54296875" style="1189" customWidth="1"/>
    <col min="14606" max="14606" width="14.453125" style="1189" customWidth="1"/>
    <col min="14607" max="14607" width="23.453125" style="1189" customWidth="1"/>
    <col min="14608" max="14608" width="19.1796875" style="1189" customWidth="1"/>
    <col min="14609" max="14609" width="15.81640625" style="1189" customWidth="1"/>
    <col min="14610" max="14611" width="20.1796875" style="1189" customWidth="1"/>
    <col min="14612" max="14612" width="17.453125" style="1189" customWidth="1"/>
    <col min="14613" max="14616" width="12.453125" style="1189" customWidth="1"/>
    <col min="14617" max="14617" width="11.453125" style="1189" customWidth="1"/>
    <col min="14618" max="14841" width="10.54296875" style="1189" customWidth="1"/>
    <col min="14842" max="14842" width="14.453125" style="1189" bestFit="1" customWidth="1"/>
    <col min="14843" max="14844" width="10.54296875" style="1189" customWidth="1"/>
    <col min="14845" max="14845" width="19.54296875" style="1189" bestFit="1" customWidth="1"/>
    <col min="14846" max="14846" width="26.54296875" style="1189" bestFit="1" customWidth="1"/>
    <col min="14847" max="14847" width="12.453125" style="1189" bestFit="1" customWidth="1"/>
    <col min="14848" max="14848" width="11" style="1189"/>
    <col min="14849" max="14849" width="36.81640625" style="1189" customWidth="1"/>
    <col min="14850" max="14850" width="11.453125" style="1189" customWidth="1"/>
    <col min="14851" max="14851" width="31.453125" style="1189" customWidth="1"/>
    <col min="14852" max="14852" width="9.81640625" style="1189" customWidth="1"/>
    <col min="14853" max="14853" width="11.54296875" style="1189" customWidth="1"/>
    <col min="14854" max="14854" width="16.54296875" style="1189" customWidth="1"/>
    <col min="14855" max="14855" width="14.54296875" style="1189" customWidth="1"/>
    <col min="14856" max="14856" width="14.54296875" style="1189" bestFit="1" customWidth="1"/>
    <col min="14857" max="14857" width="0" style="1189" hidden="1" customWidth="1"/>
    <col min="14858" max="14858" width="15.54296875" style="1189" customWidth="1"/>
    <col min="14859" max="14859" width="13.81640625" style="1189" bestFit="1" customWidth="1"/>
    <col min="14860" max="14860" width="0.81640625" style="1189" customWidth="1"/>
    <col min="14861" max="14861" width="13.54296875" style="1189" customWidth="1"/>
    <col min="14862" max="14862" width="14.453125" style="1189" customWidth="1"/>
    <col min="14863" max="14863" width="23.453125" style="1189" customWidth="1"/>
    <col min="14864" max="14864" width="19.1796875" style="1189" customWidth="1"/>
    <col min="14865" max="14865" width="15.81640625" style="1189" customWidth="1"/>
    <col min="14866" max="14867" width="20.1796875" style="1189" customWidth="1"/>
    <col min="14868" max="14868" width="17.453125" style="1189" customWidth="1"/>
    <col min="14869" max="14872" width="12.453125" style="1189" customWidth="1"/>
    <col min="14873" max="14873" width="11.453125" style="1189" customWidth="1"/>
    <col min="14874" max="15097" width="10.54296875" style="1189" customWidth="1"/>
    <col min="15098" max="15098" width="14.453125" style="1189" bestFit="1" customWidth="1"/>
    <col min="15099" max="15100" width="10.54296875" style="1189" customWidth="1"/>
    <col min="15101" max="15101" width="19.54296875" style="1189" bestFit="1" customWidth="1"/>
    <col min="15102" max="15102" width="26.54296875" style="1189" bestFit="1" customWidth="1"/>
    <col min="15103" max="15103" width="12.453125" style="1189" bestFit="1" customWidth="1"/>
    <col min="15104" max="15104" width="11" style="1189"/>
    <col min="15105" max="15105" width="36.81640625" style="1189" customWidth="1"/>
    <col min="15106" max="15106" width="11.453125" style="1189" customWidth="1"/>
    <col min="15107" max="15107" width="31.453125" style="1189" customWidth="1"/>
    <col min="15108" max="15108" width="9.81640625" style="1189" customWidth="1"/>
    <col min="15109" max="15109" width="11.54296875" style="1189" customWidth="1"/>
    <col min="15110" max="15110" width="16.54296875" style="1189" customWidth="1"/>
    <col min="15111" max="15111" width="14.54296875" style="1189" customWidth="1"/>
    <col min="15112" max="15112" width="14.54296875" style="1189" bestFit="1" customWidth="1"/>
    <col min="15113" max="15113" width="0" style="1189" hidden="1" customWidth="1"/>
    <col min="15114" max="15114" width="15.54296875" style="1189" customWidth="1"/>
    <col min="15115" max="15115" width="13.81640625" style="1189" bestFit="1" customWidth="1"/>
    <col min="15116" max="15116" width="0.81640625" style="1189" customWidth="1"/>
    <col min="15117" max="15117" width="13.54296875" style="1189" customWidth="1"/>
    <col min="15118" max="15118" width="14.453125" style="1189" customWidth="1"/>
    <col min="15119" max="15119" width="23.453125" style="1189" customWidth="1"/>
    <col min="15120" max="15120" width="19.1796875" style="1189" customWidth="1"/>
    <col min="15121" max="15121" width="15.81640625" style="1189" customWidth="1"/>
    <col min="15122" max="15123" width="20.1796875" style="1189" customWidth="1"/>
    <col min="15124" max="15124" width="17.453125" style="1189" customWidth="1"/>
    <col min="15125" max="15128" width="12.453125" style="1189" customWidth="1"/>
    <col min="15129" max="15129" width="11.453125" style="1189" customWidth="1"/>
    <col min="15130" max="15353" width="10.54296875" style="1189" customWidth="1"/>
    <col min="15354" max="15354" width="14.453125" style="1189" bestFit="1" customWidth="1"/>
    <col min="15355" max="15356" width="10.54296875" style="1189" customWidth="1"/>
    <col min="15357" max="15357" width="19.54296875" style="1189" bestFit="1" customWidth="1"/>
    <col min="15358" max="15358" width="26.54296875" style="1189" bestFit="1" customWidth="1"/>
    <col min="15359" max="15359" width="12.453125" style="1189" bestFit="1" customWidth="1"/>
    <col min="15360" max="15360" width="11" style="1189"/>
    <col min="15361" max="15361" width="36.81640625" style="1189" customWidth="1"/>
    <col min="15362" max="15362" width="11.453125" style="1189" customWidth="1"/>
    <col min="15363" max="15363" width="31.453125" style="1189" customWidth="1"/>
    <col min="15364" max="15364" width="9.81640625" style="1189" customWidth="1"/>
    <col min="15365" max="15365" width="11.54296875" style="1189" customWidth="1"/>
    <col min="15366" max="15366" width="16.54296875" style="1189" customWidth="1"/>
    <col min="15367" max="15367" width="14.54296875" style="1189" customWidth="1"/>
    <col min="15368" max="15368" width="14.54296875" style="1189" bestFit="1" customWidth="1"/>
    <col min="15369" max="15369" width="0" style="1189" hidden="1" customWidth="1"/>
    <col min="15370" max="15370" width="15.54296875" style="1189" customWidth="1"/>
    <col min="15371" max="15371" width="13.81640625" style="1189" bestFit="1" customWidth="1"/>
    <col min="15372" max="15372" width="0.81640625" style="1189" customWidth="1"/>
    <col min="15373" max="15373" width="13.54296875" style="1189" customWidth="1"/>
    <col min="15374" max="15374" width="14.453125" style="1189" customWidth="1"/>
    <col min="15375" max="15375" width="23.453125" style="1189" customWidth="1"/>
    <col min="15376" max="15376" width="19.1796875" style="1189" customWidth="1"/>
    <col min="15377" max="15377" width="15.81640625" style="1189" customWidth="1"/>
    <col min="15378" max="15379" width="20.1796875" style="1189" customWidth="1"/>
    <col min="15380" max="15380" width="17.453125" style="1189" customWidth="1"/>
    <col min="15381" max="15384" width="12.453125" style="1189" customWidth="1"/>
    <col min="15385" max="15385" width="11.453125" style="1189" customWidth="1"/>
    <col min="15386" max="15609" width="10.54296875" style="1189" customWidth="1"/>
    <col min="15610" max="15610" width="14.453125" style="1189" bestFit="1" customWidth="1"/>
    <col min="15611" max="15612" width="10.54296875" style="1189" customWidth="1"/>
    <col min="15613" max="15613" width="19.54296875" style="1189" bestFit="1" customWidth="1"/>
    <col min="15614" max="15614" width="26.54296875" style="1189" bestFit="1" customWidth="1"/>
    <col min="15615" max="15615" width="12.453125" style="1189" bestFit="1" customWidth="1"/>
    <col min="15616" max="15616" width="11" style="1189"/>
    <col min="15617" max="15617" width="36.81640625" style="1189" customWidth="1"/>
    <col min="15618" max="15618" width="11.453125" style="1189" customWidth="1"/>
    <col min="15619" max="15619" width="31.453125" style="1189" customWidth="1"/>
    <col min="15620" max="15620" width="9.81640625" style="1189" customWidth="1"/>
    <col min="15621" max="15621" width="11.54296875" style="1189" customWidth="1"/>
    <col min="15622" max="15622" width="16.54296875" style="1189" customWidth="1"/>
    <col min="15623" max="15623" width="14.54296875" style="1189" customWidth="1"/>
    <col min="15624" max="15624" width="14.54296875" style="1189" bestFit="1" customWidth="1"/>
    <col min="15625" max="15625" width="0" style="1189" hidden="1" customWidth="1"/>
    <col min="15626" max="15626" width="15.54296875" style="1189" customWidth="1"/>
    <col min="15627" max="15627" width="13.81640625" style="1189" bestFit="1" customWidth="1"/>
    <col min="15628" max="15628" width="0.81640625" style="1189" customWidth="1"/>
    <col min="15629" max="15629" width="13.54296875" style="1189" customWidth="1"/>
    <col min="15630" max="15630" width="14.453125" style="1189" customWidth="1"/>
    <col min="15631" max="15631" width="23.453125" style="1189" customWidth="1"/>
    <col min="15632" max="15632" width="19.1796875" style="1189" customWidth="1"/>
    <col min="15633" max="15633" width="15.81640625" style="1189" customWidth="1"/>
    <col min="15634" max="15635" width="20.1796875" style="1189" customWidth="1"/>
    <col min="15636" max="15636" width="17.453125" style="1189" customWidth="1"/>
    <col min="15637" max="15640" width="12.453125" style="1189" customWidth="1"/>
    <col min="15641" max="15641" width="11.453125" style="1189" customWidth="1"/>
    <col min="15642" max="15865" width="10.54296875" style="1189" customWidth="1"/>
    <col min="15866" max="15866" width="14.453125" style="1189" bestFit="1" customWidth="1"/>
    <col min="15867" max="15868" width="10.54296875" style="1189" customWidth="1"/>
    <col min="15869" max="15869" width="19.54296875" style="1189" bestFit="1" customWidth="1"/>
    <col min="15870" max="15870" width="26.54296875" style="1189" bestFit="1" customWidth="1"/>
    <col min="15871" max="15871" width="12.453125" style="1189" bestFit="1" customWidth="1"/>
    <col min="15872" max="15872" width="11" style="1189"/>
    <col min="15873" max="15873" width="36.81640625" style="1189" customWidth="1"/>
    <col min="15874" max="15874" width="11.453125" style="1189" customWidth="1"/>
    <col min="15875" max="15875" width="31.453125" style="1189" customWidth="1"/>
    <col min="15876" max="15876" width="9.81640625" style="1189" customWidth="1"/>
    <col min="15877" max="15877" width="11.54296875" style="1189" customWidth="1"/>
    <col min="15878" max="15878" width="16.54296875" style="1189" customWidth="1"/>
    <col min="15879" max="15879" width="14.54296875" style="1189" customWidth="1"/>
    <col min="15880" max="15880" width="14.54296875" style="1189" bestFit="1" customWidth="1"/>
    <col min="15881" max="15881" width="0" style="1189" hidden="1" customWidth="1"/>
    <col min="15882" max="15882" width="15.54296875" style="1189" customWidth="1"/>
    <col min="15883" max="15883" width="13.81640625" style="1189" bestFit="1" customWidth="1"/>
    <col min="15884" max="15884" width="0.81640625" style="1189" customWidth="1"/>
    <col min="15885" max="15885" width="13.54296875" style="1189" customWidth="1"/>
    <col min="15886" max="15886" width="14.453125" style="1189" customWidth="1"/>
    <col min="15887" max="15887" width="23.453125" style="1189" customWidth="1"/>
    <col min="15888" max="15888" width="19.1796875" style="1189" customWidth="1"/>
    <col min="15889" max="15889" width="15.81640625" style="1189" customWidth="1"/>
    <col min="15890" max="15891" width="20.1796875" style="1189" customWidth="1"/>
    <col min="15892" max="15892" width="17.453125" style="1189" customWidth="1"/>
    <col min="15893" max="15896" width="12.453125" style="1189" customWidth="1"/>
    <col min="15897" max="15897" width="11.453125" style="1189" customWidth="1"/>
    <col min="15898" max="16121" width="10.54296875" style="1189" customWidth="1"/>
    <col min="16122" max="16122" width="14.453125" style="1189" bestFit="1" customWidth="1"/>
    <col min="16123" max="16124" width="10.54296875" style="1189" customWidth="1"/>
    <col min="16125" max="16125" width="19.54296875" style="1189" bestFit="1" customWidth="1"/>
    <col min="16126" max="16126" width="26.54296875" style="1189" bestFit="1" customWidth="1"/>
    <col min="16127" max="16127" width="12.453125" style="1189" bestFit="1" customWidth="1"/>
    <col min="16128" max="16128" width="11" style="1189"/>
    <col min="16129" max="16129" width="36.81640625" style="1189" customWidth="1"/>
    <col min="16130" max="16130" width="11.453125" style="1189" customWidth="1"/>
    <col min="16131" max="16131" width="31.453125" style="1189" customWidth="1"/>
    <col min="16132" max="16132" width="9.81640625" style="1189" customWidth="1"/>
    <col min="16133" max="16133" width="11.54296875" style="1189" customWidth="1"/>
    <col min="16134" max="16134" width="16.54296875" style="1189" customWidth="1"/>
    <col min="16135" max="16135" width="14.54296875" style="1189" customWidth="1"/>
    <col min="16136" max="16136" width="14.54296875" style="1189" bestFit="1" customWidth="1"/>
    <col min="16137" max="16137" width="0" style="1189" hidden="1" customWidth="1"/>
    <col min="16138" max="16138" width="15.54296875" style="1189" customWidth="1"/>
    <col min="16139" max="16139" width="13.81640625" style="1189" bestFit="1" customWidth="1"/>
    <col min="16140" max="16140" width="0.81640625" style="1189" customWidth="1"/>
    <col min="16141" max="16141" width="13.54296875" style="1189" customWidth="1"/>
    <col min="16142" max="16142" width="14.453125" style="1189" customWidth="1"/>
    <col min="16143" max="16143" width="23.453125" style="1189" customWidth="1"/>
    <col min="16144" max="16144" width="19.1796875" style="1189" customWidth="1"/>
    <col min="16145" max="16145" width="15.81640625" style="1189" customWidth="1"/>
    <col min="16146" max="16147" width="20.1796875" style="1189" customWidth="1"/>
    <col min="16148" max="16148" width="17.453125" style="1189" customWidth="1"/>
    <col min="16149" max="16152" width="12.453125" style="1189" customWidth="1"/>
    <col min="16153" max="16153" width="11.453125" style="1189" customWidth="1"/>
    <col min="16154" max="16377" width="10.54296875" style="1189" customWidth="1"/>
    <col min="16378" max="16378" width="14.453125" style="1189" bestFit="1" customWidth="1"/>
    <col min="16379" max="16380" width="10.54296875" style="1189" customWidth="1"/>
    <col min="16381" max="16381" width="19.54296875" style="1189" bestFit="1" customWidth="1"/>
    <col min="16382" max="16382" width="26.54296875" style="1189" bestFit="1" customWidth="1"/>
    <col min="16383" max="16383" width="12.453125" style="1189" bestFit="1" customWidth="1"/>
    <col min="16384" max="16384" width="11" style="1189"/>
  </cols>
  <sheetData>
    <row r="1" spans="1:19" s="1169" customFormat="1" ht="15" customHeight="1">
      <c r="A1" s="1164" t="s">
        <v>450</v>
      </c>
      <c r="B1" s="1165">
        <v>0</v>
      </c>
      <c r="C1" s="1166"/>
      <c r="D1" s="1167"/>
      <c r="E1" s="1168"/>
      <c r="F1" s="1168"/>
      <c r="G1" s="1168"/>
      <c r="H1" s="1168"/>
      <c r="I1" s="1168"/>
      <c r="J1" s="1168"/>
      <c r="K1" s="1167"/>
      <c r="L1" s="1167"/>
      <c r="M1" s="1167"/>
      <c r="N1" s="1167"/>
      <c r="O1" s="1168">
        <f>Ensayos</f>
        <v>2801443.463906744</v>
      </c>
      <c r="P1" s="1169">
        <f>SUM(TotalEns)</f>
        <v>2801443.463906744</v>
      </c>
      <c r="Q1" s="1170"/>
      <c r="R1" s="1171"/>
      <c r="S1" s="1171"/>
    </row>
    <row r="2" spans="1:19">
      <c r="A2" s="1172"/>
      <c r="B2" s="1173">
        <v>20</v>
      </c>
      <c r="C2" s="1174" t="s">
        <v>451</v>
      </c>
      <c r="D2" s="1175"/>
      <c r="E2" s="1176"/>
      <c r="F2" s="1176"/>
      <c r="G2" s="1177"/>
      <c r="H2" s="1177"/>
      <c r="I2" s="1177"/>
      <c r="J2" s="1178">
        <f t="shared" ref="J2:J21" si="0">VLOOKUP(C2,$A$26:$B$46,2,0)</f>
        <v>9717.1040812919036</v>
      </c>
      <c r="K2" s="1179"/>
      <c r="L2" s="1179"/>
      <c r="M2" s="1179"/>
      <c r="N2" s="1179"/>
      <c r="O2" s="1177">
        <f t="shared" ref="O2:O21" si="1">+J2*B2</f>
        <v>194342.08162583807</v>
      </c>
    </row>
    <row r="3" spans="1:19">
      <c r="B3" s="1173">
        <v>4</v>
      </c>
      <c r="C3" s="1182" t="s">
        <v>452</v>
      </c>
      <c r="D3" s="1183"/>
      <c r="E3" s="1184"/>
      <c r="F3" s="1184"/>
      <c r="G3" s="1184"/>
      <c r="H3" s="1184"/>
      <c r="I3" s="1184"/>
      <c r="J3" s="1185">
        <f t="shared" si="0"/>
        <v>124178.11699343623</v>
      </c>
      <c r="K3" s="1186"/>
      <c r="L3" s="1186"/>
      <c r="M3" s="1186"/>
      <c r="N3" s="1186"/>
      <c r="O3" s="1184">
        <f t="shared" si="1"/>
        <v>496712.4679737449</v>
      </c>
    </row>
    <row r="4" spans="1:19">
      <c r="B4" s="1173">
        <v>4</v>
      </c>
      <c r="C4" s="1182" t="s">
        <v>453</v>
      </c>
      <c r="D4" s="1183"/>
      <c r="E4" s="1184"/>
      <c r="F4" s="1184"/>
      <c r="G4" s="1184"/>
      <c r="H4" s="1184"/>
      <c r="I4" s="1184"/>
      <c r="J4" s="1185">
        <f t="shared" si="0"/>
        <v>105280.88733042419</v>
      </c>
      <c r="K4" s="1186"/>
      <c r="L4" s="1186"/>
      <c r="M4" s="1186"/>
      <c r="N4" s="1186"/>
      <c r="O4" s="1184">
        <f t="shared" si="1"/>
        <v>421123.54932169674</v>
      </c>
    </row>
    <row r="5" spans="1:19">
      <c r="B5" s="1173">
        <v>0</v>
      </c>
      <c r="C5" s="1182" t="s">
        <v>454</v>
      </c>
      <c r="D5" s="1183"/>
      <c r="E5" s="1184"/>
      <c r="F5" s="1184"/>
      <c r="G5" s="1184"/>
      <c r="H5" s="1184"/>
      <c r="I5" s="1184"/>
      <c r="J5" s="1185">
        <f t="shared" si="0"/>
        <v>224061.6348161785</v>
      </c>
      <c r="K5" s="1186"/>
      <c r="L5" s="1186"/>
      <c r="M5" s="1186"/>
      <c r="N5" s="1186"/>
      <c r="O5" s="1184">
        <f t="shared" si="1"/>
        <v>0</v>
      </c>
    </row>
    <row r="6" spans="1:19">
      <c r="B6" s="1173">
        <v>4</v>
      </c>
      <c r="C6" s="1182" t="s">
        <v>455</v>
      </c>
      <c r="D6" s="1183"/>
      <c r="E6" s="1184"/>
      <c r="F6" s="1184"/>
      <c r="G6" s="1184"/>
      <c r="H6" s="1184"/>
      <c r="I6" s="1184"/>
      <c r="J6" s="1185">
        <f t="shared" si="0"/>
        <v>64788.662734291247</v>
      </c>
      <c r="K6" s="1186"/>
      <c r="L6" s="1186"/>
      <c r="M6" s="1186"/>
      <c r="N6" s="1186"/>
      <c r="O6" s="1184">
        <f t="shared" si="1"/>
        <v>259154.65093716499</v>
      </c>
    </row>
    <row r="7" spans="1:19">
      <c r="B7" s="1173">
        <v>4</v>
      </c>
      <c r="C7" s="1182" t="s">
        <v>456</v>
      </c>
      <c r="D7" s="1183"/>
      <c r="E7" s="1184"/>
      <c r="F7" s="1184"/>
      <c r="G7" s="1184"/>
      <c r="H7" s="1184"/>
      <c r="I7" s="1184"/>
      <c r="J7" s="1185">
        <f t="shared" si="0"/>
        <v>80986.288159730131</v>
      </c>
      <c r="K7" s="1186"/>
      <c r="L7" s="1186"/>
      <c r="M7" s="1186"/>
      <c r="N7" s="1186"/>
      <c r="O7" s="1184">
        <f t="shared" si="1"/>
        <v>323945.15263892052</v>
      </c>
    </row>
    <row r="8" spans="1:19">
      <c r="B8" s="1173">
        <v>1</v>
      </c>
      <c r="C8" s="1182" t="s">
        <v>457</v>
      </c>
      <c r="D8" s="1183">
        <v>3</v>
      </c>
      <c r="E8" s="1184"/>
      <c r="F8" s="1184"/>
      <c r="G8" s="1184"/>
      <c r="H8" s="1184"/>
      <c r="I8" s="1184"/>
      <c r="J8" s="1185">
        <f t="shared" si="0"/>
        <v>863851.28841383581</v>
      </c>
      <c r="K8" s="1186"/>
      <c r="L8" s="1186"/>
      <c r="M8" s="1186"/>
      <c r="N8" s="1186"/>
      <c r="O8" s="1184">
        <f t="shared" si="1"/>
        <v>863851.28841383581</v>
      </c>
    </row>
    <row r="9" spans="1:19" outlineLevel="1">
      <c r="B9" s="1173">
        <v>0</v>
      </c>
      <c r="C9" s="1182" t="s">
        <v>458</v>
      </c>
      <c r="D9" s="1183"/>
      <c r="E9" s="1184"/>
      <c r="F9" s="1184"/>
      <c r="G9" s="1184"/>
      <c r="H9" s="1184"/>
      <c r="I9" s="1184"/>
      <c r="J9" s="1185">
        <f t="shared" si="0"/>
        <v>243472.40591261195</v>
      </c>
      <c r="K9" s="1186"/>
      <c r="L9" s="1186"/>
      <c r="M9" s="1186"/>
      <c r="N9" s="1186"/>
      <c r="O9" s="1184">
        <f t="shared" si="1"/>
        <v>0</v>
      </c>
    </row>
    <row r="10" spans="1:19" outlineLevel="1">
      <c r="B10" s="1173">
        <v>4</v>
      </c>
      <c r="C10" s="1182" t="s">
        <v>459</v>
      </c>
      <c r="D10" s="1183"/>
      <c r="E10" s="1184"/>
      <c r="F10" s="1184"/>
      <c r="G10" s="1184"/>
      <c r="H10" s="1184"/>
      <c r="I10" s="1184"/>
      <c r="J10" s="1185">
        <f t="shared" si="0"/>
        <v>60578.568248885633</v>
      </c>
      <c r="K10" s="1186"/>
      <c r="L10" s="1186"/>
      <c r="M10" s="1186"/>
      <c r="N10" s="1186"/>
      <c r="O10" s="1184">
        <f t="shared" si="1"/>
        <v>242314.27299554253</v>
      </c>
    </row>
    <row r="11" spans="1:19" outlineLevel="1">
      <c r="B11" s="1173">
        <v>0</v>
      </c>
      <c r="C11" s="1182" t="s">
        <v>460</v>
      </c>
      <c r="D11" s="1183"/>
      <c r="E11" s="1184"/>
      <c r="F11" s="1184"/>
      <c r="G11" s="1184"/>
      <c r="H11" s="1184"/>
      <c r="I11" s="1184"/>
      <c r="J11" s="1185">
        <f t="shared" si="0"/>
        <v>140375.74241887516</v>
      </c>
      <c r="K11" s="1186"/>
      <c r="L11" s="1186"/>
      <c r="M11" s="1186"/>
      <c r="N11" s="1186"/>
      <c r="O11" s="1184">
        <f t="shared" si="1"/>
        <v>0</v>
      </c>
    </row>
    <row r="12" spans="1:19" outlineLevel="1">
      <c r="B12" s="1187">
        <v>0</v>
      </c>
      <c r="C12" s="1182" t="s">
        <v>461</v>
      </c>
      <c r="D12" s="1183"/>
      <c r="E12" s="1184"/>
      <c r="F12" s="1184"/>
      <c r="G12" s="1184"/>
      <c r="H12" s="1184"/>
      <c r="I12" s="1184"/>
      <c r="J12" s="1185">
        <f t="shared" si="0"/>
        <v>114301.02274275137</v>
      </c>
      <c r="K12" s="1186"/>
      <c r="L12" s="1186"/>
      <c r="M12" s="1186"/>
      <c r="N12" s="1186"/>
      <c r="O12" s="1184">
        <f t="shared" si="1"/>
        <v>0</v>
      </c>
    </row>
    <row r="13" spans="1:19" outlineLevel="1">
      <c r="B13" s="1187">
        <v>0</v>
      </c>
      <c r="C13" s="1182" t="s">
        <v>462</v>
      </c>
      <c r="D13" s="1183"/>
      <c r="E13" s="1184"/>
      <c r="F13" s="1184"/>
      <c r="G13" s="1184"/>
      <c r="H13" s="1184"/>
      <c r="I13" s="1184"/>
      <c r="J13" s="1185">
        <f t="shared" si="0"/>
        <v>26749.620735517034</v>
      </c>
      <c r="K13" s="1186"/>
      <c r="L13" s="1186"/>
      <c r="M13" s="1186"/>
      <c r="N13" s="1186"/>
      <c r="O13" s="1184">
        <f t="shared" si="1"/>
        <v>0</v>
      </c>
    </row>
    <row r="14" spans="1:19" outlineLevel="1">
      <c r="B14" s="1187">
        <v>0</v>
      </c>
      <c r="C14" s="1182" t="s">
        <v>463</v>
      </c>
      <c r="D14" s="1183"/>
      <c r="E14" s="1184"/>
      <c r="F14" s="1184"/>
      <c r="G14" s="1184"/>
      <c r="H14" s="1184"/>
      <c r="I14" s="1184"/>
      <c r="J14" s="1185">
        <f t="shared" si="0"/>
        <v>350939.35604718782</v>
      </c>
      <c r="K14" s="1186"/>
      <c r="L14" s="1186"/>
      <c r="M14" s="1186"/>
      <c r="N14" s="1186"/>
      <c r="O14" s="1184">
        <f t="shared" si="1"/>
        <v>0</v>
      </c>
      <c r="Q14" s="1188"/>
    </row>
    <row r="15" spans="1:19" outlineLevel="1">
      <c r="B15" s="1187">
        <v>0</v>
      </c>
      <c r="C15" s="1182" t="s">
        <v>464</v>
      </c>
      <c r="D15" s="1183"/>
      <c r="E15" s="1184"/>
      <c r="F15" s="1184"/>
      <c r="G15" s="1184"/>
      <c r="H15" s="1184"/>
      <c r="I15" s="1184"/>
      <c r="J15" s="1185">
        <f t="shared" si="0"/>
        <v>1106085.0677435207</v>
      </c>
      <c r="K15" s="1186"/>
      <c r="L15" s="1186"/>
      <c r="M15" s="1186"/>
      <c r="N15" s="1186"/>
      <c r="O15" s="1184">
        <f t="shared" si="1"/>
        <v>0</v>
      </c>
    </row>
    <row r="16" spans="1:19" outlineLevel="1">
      <c r="B16" s="1187">
        <v>0</v>
      </c>
      <c r="C16" s="1182" t="s">
        <v>460</v>
      </c>
      <c r="D16" s="1183"/>
      <c r="E16" s="1184"/>
      <c r="F16" s="1184"/>
      <c r="G16" s="1184"/>
      <c r="H16" s="1184"/>
      <c r="I16" s="1184"/>
      <c r="J16" s="1185">
        <f t="shared" si="0"/>
        <v>140375.74241887516</v>
      </c>
      <c r="K16" s="1186"/>
      <c r="L16" s="1186"/>
      <c r="M16" s="1186"/>
      <c r="N16" s="1186"/>
      <c r="O16" s="1184">
        <f t="shared" si="1"/>
        <v>0</v>
      </c>
    </row>
    <row r="17" spans="1:256" outlineLevel="1">
      <c r="B17" s="1187">
        <v>0</v>
      </c>
      <c r="C17" s="1182" t="s">
        <v>460</v>
      </c>
      <c r="D17" s="1183"/>
      <c r="E17" s="1184"/>
      <c r="F17" s="1184"/>
      <c r="G17" s="1184"/>
      <c r="H17" s="1184"/>
      <c r="I17" s="1184"/>
      <c r="J17" s="1185">
        <f t="shared" si="0"/>
        <v>140375.74241887516</v>
      </c>
      <c r="K17" s="1186"/>
      <c r="L17" s="1186"/>
      <c r="M17" s="1186"/>
      <c r="N17" s="1186"/>
      <c r="O17" s="1184">
        <f t="shared" si="1"/>
        <v>0</v>
      </c>
    </row>
    <row r="18" spans="1:256" outlineLevel="1">
      <c r="B18" s="1187">
        <v>0</v>
      </c>
      <c r="C18" s="1182" t="s">
        <v>465</v>
      </c>
      <c r="D18" s="1183"/>
      <c r="E18" s="1184"/>
      <c r="F18" s="1184"/>
      <c r="G18" s="1184"/>
      <c r="H18" s="1184"/>
      <c r="I18" s="1184"/>
      <c r="J18" s="1185">
        <f t="shared" si="0"/>
        <v>632295.86118068849</v>
      </c>
      <c r="K18" s="1186"/>
      <c r="L18" s="1186"/>
      <c r="M18" s="1186"/>
      <c r="N18" s="1186"/>
      <c r="O18" s="1184">
        <f t="shared" si="1"/>
        <v>0</v>
      </c>
    </row>
    <row r="19" spans="1:256" outlineLevel="1">
      <c r="B19" s="1187">
        <v>0</v>
      </c>
      <c r="C19" s="1182" t="s">
        <v>461</v>
      </c>
      <c r="D19" s="1183"/>
      <c r="E19" s="1184"/>
      <c r="F19" s="1184"/>
      <c r="G19" s="1184"/>
      <c r="H19" s="1184"/>
      <c r="I19" s="1184"/>
      <c r="J19" s="1185">
        <f t="shared" si="0"/>
        <v>114301.02274275137</v>
      </c>
      <c r="K19" s="1186"/>
      <c r="L19" s="1186"/>
      <c r="M19" s="1186"/>
      <c r="N19" s="1186"/>
      <c r="O19" s="1184">
        <f t="shared" si="1"/>
        <v>0</v>
      </c>
    </row>
    <row r="20" spans="1:256" outlineLevel="1">
      <c r="B20" s="1187">
        <v>0</v>
      </c>
      <c r="C20" s="1182" t="s">
        <v>462</v>
      </c>
      <c r="D20" s="1183"/>
      <c r="E20" s="1184"/>
      <c r="F20" s="1184"/>
      <c r="G20" s="1184"/>
      <c r="H20" s="1184"/>
      <c r="I20" s="1184"/>
      <c r="J20" s="1185">
        <f t="shared" si="0"/>
        <v>26749.620735517034</v>
      </c>
      <c r="K20" s="1186"/>
      <c r="L20" s="1186"/>
      <c r="M20" s="1186"/>
      <c r="N20" s="1186"/>
      <c r="O20" s="1184">
        <f t="shared" si="1"/>
        <v>0</v>
      </c>
    </row>
    <row r="21" spans="1:256" outlineLevel="1">
      <c r="B21" s="1187">
        <v>0</v>
      </c>
      <c r="C21" s="1182" t="s">
        <v>460</v>
      </c>
      <c r="D21" s="1183"/>
      <c r="E21" s="1184"/>
      <c r="F21" s="1184"/>
      <c r="G21" s="1184"/>
      <c r="H21" s="1184"/>
      <c r="I21" s="1184"/>
      <c r="J21" s="1185">
        <f t="shared" si="0"/>
        <v>140375.74241887516</v>
      </c>
      <c r="K21" s="1186"/>
      <c r="L21" s="1186"/>
      <c r="M21" s="1186"/>
      <c r="N21" s="1186"/>
      <c r="O21" s="1184">
        <f t="shared" si="1"/>
        <v>0</v>
      </c>
    </row>
    <row r="22" spans="1:256" outlineLevel="1">
      <c r="B22" s="1190"/>
      <c r="C22" s="1191"/>
      <c r="D22" s="1192"/>
      <c r="E22" s="1193"/>
      <c r="F22" s="1194"/>
      <c r="G22" s="1194"/>
      <c r="H22" s="1194"/>
      <c r="I22" s="1194"/>
      <c r="J22" s="1195"/>
      <c r="K22" s="1172"/>
      <c r="L22" s="1172"/>
      <c r="M22" s="1172"/>
      <c r="N22" s="1172"/>
      <c r="O22" s="1195"/>
    </row>
    <row r="23" spans="1:256">
      <c r="B23" s="1196">
        <v>0</v>
      </c>
      <c r="D23" s="1197"/>
      <c r="F23" s="1195"/>
      <c r="J23" s="1196" t="s">
        <v>466</v>
      </c>
    </row>
    <row r="24" spans="1:256">
      <c r="B24" s="1198"/>
      <c r="C24" s="1189"/>
      <c r="D24" s="1189"/>
      <c r="H24" s="1199"/>
      <c r="M24" s="1200"/>
      <c r="N24" s="1200"/>
      <c r="O24" s="1200"/>
      <c r="P24" s="1200"/>
      <c r="Q24" s="1200"/>
    </row>
    <row r="25" spans="1:256">
      <c r="A25" s="1201" t="s">
        <v>467</v>
      </c>
      <c r="B25" s="1202"/>
      <c r="C25" s="1203" t="s">
        <v>468</v>
      </c>
      <c r="D25" s="1189"/>
      <c r="E25" s="1204" t="s">
        <v>469</v>
      </c>
      <c r="F25" s="1205" t="s">
        <v>470</v>
      </c>
      <c r="H25" s="1204" t="s">
        <v>471</v>
      </c>
      <c r="J25" s="1206" t="s">
        <v>472</v>
      </c>
      <c r="K25" s="1206" t="s">
        <v>473</v>
      </c>
      <c r="M25" s="1207" t="s">
        <v>474</v>
      </c>
      <c r="N25" s="1207" t="s">
        <v>475</v>
      </c>
      <c r="O25" s="1207" t="s">
        <v>476</v>
      </c>
      <c r="P25" s="1207" t="s">
        <v>477</v>
      </c>
      <c r="Q25" s="1207" t="s">
        <v>478</v>
      </c>
      <c r="R25" s="1207" t="s">
        <v>479</v>
      </c>
      <c r="S25" s="1207" t="s">
        <v>480</v>
      </c>
      <c r="T25" s="1207" t="s">
        <v>481</v>
      </c>
      <c r="U25" s="1207" t="s">
        <v>482</v>
      </c>
      <c r="V25" s="1207" t="s">
        <v>483</v>
      </c>
      <c r="W25" s="1207" t="s">
        <v>484</v>
      </c>
      <c r="X25" s="1207" t="s">
        <v>485</v>
      </c>
      <c r="IU25" s="1180"/>
      <c r="IV25" s="1180"/>
    </row>
    <row r="26" spans="1:256">
      <c r="A26" s="1208" t="s">
        <v>454</v>
      </c>
      <c r="B26" s="1198">
        <f>+X26</f>
        <v>224061.6348161785</v>
      </c>
      <c r="D26" s="1189"/>
      <c r="E26" s="1209">
        <v>96280</v>
      </c>
      <c r="F26" s="1189">
        <f>ROUND(E26*1.138,0)</f>
        <v>109567</v>
      </c>
      <c r="G26" s="1189">
        <v>113555.23879999999</v>
      </c>
      <c r="H26" s="1209">
        <v>117155</v>
      </c>
      <c r="J26" s="1189">
        <v>121841</v>
      </c>
      <c r="K26" s="1189">
        <v>125496.23000000001</v>
      </c>
      <c r="M26" s="1210">
        <f>+K26*1.026</f>
        <v>128759.13198000002</v>
      </c>
      <c r="N26" s="1210">
        <f>+M26*1.026</f>
        <v>132106.86941148003</v>
      </c>
      <c r="O26" s="1210">
        <f>+N26*1.026</f>
        <v>135541.64801617851</v>
      </c>
      <c r="P26" s="1210">
        <f>+O26*1.05</f>
        <v>142318.73041698744</v>
      </c>
      <c r="Q26" s="1210">
        <f>+P26*1.05</f>
        <v>149434.66693783682</v>
      </c>
      <c r="R26" s="1210">
        <f t="shared" ref="R26:R43" si="2">+Q26*1.035</f>
        <v>154664.88028066111</v>
      </c>
      <c r="S26" s="1210">
        <f t="shared" ref="S26:S45" si="3">+R26*1.038</f>
        <v>160542.14573132622</v>
      </c>
      <c r="T26" s="1210">
        <f t="shared" ref="T26:T45" si="4">+S26*1.0161</f>
        <v>163126.87427760058</v>
      </c>
      <c r="U26" s="1210">
        <f t="shared" ref="U26:U45" si="5">+T26*1.0562</f>
        <v>172294.60461200174</v>
      </c>
      <c r="V26" s="1210">
        <f>+U26*1.1312</f>
        <v>194899.65673709637</v>
      </c>
      <c r="W26" s="1210">
        <f t="shared" ref="W26:W45" si="6">+V26*1.0928</f>
        <v>212986.34488229893</v>
      </c>
      <c r="X26" s="1210">
        <f t="shared" ref="X26:X45" si="7">+W26*1.052</f>
        <v>224061.6348161785</v>
      </c>
      <c r="IU26" s="1180"/>
      <c r="IV26" s="1180"/>
    </row>
    <row r="27" spans="1:256">
      <c r="A27" s="1208" t="s">
        <v>460</v>
      </c>
      <c r="B27" s="1198">
        <f t="shared" ref="B27:B45" si="8">+X27</f>
        <v>140375.74241887516</v>
      </c>
      <c r="C27" s="1189"/>
      <c r="D27" s="1189"/>
      <c r="E27" s="1209">
        <v>60320</v>
      </c>
      <c r="F27" s="1189">
        <f t="shared" ref="F27:F45" si="9">ROUND(E27*1.138,0)</f>
        <v>68644</v>
      </c>
      <c r="G27" s="1189">
        <v>71142.641600000003</v>
      </c>
      <c r="H27" s="1209">
        <v>73398</v>
      </c>
      <c r="J27" s="1189">
        <v>76334</v>
      </c>
      <c r="K27" s="1189">
        <v>78624.02</v>
      </c>
      <c r="M27" s="1210">
        <f t="shared" ref="M27:M45" si="10">+K27*1.026</f>
        <v>80668.244520000007</v>
      </c>
      <c r="N27" s="1210">
        <f t="shared" ref="N27:O45" si="11">+M27*1.026</f>
        <v>82765.618877520013</v>
      </c>
      <c r="O27" s="1210">
        <f t="shared" si="11"/>
        <v>84917.524968335536</v>
      </c>
      <c r="P27" s="1210">
        <f t="shared" ref="P27:Q45" si="12">+O27*1.05</f>
        <v>89163.401216752318</v>
      </c>
      <c r="Q27" s="1210">
        <f t="shared" si="12"/>
        <v>93621.571277589945</v>
      </c>
      <c r="R27" s="1210">
        <f t="shared" si="2"/>
        <v>96898.326272305581</v>
      </c>
      <c r="S27" s="1210">
        <f t="shared" si="3"/>
        <v>100580.4626706532</v>
      </c>
      <c r="T27" s="1210">
        <f t="shared" si="4"/>
        <v>102199.80811965071</v>
      </c>
      <c r="U27" s="1210">
        <f t="shared" si="5"/>
        <v>107943.43733597509</v>
      </c>
      <c r="V27" s="1210">
        <f t="shared" ref="V27:V45" si="13">+U27*1.1312</f>
        <v>122105.61631445502</v>
      </c>
      <c r="W27" s="1210">
        <f t="shared" si="6"/>
        <v>133437.01750843646</v>
      </c>
      <c r="X27" s="1210">
        <f t="shared" si="7"/>
        <v>140375.74241887516</v>
      </c>
      <c r="IU27" s="1180"/>
      <c r="IV27" s="1180"/>
    </row>
    <row r="28" spans="1:256">
      <c r="A28" s="1208" t="s">
        <v>451</v>
      </c>
      <c r="B28" s="1198">
        <f t="shared" si="8"/>
        <v>9717.1040812919036</v>
      </c>
      <c r="C28" s="1189"/>
      <c r="D28" s="1189"/>
      <c r="E28" s="1209">
        <v>4176</v>
      </c>
      <c r="F28" s="1189">
        <f t="shared" si="9"/>
        <v>4752</v>
      </c>
      <c r="G28" s="1189">
        <v>4924.9727999999996</v>
      </c>
      <c r="H28" s="1209">
        <v>5081</v>
      </c>
      <c r="J28" s="1189">
        <v>5284</v>
      </c>
      <c r="K28" s="1189">
        <v>5442.52</v>
      </c>
      <c r="M28" s="1210">
        <f t="shared" si="10"/>
        <v>5584.0255200000001</v>
      </c>
      <c r="N28" s="1210">
        <f t="shared" si="11"/>
        <v>5729.2101835200001</v>
      </c>
      <c r="O28" s="1210">
        <f t="shared" si="11"/>
        <v>5878.1696482915204</v>
      </c>
      <c r="P28" s="1210">
        <f t="shared" si="12"/>
        <v>6172.078130706097</v>
      </c>
      <c r="Q28" s="1210">
        <f t="shared" si="12"/>
        <v>6480.6820372414022</v>
      </c>
      <c r="R28" s="1210">
        <f t="shared" si="2"/>
        <v>6707.5059085448511</v>
      </c>
      <c r="S28" s="1210">
        <f t="shared" si="3"/>
        <v>6962.3911330695555</v>
      </c>
      <c r="T28" s="1210">
        <f t="shared" si="4"/>
        <v>7074.485630311975</v>
      </c>
      <c r="U28" s="1210">
        <f t="shared" si="5"/>
        <v>7472.071722735508</v>
      </c>
      <c r="V28" s="1210">
        <f t="shared" si="13"/>
        <v>8452.4075327584069</v>
      </c>
      <c r="W28" s="1210">
        <f t="shared" si="6"/>
        <v>9236.7909517983862</v>
      </c>
      <c r="X28" s="1210">
        <f t="shared" si="7"/>
        <v>9717.1040812919036</v>
      </c>
      <c r="IU28" s="1180"/>
      <c r="IV28" s="1180"/>
    </row>
    <row r="29" spans="1:256">
      <c r="A29" s="1208" t="s">
        <v>457</v>
      </c>
      <c r="B29" s="1198">
        <f t="shared" si="8"/>
        <v>863851.28841383581</v>
      </c>
      <c r="C29" s="1189"/>
      <c r="D29" s="1189"/>
      <c r="E29" s="1209">
        <v>371200</v>
      </c>
      <c r="F29" s="1189">
        <f t="shared" si="9"/>
        <v>422426</v>
      </c>
      <c r="G29" s="1189">
        <v>437802.3064</v>
      </c>
      <c r="H29" s="1209">
        <v>451681</v>
      </c>
      <c r="J29" s="1189">
        <v>469748</v>
      </c>
      <c r="K29" s="1189">
        <v>483840.44</v>
      </c>
      <c r="M29" s="1210">
        <f t="shared" si="10"/>
        <v>496420.29144</v>
      </c>
      <c r="N29" s="1210">
        <f t="shared" si="11"/>
        <v>509327.21901743999</v>
      </c>
      <c r="O29" s="1210">
        <f t="shared" si="11"/>
        <v>522569.72671189345</v>
      </c>
      <c r="P29" s="1210">
        <f t="shared" si="12"/>
        <v>548698.21304748813</v>
      </c>
      <c r="Q29" s="1210">
        <f t="shared" si="12"/>
        <v>576133.12369986251</v>
      </c>
      <c r="R29" s="1210">
        <f t="shared" si="2"/>
        <v>596297.78302935767</v>
      </c>
      <c r="S29" s="1210">
        <f t="shared" si="3"/>
        <v>618957.09878447326</v>
      </c>
      <c r="T29" s="1210">
        <f t="shared" si="4"/>
        <v>628922.30807490333</v>
      </c>
      <c r="U29" s="1210">
        <f t="shared" si="5"/>
        <v>664267.74178871291</v>
      </c>
      <c r="V29" s="1210">
        <f t="shared" si="13"/>
        <v>751419.66951139201</v>
      </c>
      <c r="W29" s="1210">
        <f t="shared" si="6"/>
        <v>821151.41484204924</v>
      </c>
      <c r="X29" s="1210">
        <f t="shared" si="7"/>
        <v>863851.28841383581</v>
      </c>
      <c r="IU29" s="1180"/>
      <c r="IV29" s="1180"/>
    </row>
    <row r="30" spans="1:256">
      <c r="A30" s="1208" t="s">
        <v>486</v>
      </c>
      <c r="B30" s="1198">
        <f t="shared" si="8"/>
        <v>45891.433071279236</v>
      </c>
      <c r="C30" s="1189"/>
      <c r="D30" s="1189"/>
      <c r="E30" s="1209">
        <v>19720</v>
      </c>
      <c r="F30" s="1189">
        <f t="shared" si="9"/>
        <v>22441</v>
      </c>
      <c r="G30" s="1189">
        <v>23257.8524</v>
      </c>
      <c r="H30" s="1209">
        <v>23995</v>
      </c>
      <c r="J30" s="1189">
        <v>24955</v>
      </c>
      <c r="K30" s="1189">
        <v>25703.65</v>
      </c>
      <c r="M30" s="1210">
        <f t="shared" si="10"/>
        <v>26371.944900000002</v>
      </c>
      <c r="N30" s="1210">
        <f t="shared" si="11"/>
        <v>27057.615467400003</v>
      </c>
      <c r="O30" s="1210">
        <f t="shared" si="11"/>
        <v>27761.113469552405</v>
      </c>
      <c r="P30" s="1210">
        <f t="shared" si="12"/>
        <v>29149.169143030027</v>
      </c>
      <c r="Q30" s="1210">
        <f t="shared" si="12"/>
        <v>30606.627600181531</v>
      </c>
      <c r="R30" s="1210">
        <f t="shared" si="2"/>
        <v>31677.859566187883</v>
      </c>
      <c r="S30" s="1210">
        <f t="shared" si="3"/>
        <v>32881.618229703025</v>
      </c>
      <c r="T30" s="1210">
        <f t="shared" si="4"/>
        <v>33411.012283201242</v>
      </c>
      <c r="U30" s="1210">
        <f t="shared" si="5"/>
        <v>35288.711173517149</v>
      </c>
      <c r="V30" s="1210">
        <f t="shared" si="13"/>
        <v>39918.590079482601</v>
      </c>
      <c r="W30" s="1210">
        <f t="shared" si="6"/>
        <v>43623.035238858589</v>
      </c>
      <c r="X30" s="1210">
        <f t="shared" si="7"/>
        <v>45891.433071279236</v>
      </c>
      <c r="IU30" s="1180"/>
      <c r="IV30" s="1180"/>
    </row>
    <row r="31" spans="1:256">
      <c r="A31" s="1208" t="s">
        <v>487</v>
      </c>
      <c r="B31" s="1198">
        <f t="shared" si="8"/>
        <v>56691.688989036105</v>
      </c>
      <c r="C31" s="1189"/>
      <c r="D31" s="1189"/>
      <c r="E31" s="1209">
        <v>24360</v>
      </c>
      <c r="F31" s="1189">
        <f t="shared" si="9"/>
        <v>27722</v>
      </c>
      <c r="G31" s="1189">
        <v>28731.0808</v>
      </c>
      <c r="H31" s="1209">
        <v>29642</v>
      </c>
      <c r="J31" s="1189">
        <v>30828</v>
      </c>
      <c r="K31" s="1189">
        <v>31752.84</v>
      </c>
      <c r="M31" s="1210">
        <f t="shared" si="10"/>
        <v>32578.413840000001</v>
      </c>
      <c r="N31" s="1210">
        <f t="shared" si="11"/>
        <v>33425.452599839999</v>
      </c>
      <c r="O31" s="1210">
        <f t="shared" si="11"/>
        <v>34294.514367435841</v>
      </c>
      <c r="P31" s="1210">
        <f t="shared" si="12"/>
        <v>36009.240085807636</v>
      </c>
      <c r="Q31" s="1210">
        <f t="shared" si="12"/>
        <v>37809.702090098021</v>
      </c>
      <c r="R31" s="1210">
        <f t="shared" si="2"/>
        <v>39133.041663251446</v>
      </c>
      <c r="S31" s="1210">
        <f t="shared" si="3"/>
        <v>40620.097246455</v>
      </c>
      <c r="T31" s="1210">
        <f t="shared" si="4"/>
        <v>41274.080812122927</v>
      </c>
      <c r="U31" s="1210">
        <f t="shared" si="5"/>
        <v>43593.684153764239</v>
      </c>
      <c r="V31" s="1210">
        <f t="shared" si="13"/>
        <v>49313.175514738105</v>
      </c>
      <c r="W31" s="1210">
        <f t="shared" si="6"/>
        <v>53889.4382025058</v>
      </c>
      <c r="X31" s="1210">
        <f t="shared" si="7"/>
        <v>56691.688989036105</v>
      </c>
      <c r="IU31" s="1180"/>
      <c r="IV31" s="1180"/>
    </row>
    <row r="32" spans="1:256" s="1180" customFormat="1" ht="15" customHeight="1">
      <c r="A32" s="1208" t="s">
        <v>452</v>
      </c>
      <c r="B32" s="1198">
        <f t="shared" si="8"/>
        <v>124178.11699343623</v>
      </c>
      <c r="C32" s="1189"/>
      <c r="E32" s="1209">
        <v>53360</v>
      </c>
      <c r="F32" s="1189">
        <f t="shared" si="9"/>
        <v>60724</v>
      </c>
      <c r="G32" s="1180">
        <v>62934.353600000002</v>
      </c>
      <c r="H32" s="1209">
        <v>64929</v>
      </c>
      <c r="J32" s="1189">
        <v>67526</v>
      </c>
      <c r="K32" s="1211">
        <v>69551.78</v>
      </c>
      <c r="M32" s="1210">
        <f t="shared" si="10"/>
        <v>71360.126279999997</v>
      </c>
      <c r="N32" s="1210">
        <f t="shared" si="11"/>
        <v>73215.489563280003</v>
      </c>
      <c r="O32" s="1210">
        <f t="shared" si="11"/>
        <v>75119.092291925292</v>
      </c>
      <c r="P32" s="1210">
        <f t="shared" si="12"/>
        <v>78875.046906521558</v>
      </c>
      <c r="Q32" s="1210">
        <f t="shared" si="12"/>
        <v>82818.799251847639</v>
      </c>
      <c r="R32" s="1210">
        <f t="shared" si="2"/>
        <v>85717.457225662292</v>
      </c>
      <c r="S32" s="1210">
        <f t="shared" si="3"/>
        <v>88974.720600237459</v>
      </c>
      <c r="T32" s="1210">
        <f t="shared" si="4"/>
        <v>90407.213601901283</v>
      </c>
      <c r="U32" s="1210">
        <f t="shared" si="5"/>
        <v>95488.099006328135</v>
      </c>
      <c r="V32" s="1210">
        <f t="shared" si="13"/>
        <v>108016.13759595838</v>
      </c>
      <c r="W32" s="1210">
        <f t="shared" si="6"/>
        <v>118040.03516486332</v>
      </c>
      <c r="X32" s="1210">
        <f t="shared" si="7"/>
        <v>124178.11699343623</v>
      </c>
    </row>
    <row r="33" spans="1:256">
      <c r="A33" s="1208" t="s">
        <v>456</v>
      </c>
      <c r="B33" s="1198">
        <f t="shared" si="8"/>
        <v>80986.288159730131</v>
      </c>
      <c r="C33" s="1189"/>
      <c r="D33" s="1189"/>
      <c r="E33" s="1209">
        <v>34800</v>
      </c>
      <c r="F33" s="1189">
        <f t="shared" si="9"/>
        <v>39602</v>
      </c>
      <c r="G33" s="1189">
        <v>41043.512799999997</v>
      </c>
      <c r="H33" s="1209">
        <v>42345</v>
      </c>
      <c r="J33" s="1189">
        <v>44039</v>
      </c>
      <c r="K33" s="1189">
        <v>45360.17</v>
      </c>
      <c r="M33" s="1210">
        <f t="shared" si="10"/>
        <v>46539.534419999996</v>
      </c>
      <c r="N33" s="1210">
        <f t="shared" si="11"/>
        <v>47749.562314919996</v>
      </c>
      <c r="O33" s="1210">
        <f t="shared" si="11"/>
        <v>48991.050935107916</v>
      </c>
      <c r="P33" s="1210">
        <f t="shared" si="12"/>
        <v>51440.603481863312</v>
      </c>
      <c r="Q33" s="1210">
        <f t="shared" si="12"/>
        <v>54012.633655956481</v>
      </c>
      <c r="R33" s="1210">
        <f t="shared" si="2"/>
        <v>55903.075833914954</v>
      </c>
      <c r="S33" s="1210">
        <f t="shared" si="3"/>
        <v>58027.392715603724</v>
      </c>
      <c r="T33" s="1210">
        <f t="shared" si="4"/>
        <v>58961.633738324941</v>
      </c>
      <c r="U33" s="1210">
        <f t="shared" si="5"/>
        <v>62275.277554418804</v>
      </c>
      <c r="V33" s="1210">
        <f t="shared" si="13"/>
        <v>70445.793969558552</v>
      </c>
      <c r="W33" s="1210">
        <f t="shared" si="6"/>
        <v>76983.163649933587</v>
      </c>
      <c r="X33" s="1210">
        <f t="shared" si="7"/>
        <v>80986.288159730131</v>
      </c>
      <c r="IU33" s="1180"/>
      <c r="IV33" s="1180"/>
    </row>
    <row r="34" spans="1:256">
      <c r="A34" s="1208" t="s">
        <v>453</v>
      </c>
      <c r="B34" s="1198">
        <f t="shared" si="8"/>
        <v>105280.88733042419</v>
      </c>
      <c r="C34" s="1189"/>
      <c r="D34" s="1189"/>
      <c r="E34" s="1209">
        <v>45240</v>
      </c>
      <c r="F34" s="1189">
        <f t="shared" si="9"/>
        <v>51483</v>
      </c>
      <c r="G34" s="1189">
        <v>53356.981200000002</v>
      </c>
      <c r="H34" s="1209">
        <v>55048</v>
      </c>
      <c r="J34" s="1189">
        <v>57250</v>
      </c>
      <c r="K34" s="1189">
        <v>58967.5</v>
      </c>
      <c r="M34" s="1210">
        <f t="shared" si="10"/>
        <v>60500.654999999999</v>
      </c>
      <c r="N34" s="1210">
        <f t="shared" si="11"/>
        <v>62073.672030000002</v>
      </c>
      <c r="O34" s="1210">
        <f t="shared" si="11"/>
        <v>63687.587502780007</v>
      </c>
      <c r="P34" s="1210">
        <f t="shared" si="12"/>
        <v>66871.966877919011</v>
      </c>
      <c r="Q34" s="1210">
        <f t="shared" si="12"/>
        <v>70215.565221814963</v>
      </c>
      <c r="R34" s="1210">
        <f t="shared" si="2"/>
        <v>72673.110004578484</v>
      </c>
      <c r="S34" s="1210">
        <f t="shared" si="3"/>
        <v>75434.688184752464</v>
      </c>
      <c r="T34" s="1210">
        <f t="shared" si="4"/>
        <v>76649.186664526977</v>
      </c>
      <c r="U34" s="1210">
        <f t="shared" si="5"/>
        <v>80956.870955073391</v>
      </c>
      <c r="V34" s="1210">
        <f t="shared" si="13"/>
        <v>91578.412424379014</v>
      </c>
      <c r="W34" s="1210">
        <f t="shared" si="6"/>
        <v>100076.88909736139</v>
      </c>
      <c r="X34" s="1210">
        <f t="shared" si="7"/>
        <v>105280.88733042419</v>
      </c>
      <c r="IU34" s="1180"/>
      <c r="IV34" s="1180"/>
    </row>
    <row r="35" spans="1:256">
      <c r="A35" s="1208" t="s">
        <v>455</v>
      </c>
      <c r="B35" s="1198">
        <f t="shared" si="8"/>
        <v>64788.662734291247</v>
      </c>
      <c r="C35" s="1189"/>
      <c r="D35" s="1189"/>
      <c r="E35" s="1209">
        <v>27840</v>
      </c>
      <c r="F35" s="1189">
        <f t="shared" si="9"/>
        <v>31682</v>
      </c>
      <c r="G35" s="1189">
        <v>32835.224799999996</v>
      </c>
      <c r="H35" s="1209">
        <v>33876</v>
      </c>
      <c r="J35" s="1189">
        <v>35231</v>
      </c>
      <c r="K35" s="1189">
        <v>36287.93</v>
      </c>
      <c r="M35" s="1210">
        <f t="shared" si="10"/>
        <v>37231.41618</v>
      </c>
      <c r="N35" s="1210">
        <f t="shared" si="11"/>
        <v>38199.433000680001</v>
      </c>
      <c r="O35" s="1210">
        <f t="shared" si="11"/>
        <v>39192.618258697679</v>
      </c>
      <c r="P35" s="1210">
        <f t="shared" si="12"/>
        <v>41152.249171632568</v>
      </c>
      <c r="Q35" s="1210">
        <f t="shared" si="12"/>
        <v>43209.861630214196</v>
      </c>
      <c r="R35" s="1210">
        <f t="shared" si="2"/>
        <v>44722.206787271687</v>
      </c>
      <c r="S35" s="1210">
        <f t="shared" si="3"/>
        <v>46421.650645188012</v>
      </c>
      <c r="T35" s="1210">
        <f t="shared" si="4"/>
        <v>47169.039220575542</v>
      </c>
      <c r="U35" s="1210">
        <f t="shared" si="5"/>
        <v>49819.939224771886</v>
      </c>
      <c r="V35" s="1210">
        <f t="shared" si="13"/>
        <v>56356.315251061955</v>
      </c>
      <c r="W35" s="1210">
        <f t="shared" si="6"/>
        <v>61586.1813063605</v>
      </c>
      <c r="X35" s="1210">
        <f t="shared" si="7"/>
        <v>64788.662734291247</v>
      </c>
      <c r="IU35" s="1180"/>
      <c r="IV35" s="1180"/>
    </row>
    <row r="36" spans="1:256">
      <c r="A36" s="1208" t="s">
        <v>488</v>
      </c>
      <c r="B36" s="1198">
        <f t="shared" si="8"/>
        <v>124178.11699343623</v>
      </c>
      <c r="C36" s="1189"/>
      <c r="D36" s="1189"/>
      <c r="E36" s="1209">
        <v>53360</v>
      </c>
      <c r="F36" s="1189">
        <f t="shared" si="9"/>
        <v>60724</v>
      </c>
      <c r="G36" s="1189">
        <v>62934.353600000002</v>
      </c>
      <c r="H36" s="1209">
        <v>64929</v>
      </c>
      <c r="J36" s="1189">
        <v>67526</v>
      </c>
      <c r="K36" s="1189">
        <v>69551.78</v>
      </c>
      <c r="M36" s="1210">
        <f t="shared" si="10"/>
        <v>71360.126279999997</v>
      </c>
      <c r="N36" s="1210">
        <f t="shared" si="11"/>
        <v>73215.489563280003</v>
      </c>
      <c r="O36" s="1210">
        <f t="shared" si="11"/>
        <v>75119.092291925292</v>
      </c>
      <c r="P36" s="1210">
        <f t="shared" si="12"/>
        <v>78875.046906521558</v>
      </c>
      <c r="Q36" s="1210">
        <f t="shared" si="12"/>
        <v>82818.799251847639</v>
      </c>
      <c r="R36" s="1210">
        <f t="shared" si="2"/>
        <v>85717.457225662292</v>
      </c>
      <c r="S36" s="1210">
        <f t="shared" si="3"/>
        <v>88974.720600237459</v>
      </c>
      <c r="T36" s="1210">
        <f t="shared" si="4"/>
        <v>90407.213601901283</v>
      </c>
      <c r="U36" s="1210">
        <f t="shared" si="5"/>
        <v>95488.099006328135</v>
      </c>
      <c r="V36" s="1210">
        <f t="shared" si="13"/>
        <v>108016.13759595838</v>
      </c>
      <c r="W36" s="1210">
        <f t="shared" si="6"/>
        <v>118040.03516486332</v>
      </c>
      <c r="X36" s="1210">
        <f t="shared" si="7"/>
        <v>124178.11699343623</v>
      </c>
      <c r="IU36" s="1180"/>
      <c r="IV36" s="1180"/>
    </row>
    <row r="37" spans="1:256">
      <c r="A37" s="1208" t="s">
        <v>489</v>
      </c>
      <c r="B37" s="1198">
        <f t="shared" si="8"/>
        <v>566902.17815064697</v>
      </c>
      <c r="C37" s="1189"/>
      <c r="D37" s="1189"/>
      <c r="E37" s="1209">
        <v>243600</v>
      </c>
      <c r="F37" s="1189">
        <f t="shared" si="9"/>
        <v>277217</v>
      </c>
      <c r="G37" s="1189">
        <v>287307.69880000001</v>
      </c>
      <c r="H37" s="1209">
        <v>296415</v>
      </c>
      <c r="J37" s="1189">
        <v>308272</v>
      </c>
      <c r="K37" s="1189">
        <v>317520.16000000003</v>
      </c>
      <c r="M37" s="1210">
        <f t="shared" si="10"/>
        <v>325775.68416000006</v>
      </c>
      <c r="N37" s="1210">
        <f>+M37*1.026</f>
        <v>334245.8519481601</v>
      </c>
      <c r="O37" s="1210">
        <f>+N37*1.026</f>
        <v>342936.24409881228</v>
      </c>
      <c r="P37" s="1210">
        <f t="shared" si="12"/>
        <v>360083.05630375294</v>
      </c>
      <c r="Q37" s="1210">
        <f t="shared" si="12"/>
        <v>378087.20911894058</v>
      </c>
      <c r="R37" s="1210">
        <f t="shared" si="2"/>
        <v>391320.26143810345</v>
      </c>
      <c r="S37" s="1210">
        <f t="shared" si="3"/>
        <v>406190.43137275142</v>
      </c>
      <c r="T37" s="1210">
        <f t="shared" si="4"/>
        <v>412730.09731785272</v>
      </c>
      <c r="U37" s="1210">
        <f t="shared" si="5"/>
        <v>435925.52878711605</v>
      </c>
      <c r="V37" s="1210">
        <f t="shared" si="13"/>
        <v>493118.95816398569</v>
      </c>
      <c r="W37" s="1210">
        <f t="shared" si="6"/>
        <v>538880.39748160355</v>
      </c>
      <c r="X37" s="1210">
        <f t="shared" si="7"/>
        <v>566902.17815064697</v>
      </c>
      <c r="IU37" s="1180"/>
      <c r="IV37" s="1180"/>
    </row>
    <row r="38" spans="1:256">
      <c r="A38" s="1208" t="s">
        <v>459</v>
      </c>
      <c r="B38" s="1198">
        <f t="shared" si="8"/>
        <v>60578.568248885633</v>
      </c>
      <c r="C38" s="1189"/>
      <c r="D38" s="1189"/>
      <c r="E38" s="1209"/>
      <c r="H38" s="1209"/>
      <c r="K38" s="1189"/>
      <c r="M38" s="1210"/>
      <c r="N38" s="1210"/>
      <c r="O38" s="1210"/>
      <c r="P38" s="1210"/>
      <c r="Q38" s="1210">
        <v>40402</v>
      </c>
      <c r="R38" s="1210">
        <f t="shared" si="2"/>
        <v>41816.07</v>
      </c>
      <c r="S38" s="1210">
        <f t="shared" si="3"/>
        <v>43405.08066</v>
      </c>
      <c r="T38" s="1210">
        <f t="shared" si="4"/>
        <v>44103.902458625998</v>
      </c>
      <c r="U38" s="1210">
        <f t="shared" si="5"/>
        <v>46582.541776800783</v>
      </c>
      <c r="V38" s="1210">
        <f t="shared" si="13"/>
        <v>52694.171257917042</v>
      </c>
      <c r="W38" s="1210">
        <f t="shared" si="6"/>
        <v>57584.190350651741</v>
      </c>
      <c r="X38" s="1210">
        <f t="shared" si="7"/>
        <v>60578.568248885633</v>
      </c>
      <c r="IU38" s="1180"/>
      <c r="IV38" s="1180"/>
    </row>
    <row r="39" spans="1:256">
      <c r="A39" s="1208" t="s">
        <v>458</v>
      </c>
      <c r="B39" s="1198">
        <f t="shared" si="8"/>
        <v>243472.40591261195</v>
      </c>
      <c r="C39" s="1189"/>
      <c r="D39" s="1189"/>
      <c r="E39" s="1209">
        <v>43890</v>
      </c>
      <c r="F39" s="1189">
        <f t="shared" si="9"/>
        <v>49947</v>
      </c>
      <c r="G39" s="1189">
        <v>51765.070800000001</v>
      </c>
      <c r="H39" s="1209">
        <v>53406</v>
      </c>
      <c r="J39" s="1189">
        <v>55542</v>
      </c>
      <c r="K39" s="1189">
        <v>57208.26</v>
      </c>
      <c r="M39" s="1210">
        <f t="shared" si="10"/>
        <v>58695.674760000002</v>
      </c>
      <c r="N39" s="1210">
        <f t="shared" si="11"/>
        <v>60221.762303760006</v>
      </c>
      <c r="O39" s="1210">
        <f t="shared" si="11"/>
        <v>61787.528123657765</v>
      </c>
      <c r="P39" s="1210">
        <f t="shared" si="12"/>
        <v>64876.904529840656</v>
      </c>
      <c r="Q39" s="1210">
        <f>156000*1.0409</f>
        <v>162380.4</v>
      </c>
      <c r="R39" s="1210">
        <f t="shared" si="2"/>
        <v>168063.71399999998</v>
      </c>
      <c r="S39" s="1210">
        <f t="shared" si="3"/>
        <v>174450.135132</v>
      </c>
      <c r="T39" s="1210">
        <f t="shared" si="4"/>
        <v>177258.7823076252</v>
      </c>
      <c r="U39" s="1210">
        <f t="shared" si="5"/>
        <v>187220.72587331373</v>
      </c>
      <c r="V39" s="1210">
        <f t="shared" si="13"/>
        <v>211784.08510789249</v>
      </c>
      <c r="W39" s="1210">
        <f t="shared" si="6"/>
        <v>231437.6482059049</v>
      </c>
      <c r="X39" s="1210">
        <f t="shared" si="7"/>
        <v>243472.40591261195</v>
      </c>
      <c r="IU39" s="1180"/>
      <c r="IV39" s="1180"/>
    </row>
    <row r="40" spans="1:256">
      <c r="A40" s="1208" t="s">
        <v>490</v>
      </c>
      <c r="B40" s="1198">
        <f t="shared" si="8"/>
        <v>102139.93090142219</v>
      </c>
      <c r="C40" s="1189"/>
      <c r="D40" s="1189"/>
      <c r="E40" s="1209">
        <v>43890</v>
      </c>
      <c r="F40" s="1189">
        <f t="shared" si="9"/>
        <v>49947</v>
      </c>
      <c r="G40" s="1189">
        <v>51765.070800000001</v>
      </c>
      <c r="H40" s="1209">
        <v>53406</v>
      </c>
      <c r="J40" s="1189">
        <v>55542</v>
      </c>
      <c r="K40" s="1189">
        <v>57208.26</v>
      </c>
      <c r="M40" s="1210">
        <f t="shared" si="10"/>
        <v>58695.674760000002</v>
      </c>
      <c r="N40" s="1210">
        <f t="shared" si="11"/>
        <v>60221.762303760006</v>
      </c>
      <c r="O40" s="1210">
        <f t="shared" si="11"/>
        <v>61787.528123657765</v>
      </c>
      <c r="P40" s="1210">
        <f t="shared" si="12"/>
        <v>64876.904529840656</v>
      </c>
      <c r="Q40" s="1210">
        <f t="shared" si="12"/>
        <v>68120.749756332691</v>
      </c>
      <c r="R40" s="1210">
        <f t="shared" si="2"/>
        <v>70504.975997804329</v>
      </c>
      <c r="S40" s="1210">
        <f t="shared" si="3"/>
        <v>73184.165085720902</v>
      </c>
      <c r="T40" s="1210">
        <f t="shared" si="4"/>
        <v>74362.430143601014</v>
      </c>
      <c r="U40" s="1210">
        <f t="shared" si="5"/>
        <v>78541.598717671397</v>
      </c>
      <c r="V40" s="1210">
        <f t="shared" si="13"/>
        <v>88846.256469429878</v>
      </c>
      <c r="W40" s="1210">
        <f t="shared" si="6"/>
        <v>97091.189069792963</v>
      </c>
      <c r="X40" s="1210">
        <f t="shared" si="7"/>
        <v>102139.93090142219</v>
      </c>
      <c r="IU40" s="1180"/>
      <c r="IV40" s="1180"/>
    </row>
    <row r="41" spans="1:256">
      <c r="A41" s="1208" t="s">
        <v>461</v>
      </c>
      <c r="B41" s="1198">
        <f t="shared" si="8"/>
        <v>114301.02274275137</v>
      </c>
      <c r="C41" s="1189"/>
      <c r="D41" s="1189"/>
      <c r="E41" s="1209">
        <v>49115</v>
      </c>
      <c r="F41" s="1189">
        <f t="shared" si="9"/>
        <v>55893</v>
      </c>
      <c r="G41" s="1189">
        <v>57927.5052</v>
      </c>
      <c r="H41" s="1209">
        <v>59764</v>
      </c>
      <c r="J41" s="1189">
        <v>62155</v>
      </c>
      <c r="K41" s="1189">
        <v>64019.65</v>
      </c>
      <c r="M41" s="1210">
        <f t="shared" si="10"/>
        <v>65684.160900000003</v>
      </c>
      <c r="N41" s="1210">
        <f t="shared" si="11"/>
        <v>67391.949083400003</v>
      </c>
      <c r="O41" s="1210">
        <f t="shared" si="11"/>
        <v>69144.13975956841</v>
      </c>
      <c r="P41" s="1210">
        <f t="shared" si="12"/>
        <v>72601.346747546835</v>
      </c>
      <c r="Q41" s="1210">
        <f t="shared" si="12"/>
        <v>76231.414084924181</v>
      </c>
      <c r="R41" s="1210">
        <f t="shared" si="2"/>
        <v>78899.51357789652</v>
      </c>
      <c r="S41" s="1210">
        <f t="shared" si="3"/>
        <v>81897.695093856586</v>
      </c>
      <c r="T41" s="1210">
        <f t="shared" si="4"/>
        <v>83216.247984867674</v>
      </c>
      <c r="U41" s="1210">
        <f t="shared" si="5"/>
        <v>87893.001121617242</v>
      </c>
      <c r="V41" s="1210">
        <f t="shared" si="13"/>
        <v>99424.562868773428</v>
      </c>
      <c r="W41" s="1210">
        <f t="shared" si="6"/>
        <v>108651.1623029956</v>
      </c>
      <c r="X41" s="1210">
        <f t="shared" si="7"/>
        <v>114301.02274275137</v>
      </c>
      <c r="IU41" s="1180"/>
      <c r="IV41" s="1180"/>
    </row>
    <row r="42" spans="1:256">
      <c r="A42" s="1208" t="s">
        <v>465</v>
      </c>
      <c r="B42" s="1198">
        <f t="shared" si="8"/>
        <v>632295.86118068849</v>
      </c>
      <c r="C42" s="1189"/>
      <c r="D42" s="1189"/>
      <c r="E42" s="1209">
        <v>271700</v>
      </c>
      <c r="F42" s="1189">
        <f t="shared" si="9"/>
        <v>309195</v>
      </c>
      <c r="G42" s="1189">
        <v>320449.69799999997</v>
      </c>
      <c r="H42" s="1209">
        <v>330608</v>
      </c>
      <c r="J42" s="1189">
        <v>343832</v>
      </c>
      <c r="K42" s="1189">
        <v>354146.96</v>
      </c>
      <c r="M42" s="1210">
        <f t="shared" si="10"/>
        <v>363354.78096</v>
      </c>
      <c r="N42" s="1210">
        <f t="shared" si="11"/>
        <v>372802.00526496</v>
      </c>
      <c r="O42" s="1210">
        <f t="shared" si="11"/>
        <v>382494.85740184895</v>
      </c>
      <c r="P42" s="1210">
        <f t="shared" si="12"/>
        <v>401619.6002719414</v>
      </c>
      <c r="Q42" s="1210">
        <f t="shared" si="12"/>
        <v>421700.58028553851</v>
      </c>
      <c r="R42" s="1210">
        <f t="shared" si="2"/>
        <v>436460.10059553233</v>
      </c>
      <c r="S42" s="1210">
        <f t="shared" si="3"/>
        <v>453045.58441816259</v>
      </c>
      <c r="T42" s="1210">
        <f t="shared" si="4"/>
        <v>460339.618327295</v>
      </c>
      <c r="U42" s="1210">
        <f t="shared" si="5"/>
        <v>486210.70487728901</v>
      </c>
      <c r="V42" s="1210">
        <f t="shared" si="13"/>
        <v>550001.54935718933</v>
      </c>
      <c r="W42" s="1210">
        <f t="shared" si="6"/>
        <v>601041.69313753652</v>
      </c>
      <c r="X42" s="1210">
        <f t="shared" si="7"/>
        <v>632295.86118068849</v>
      </c>
      <c r="IU42" s="1180"/>
      <c r="IV42" s="1180"/>
    </row>
    <row r="43" spans="1:256">
      <c r="A43" s="1208" t="s">
        <v>462</v>
      </c>
      <c r="B43" s="1198">
        <f t="shared" si="8"/>
        <v>26749.620735517034</v>
      </c>
      <c r="C43" s="1189"/>
      <c r="D43" s="1189"/>
      <c r="E43" s="1209">
        <v>11495</v>
      </c>
      <c r="F43" s="1189">
        <f t="shared" si="9"/>
        <v>13081</v>
      </c>
      <c r="G43" s="1189">
        <v>13557.1484</v>
      </c>
      <c r="H43" s="1209">
        <v>13987</v>
      </c>
      <c r="J43" s="1189">
        <v>14546</v>
      </c>
      <c r="K43" s="1189">
        <v>14982.380000000001</v>
      </c>
      <c r="M43" s="1210">
        <f t="shared" si="10"/>
        <v>15371.921880000002</v>
      </c>
      <c r="N43" s="1210">
        <f t="shared" si="11"/>
        <v>15771.591848880002</v>
      </c>
      <c r="O43" s="1210">
        <f t="shared" si="11"/>
        <v>16181.653236950882</v>
      </c>
      <c r="P43" s="1210">
        <f t="shared" si="12"/>
        <v>16990.735898798426</v>
      </c>
      <c r="Q43" s="1210">
        <f t="shared" si="12"/>
        <v>17840.272693738349</v>
      </c>
      <c r="R43" s="1210">
        <f t="shared" si="2"/>
        <v>18464.682238019188</v>
      </c>
      <c r="S43" s="1210">
        <f t="shared" si="3"/>
        <v>19166.340163063916</v>
      </c>
      <c r="T43" s="1210">
        <f t="shared" si="4"/>
        <v>19474.918239689247</v>
      </c>
      <c r="U43" s="1210">
        <f t="shared" si="5"/>
        <v>20569.408644759784</v>
      </c>
      <c r="V43" s="1210">
        <f t="shared" si="13"/>
        <v>23268.115058952266</v>
      </c>
      <c r="W43" s="1210">
        <f t="shared" si="6"/>
        <v>25427.396136423034</v>
      </c>
      <c r="X43" s="1210">
        <f t="shared" si="7"/>
        <v>26749.620735517034</v>
      </c>
      <c r="IU43" s="1180"/>
      <c r="IV43" s="1180"/>
    </row>
    <row r="44" spans="1:256">
      <c r="A44" s="1208" t="s">
        <v>464</v>
      </c>
      <c r="B44" s="1198">
        <f t="shared" si="8"/>
        <v>1106085.0677435207</v>
      </c>
      <c r="C44" s="1189"/>
      <c r="D44" s="1189"/>
      <c r="E44" s="1209"/>
      <c r="H44" s="1209"/>
      <c r="K44" s="1189"/>
      <c r="M44" s="1210"/>
      <c r="N44" s="1210"/>
      <c r="O44" s="1210"/>
      <c r="P44" s="1210"/>
      <c r="Q44" s="1210"/>
      <c r="R44" s="1210">
        <v>763506.5</v>
      </c>
      <c r="S44" s="1210">
        <f t="shared" si="3"/>
        <v>792519.74699999997</v>
      </c>
      <c r="T44" s="1210">
        <f t="shared" si="4"/>
        <v>805279.31492669997</v>
      </c>
      <c r="U44" s="1210">
        <f t="shared" si="5"/>
        <v>850536.01242558053</v>
      </c>
      <c r="V44" s="1210">
        <f t="shared" si="13"/>
        <v>962126.33725581667</v>
      </c>
      <c r="W44" s="1210">
        <f t="shared" si="6"/>
        <v>1051411.6613531564</v>
      </c>
      <c r="X44" s="1210">
        <f t="shared" si="7"/>
        <v>1106085.0677435207</v>
      </c>
      <c r="IU44" s="1180"/>
      <c r="IV44" s="1180"/>
    </row>
    <row r="45" spans="1:256">
      <c r="A45" s="1208" t="s">
        <v>463</v>
      </c>
      <c r="B45" s="1198">
        <f t="shared" si="8"/>
        <v>350939.35604718782</v>
      </c>
      <c r="C45" s="1189"/>
      <c r="D45" s="1189"/>
      <c r="E45" s="1209">
        <v>150800</v>
      </c>
      <c r="F45" s="1189">
        <f t="shared" si="9"/>
        <v>171610</v>
      </c>
      <c r="G45" s="1189">
        <v>177856.60399999999</v>
      </c>
      <c r="H45" s="1209">
        <v>183495</v>
      </c>
      <c r="J45" s="1189">
        <v>190835</v>
      </c>
      <c r="K45" s="1189">
        <v>196560.05000000002</v>
      </c>
      <c r="M45" s="1210">
        <f t="shared" si="10"/>
        <v>201670.61130000002</v>
      </c>
      <c r="N45" s="1210">
        <f t="shared" si="11"/>
        <v>206914.04719380001</v>
      </c>
      <c r="O45" s="1210">
        <f t="shared" si="11"/>
        <v>212293.8124208388</v>
      </c>
      <c r="P45" s="1210">
        <f t="shared" si="12"/>
        <v>222908.50304188076</v>
      </c>
      <c r="Q45" s="1210">
        <f t="shared" si="12"/>
        <v>234053.9281939748</v>
      </c>
      <c r="R45" s="1210">
        <f>+Q45*1.035</f>
        <v>242245.81568076392</v>
      </c>
      <c r="S45" s="1210">
        <f t="shared" si="3"/>
        <v>251451.15667663296</v>
      </c>
      <c r="T45" s="1210">
        <f t="shared" si="4"/>
        <v>255499.52029912674</v>
      </c>
      <c r="U45" s="1210">
        <f t="shared" si="5"/>
        <v>269858.59333993768</v>
      </c>
      <c r="V45" s="1210">
        <f t="shared" si="13"/>
        <v>305264.04078613751</v>
      </c>
      <c r="W45" s="1210">
        <f t="shared" si="6"/>
        <v>333592.54377109109</v>
      </c>
      <c r="X45" s="1210">
        <f t="shared" si="7"/>
        <v>350939.35604718782</v>
      </c>
      <c r="IU45" s="1180"/>
      <c r="IV45" s="1180"/>
    </row>
    <row r="46" spans="1:256">
      <c r="A46" s="1208"/>
      <c r="B46" s="1212"/>
      <c r="C46" s="1189"/>
      <c r="D46" s="1189"/>
      <c r="Q46" s="1180"/>
    </row>
    <row r="47" spans="1:256">
      <c r="D47" s="1197"/>
    </row>
    <row r="48" spans="1:256">
      <c r="D48" s="1197"/>
    </row>
    <row r="49" spans="4:4">
      <c r="D49" s="1197"/>
    </row>
    <row r="50" spans="4:4">
      <c r="D50" s="1197"/>
    </row>
    <row r="51" spans="4:4">
      <c r="D51" s="1197"/>
    </row>
    <row r="52" spans="4:4">
      <c r="D52" s="1197"/>
    </row>
    <row r="53" spans="4:4">
      <c r="D53" s="1197"/>
    </row>
    <row r="54" spans="4:4">
      <c r="D54" s="1197"/>
    </row>
    <row r="55" spans="4:4">
      <c r="D55" s="1197"/>
    </row>
    <row r="56" spans="4:4">
      <c r="D56" s="1197"/>
    </row>
    <row r="57" spans="4:4">
      <c r="D57" s="1197"/>
    </row>
    <row r="58" spans="4:4">
      <c r="D58" s="1197"/>
    </row>
    <row r="59" spans="4:4">
      <c r="D59" s="1197"/>
    </row>
    <row r="60" spans="4:4">
      <c r="D60" s="1197"/>
    </row>
    <row r="61" spans="4:4">
      <c r="D61" s="1197"/>
    </row>
    <row r="62" spans="4:4">
      <c r="D62" s="1197"/>
    </row>
    <row r="63" spans="4:4">
      <c r="D63" s="1197"/>
    </row>
    <row r="64" spans="4:4">
      <c r="D64" s="1197"/>
    </row>
    <row r="65" spans="4:4">
      <c r="D65" s="1197"/>
    </row>
    <row r="66" spans="4:4">
      <c r="D66" s="1197"/>
    </row>
    <row r="67" spans="4:4">
      <c r="D67" s="1197"/>
    </row>
    <row r="68" spans="4:4">
      <c r="D68" s="1197"/>
    </row>
    <row r="69" spans="4:4">
      <c r="D69" s="1197"/>
    </row>
    <row r="70" spans="4:4">
      <c r="D70" s="1197"/>
    </row>
    <row r="71" spans="4:4">
      <c r="D71" s="1197"/>
    </row>
    <row r="72" spans="4:4">
      <c r="D72" s="1197"/>
    </row>
    <row r="73" spans="4:4">
      <c r="D73" s="1197"/>
    </row>
    <row r="74" spans="4:4">
      <c r="D74" s="1197"/>
    </row>
    <row r="75" spans="4:4">
      <c r="D75" s="1197"/>
    </row>
    <row r="76" spans="4:4">
      <c r="D76" s="1197"/>
    </row>
    <row r="77" spans="4:4">
      <c r="D77" s="1197"/>
    </row>
    <row r="78" spans="4:4">
      <c r="D78" s="1197"/>
    </row>
    <row r="79" spans="4:4">
      <c r="D79" s="1197"/>
    </row>
    <row r="80" spans="4:4">
      <c r="D80" s="1197"/>
    </row>
    <row r="81" spans="4:4">
      <c r="D81" s="1197"/>
    </row>
    <row r="82" spans="4:4">
      <c r="D82" s="1197"/>
    </row>
    <row r="83" spans="4:4">
      <c r="D83" s="1197"/>
    </row>
    <row r="84" spans="4:4">
      <c r="D84" s="1197"/>
    </row>
    <row r="85" spans="4:4">
      <c r="D85" s="1197"/>
    </row>
    <row r="86" spans="4:4">
      <c r="D86" s="1197"/>
    </row>
    <row r="87" spans="4:4">
      <c r="D87" s="1197"/>
    </row>
    <row r="88" spans="4:4">
      <c r="D88" s="1197"/>
    </row>
    <row r="89" spans="4:4">
      <c r="D89" s="1197"/>
    </row>
    <row r="90" spans="4:4">
      <c r="D90" s="1197"/>
    </row>
    <row r="91" spans="4:4">
      <c r="D91" s="1197"/>
    </row>
    <row r="92" spans="4:4">
      <c r="D92" s="1197"/>
    </row>
    <row r="93" spans="4:4">
      <c r="D93" s="1197"/>
    </row>
    <row r="94" spans="4:4">
      <c r="D94" s="1197"/>
    </row>
    <row r="95" spans="4:4">
      <c r="D95" s="1197"/>
    </row>
    <row r="96" spans="4:4">
      <c r="D96" s="1197"/>
    </row>
    <row r="97" spans="4:4">
      <c r="D97" s="1197"/>
    </row>
    <row r="98" spans="4:4">
      <c r="D98" s="1197"/>
    </row>
    <row r="99" spans="4:4">
      <c r="D99" s="1197"/>
    </row>
    <row r="100" spans="4:4">
      <c r="D100" s="1197"/>
    </row>
    <row r="101" spans="4:4">
      <c r="D101" s="1197"/>
    </row>
    <row r="102" spans="4:4">
      <c r="D102" s="1197"/>
    </row>
    <row r="103" spans="4:4">
      <c r="D103" s="1197"/>
    </row>
    <row r="104" spans="4:4">
      <c r="D104" s="1197"/>
    </row>
    <row r="105" spans="4:4">
      <c r="D105" s="1197"/>
    </row>
    <row r="106" spans="4:4">
      <c r="D106" s="1197"/>
    </row>
    <row r="107" spans="4:4">
      <c r="D107" s="1197"/>
    </row>
    <row r="108" spans="4:4">
      <c r="D108" s="1197"/>
    </row>
    <row r="109" spans="4:4">
      <c r="D109" s="1197"/>
    </row>
    <row r="110" spans="4:4">
      <c r="D110" s="1197"/>
    </row>
    <row r="111" spans="4:4">
      <c r="D111" s="1197"/>
    </row>
    <row r="112" spans="4:4">
      <c r="D112" s="1197"/>
    </row>
    <row r="113" spans="4:4">
      <c r="D113" s="1197"/>
    </row>
    <row r="114" spans="4:4">
      <c r="D114" s="1197"/>
    </row>
    <row r="115" spans="4:4">
      <c r="D115" s="1197"/>
    </row>
    <row r="116" spans="4:4">
      <c r="D116" s="1197"/>
    </row>
    <row r="117" spans="4:4">
      <c r="D117" s="1197"/>
    </row>
    <row r="118" spans="4:4">
      <c r="D118" s="1197"/>
    </row>
    <row r="119" spans="4:4">
      <c r="D119" s="1197"/>
    </row>
    <row r="120" spans="4:4">
      <c r="D120" s="1197"/>
    </row>
    <row r="121" spans="4:4">
      <c r="D121" s="1197"/>
    </row>
    <row r="122" spans="4:4">
      <c r="D122" s="1197"/>
    </row>
    <row r="123" spans="4:4">
      <c r="D123" s="1197"/>
    </row>
    <row r="124" spans="4:4">
      <c r="D124" s="1197"/>
    </row>
    <row r="125" spans="4:4">
      <c r="D125" s="1197"/>
    </row>
    <row r="126" spans="4:4">
      <c r="D126" s="1197"/>
    </row>
    <row r="127" spans="4:4">
      <c r="D127" s="1197"/>
    </row>
    <row r="128" spans="4:4">
      <c r="D128" s="1197"/>
    </row>
    <row r="129" spans="4:4">
      <c r="D129" s="1197"/>
    </row>
    <row r="130" spans="4:4">
      <c r="D130" s="1197"/>
    </row>
    <row r="131" spans="4:4">
      <c r="D131" s="1197"/>
    </row>
    <row r="132" spans="4:4">
      <c r="D132" s="1197"/>
    </row>
    <row r="133" spans="4:4">
      <c r="D133" s="1197"/>
    </row>
    <row r="134" spans="4:4">
      <c r="D134" s="1197"/>
    </row>
    <row r="135" spans="4:4">
      <c r="D135" s="1197"/>
    </row>
    <row r="136" spans="4:4">
      <c r="D136" s="1197"/>
    </row>
    <row r="137" spans="4:4">
      <c r="D137" s="1197"/>
    </row>
    <row r="138" spans="4:4">
      <c r="D138" s="1197"/>
    </row>
    <row r="139" spans="4:4">
      <c r="D139" s="1197"/>
    </row>
    <row r="140" spans="4:4">
      <c r="D140" s="1197"/>
    </row>
    <row r="141" spans="4:4">
      <c r="D141" s="1197"/>
    </row>
    <row r="142" spans="4:4">
      <c r="D142" s="1197"/>
    </row>
    <row r="143" spans="4:4">
      <c r="D143" s="1197"/>
    </row>
    <row r="144" spans="4:4">
      <c r="D144" s="1197"/>
    </row>
    <row r="145" spans="4:4">
      <c r="D145" s="1197"/>
    </row>
    <row r="146" spans="4:4">
      <c r="D146" s="1197"/>
    </row>
    <row r="147" spans="4:4">
      <c r="D147" s="1197"/>
    </row>
    <row r="148" spans="4:4">
      <c r="D148" s="1197"/>
    </row>
    <row r="149" spans="4:4">
      <c r="D149" s="1197"/>
    </row>
    <row r="150" spans="4:4">
      <c r="D150" s="1197"/>
    </row>
    <row r="151" spans="4:4">
      <c r="D151" s="1197"/>
    </row>
    <row r="152" spans="4:4">
      <c r="D152" s="1197"/>
    </row>
    <row r="153" spans="4:4">
      <c r="D153" s="1197"/>
    </row>
    <row r="154" spans="4:4">
      <c r="D154" s="1197"/>
    </row>
    <row r="155" spans="4:4">
      <c r="D155" s="1197"/>
    </row>
    <row r="156" spans="4:4">
      <c r="D156" s="1197"/>
    </row>
    <row r="157" spans="4:4">
      <c r="D157" s="1197"/>
    </row>
    <row r="158" spans="4:4">
      <c r="D158" s="1197"/>
    </row>
    <row r="159" spans="4:4">
      <c r="D159" s="1197"/>
    </row>
    <row r="160" spans="4:4">
      <c r="D160" s="1197"/>
    </row>
    <row r="161" spans="4:4">
      <c r="D161" s="1197"/>
    </row>
    <row r="162" spans="4:4">
      <c r="D162" s="1197"/>
    </row>
    <row r="163" spans="4:4">
      <c r="D163" s="1197"/>
    </row>
    <row r="164" spans="4:4">
      <c r="D164" s="1197"/>
    </row>
    <row r="165" spans="4:4">
      <c r="D165" s="1197"/>
    </row>
    <row r="166" spans="4:4">
      <c r="D166" s="1197"/>
    </row>
    <row r="167" spans="4:4">
      <c r="D167" s="1197"/>
    </row>
    <row r="168" spans="4:4">
      <c r="D168" s="1197"/>
    </row>
    <row r="169" spans="4:4">
      <c r="D169" s="1197"/>
    </row>
    <row r="170" spans="4:4">
      <c r="D170" s="1197"/>
    </row>
    <row r="171" spans="4:4">
      <c r="D171" s="1197"/>
    </row>
    <row r="172" spans="4:4">
      <c r="D172" s="1197"/>
    </row>
    <row r="173" spans="4:4">
      <c r="D173" s="1197"/>
    </row>
    <row r="174" spans="4:4">
      <c r="D174" s="1197"/>
    </row>
    <row r="175" spans="4:4">
      <c r="D175" s="1197"/>
    </row>
    <row r="176" spans="4:4">
      <c r="D176" s="1197"/>
    </row>
    <row r="177" spans="4:4">
      <c r="D177" s="1197"/>
    </row>
    <row r="178" spans="4:4">
      <c r="D178" s="1197"/>
    </row>
    <row r="179" spans="4:4">
      <c r="D179" s="1197"/>
    </row>
    <row r="180" spans="4:4">
      <c r="D180" s="1197"/>
    </row>
    <row r="181" spans="4:4">
      <c r="D181" s="1197"/>
    </row>
    <row r="182" spans="4:4">
      <c r="D182" s="1197"/>
    </row>
    <row r="183" spans="4:4">
      <c r="D183" s="1197"/>
    </row>
    <row r="184" spans="4:4">
      <c r="D184" s="1197"/>
    </row>
    <row r="185" spans="4:4">
      <c r="D185" s="1197"/>
    </row>
    <row r="186" spans="4:4">
      <c r="D186" s="1197"/>
    </row>
    <row r="187" spans="4:4">
      <c r="D187" s="1197"/>
    </row>
    <row r="188" spans="4:4">
      <c r="D188" s="1197"/>
    </row>
    <row r="189" spans="4:4">
      <c r="D189" s="1197"/>
    </row>
    <row r="190" spans="4:4">
      <c r="D190" s="1197"/>
    </row>
    <row r="191" spans="4:4">
      <c r="D191" s="1197"/>
    </row>
    <row r="192" spans="4:4">
      <c r="D192" s="1197"/>
    </row>
    <row r="193" spans="4:4">
      <c r="D193" s="1197"/>
    </row>
    <row r="194" spans="4:4">
      <c r="D194" s="1197"/>
    </row>
    <row r="195" spans="4:4">
      <c r="D195" s="1197"/>
    </row>
    <row r="196" spans="4:4">
      <c r="D196" s="1197"/>
    </row>
    <row r="197" spans="4:4">
      <c r="D197" s="1197"/>
    </row>
    <row r="198" spans="4:4">
      <c r="D198" s="1197"/>
    </row>
    <row r="199" spans="4:4">
      <c r="D199" s="1197"/>
    </row>
    <row r="200" spans="4:4">
      <c r="D200" s="1197"/>
    </row>
    <row r="201" spans="4:4">
      <c r="D201" s="1197"/>
    </row>
    <row r="202" spans="4:4">
      <c r="D202" s="1197"/>
    </row>
    <row r="203" spans="4:4">
      <c r="D203" s="1197"/>
    </row>
    <row r="204" spans="4:4">
      <c r="D204" s="1197"/>
    </row>
    <row r="205" spans="4:4">
      <c r="D205" s="1197"/>
    </row>
    <row r="206" spans="4:4">
      <c r="D206" s="1197"/>
    </row>
    <row r="207" spans="4:4">
      <c r="D207" s="1197"/>
    </row>
    <row r="208" spans="4:4">
      <c r="D208" s="1197"/>
    </row>
    <row r="209" spans="4:4">
      <c r="D209" s="1197"/>
    </row>
    <row r="210" spans="4:4">
      <c r="D210" s="1197"/>
    </row>
    <row r="211" spans="4:4">
      <c r="D211" s="1197"/>
    </row>
    <row r="212" spans="4:4">
      <c r="D212" s="1197"/>
    </row>
    <row r="213" spans="4:4">
      <c r="D213" s="1197"/>
    </row>
    <row r="214" spans="4:4">
      <c r="D214" s="1197"/>
    </row>
    <row r="215" spans="4:4">
      <c r="D215" s="1197"/>
    </row>
    <row r="216" spans="4:4">
      <c r="D216" s="1197"/>
    </row>
    <row r="217" spans="4:4">
      <c r="D217" s="1197"/>
    </row>
    <row r="218" spans="4:4">
      <c r="D218" s="1197"/>
    </row>
    <row r="219" spans="4:4">
      <c r="D219" s="1197"/>
    </row>
    <row r="220" spans="4:4">
      <c r="D220" s="1197"/>
    </row>
    <row r="221" spans="4:4">
      <c r="D221" s="1197"/>
    </row>
    <row r="222" spans="4:4">
      <c r="D222" s="1197"/>
    </row>
    <row r="223" spans="4:4">
      <c r="D223" s="1197"/>
    </row>
    <row r="224" spans="4:4">
      <c r="D224" s="1197"/>
    </row>
    <row r="225" spans="4:4">
      <c r="D225" s="1197"/>
    </row>
    <row r="226" spans="4:4">
      <c r="D226" s="1197"/>
    </row>
    <row r="227" spans="4:4">
      <c r="D227" s="1197"/>
    </row>
    <row r="228" spans="4:4">
      <c r="D228" s="1197"/>
    </row>
    <row r="229" spans="4:4">
      <c r="D229" s="1197"/>
    </row>
    <row r="230" spans="4:4">
      <c r="D230" s="1197"/>
    </row>
    <row r="231" spans="4:4">
      <c r="D231" s="1197"/>
    </row>
    <row r="232" spans="4:4">
      <c r="D232" s="1197"/>
    </row>
    <row r="233" spans="4:4">
      <c r="D233" s="1197"/>
    </row>
    <row r="234" spans="4:4">
      <c r="D234" s="1197"/>
    </row>
    <row r="235" spans="4:4">
      <c r="D235" s="1197"/>
    </row>
    <row r="236" spans="4:4">
      <c r="D236" s="1197"/>
    </row>
    <row r="237" spans="4:4">
      <c r="D237" s="1197"/>
    </row>
    <row r="238" spans="4:4">
      <c r="D238" s="1197"/>
    </row>
    <row r="239" spans="4:4">
      <c r="D239" s="1197"/>
    </row>
    <row r="240" spans="4:4">
      <c r="D240" s="1197"/>
    </row>
    <row r="241" spans="4:4">
      <c r="D241" s="1197"/>
    </row>
    <row r="242" spans="4:4">
      <c r="D242" s="1197"/>
    </row>
    <row r="243" spans="4:4">
      <c r="D243" s="1197"/>
    </row>
    <row r="244" spans="4:4">
      <c r="D244" s="1197"/>
    </row>
    <row r="245" spans="4:4">
      <c r="D245" s="1197"/>
    </row>
    <row r="246" spans="4:4">
      <c r="D246" s="1197"/>
    </row>
    <row r="247" spans="4:4">
      <c r="D247" s="1197"/>
    </row>
    <row r="248" spans="4:4">
      <c r="D248" s="1197"/>
    </row>
    <row r="249" spans="4:4">
      <c r="D249" s="1197"/>
    </row>
    <row r="250" spans="4:4">
      <c r="D250" s="1197"/>
    </row>
    <row r="251" spans="4:4">
      <c r="D251" s="1197"/>
    </row>
    <row r="252" spans="4:4">
      <c r="D252" s="1197"/>
    </row>
    <row r="253" spans="4:4">
      <c r="D253" s="1197"/>
    </row>
    <row r="254" spans="4:4">
      <c r="D254" s="1197"/>
    </row>
    <row r="255" spans="4:4">
      <c r="D255" s="1197"/>
    </row>
    <row r="256" spans="4:4">
      <c r="D256" s="1197"/>
    </row>
    <row r="257" spans="4:4">
      <c r="D257" s="1197"/>
    </row>
    <row r="258" spans="4:4">
      <c r="D258" s="1197"/>
    </row>
    <row r="259" spans="4:4">
      <c r="D259" s="1197"/>
    </row>
    <row r="260" spans="4:4">
      <c r="D260" s="1197"/>
    </row>
    <row r="261" spans="4:4">
      <c r="D261" s="1197"/>
    </row>
    <row r="262" spans="4:4">
      <c r="D262" s="1197"/>
    </row>
    <row r="263" spans="4:4">
      <c r="D263" s="1197"/>
    </row>
    <row r="264" spans="4:4">
      <c r="D264" s="1197"/>
    </row>
    <row r="265" spans="4:4">
      <c r="D265" s="1197"/>
    </row>
    <row r="266" spans="4:4">
      <c r="D266" s="1197"/>
    </row>
    <row r="267" spans="4:4">
      <c r="D267" s="1197"/>
    </row>
    <row r="268" spans="4:4">
      <c r="D268" s="1197"/>
    </row>
    <row r="269" spans="4:4">
      <c r="D269" s="1197"/>
    </row>
    <row r="270" spans="4:4">
      <c r="D270" s="1197"/>
    </row>
    <row r="271" spans="4:4">
      <c r="D271" s="1197"/>
    </row>
    <row r="272" spans="4:4">
      <c r="D272" s="1197"/>
    </row>
    <row r="273" spans="4:4">
      <c r="D273" s="1197"/>
    </row>
    <row r="274" spans="4:4">
      <c r="D274" s="1197"/>
    </row>
    <row r="275" spans="4:4">
      <c r="D275" s="1197"/>
    </row>
    <row r="276" spans="4:4">
      <c r="D276" s="1197"/>
    </row>
    <row r="277" spans="4:4">
      <c r="D277" s="1197"/>
    </row>
    <row r="278" spans="4:4">
      <c r="D278" s="1197"/>
    </row>
    <row r="279" spans="4:4">
      <c r="D279" s="1197"/>
    </row>
    <row r="280" spans="4:4">
      <c r="D280" s="1197"/>
    </row>
    <row r="281" spans="4:4">
      <c r="D281" s="1197"/>
    </row>
    <row r="282" spans="4:4">
      <c r="D282" s="1197"/>
    </row>
    <row r="283" spans="4:4">
      <c r="D283" s="1197"/>
    </row>
    <row r="284" spans="4:4">
      <c r="D284" s="1197"/>
    </row>
    <row r="285" spans="4:4">
      <c r="D285" s="1197"/>
    </row>
    <row r="286" spans="4:4">
      <c r="D286" s="1197"/>
    </row>
    <row r="287" spans="4:4">
      <c r="D287" s="1197"/>
    </row>
    <row r="288" spans="4:4">
      <c r="D288" s="1197"/>
    </row>
    <row r="289" spans="4:4">
      <c r="D289" s="1197"/>
    </row>
    <row r="290" spans="4:4">
      <c r="D290" s="1197"/>
    </row>
    <row r="291" spans="4:4">
      <c r="D291" s="1197"/>
    </row>
    <row r="292" spans="4:4">
      <c r="D292" s="1197"/>
    </row>
    <row r="293" spans="4:4">
      <c r="D293" s="1197"/>
    </row>
    <row r="294" spans="4:4">
      <c r="D294" s="1197"/>
    </row>
    <row r="295" spans="4:4">
      <c r="D295" s="1197"/>
    </row>
    <row r="296" spans="4:4">
      <c r="D296" s="1197"/>
    </row>
    <row r="297" spans="4:4">
      <c r="D297" s="1197"/>
    </row>
    <row r="298" spans="4:4">
      <c r="D298" s="1197"/>
    </row>
    <row r="299" spans="4:4">
      <c r="D299" s="1197"/>
    </row>
    <row r="300" spans="4:4">
      <c r="D300" s="1197"/>
    </row>
    <row r="301" spans="4:4">
      <c r="D301" s="1197"/>
    </row>
    <row r="302" spans="4:4">
      <c r="D302" s="1197"/>
    </row>
    <row r="303" spans="4:4">
      <c r="D303" s="1197"/>
    </row>
    <row r="304" spans="4:4">
      <c r="D304" s="1197"/>
    </row>
    <row r="305" spans="4:4">
      <c r="D305" s="1197"/>
    </row>
    <row r="306" spans="4:4">
      <c r="D306" s="1197"/>
    </row>
    <row r="307" spans="4:4">
      <c r="D307" s="1197"/>
    </row>
    <row r="308" spans="4:4">
      <c r="D308" s="1197"/>
    </row>
    <row r="309" spans="4:4">
      <c r="D309" s="1197"/>
    </row>
    <row r="310" spans="4:4">
      <c r="D310" s="1197"/>
    </row>
    <row r="311" spans="4:4">
      <c r="D311" s="1197"/>
    </row>
    <row r="312" spans="4:4">
      <c r="D312" s="1197"/>
    </row>
    <row r="313" spans="4:4">
      <c r="D313" s="1197"/>
    </row>
    <row r="314" spans="4:4">
      <c r="D314" s="1197"/>
    </row>
    <row r="315" spans="4:4">
      <c r="D315" s="1197"/>
    </row>
    <row r="316" spans="4:4">
      <c r="D316" s="1197"/>
    </row>
    <row r="317" spans="4:4">
      <c r="D317" s="1197"/>
    </row>
    <row r="318" spans="4:4">
      <c r="D318" s="1197"/>
    </row>
    <row r="319" spans="4:4">
      <c r="D319" s="1197"/>
    </row>
    <row r="320" spans="4:4">
      <c r="D320" s="1197"/>
    </row>
    <row r="321" spans="4:4">
      <c r="D321" s="1197"/>
    </row>
    <row r="322" spans="4:4">
      <c r="D322" s="1197"/>
    </row>
    <row r="323" spans="4:4">
      <c r="D323" s="1197"/>
    </row>
    <row r="324" spans="4:4">
      <c r="D324" s="1197"/>
    </row>
    <row r="325" spans="4:4">
      <c r="D325" s="1197"/>
    </row>
    <row r="326" spans="4:4">
      <c r="D326" s="1197"/>
    </row>
    <row r="327" spans="4:4">
      <c r="D327" s="1197"/>
    </row>
    <row r="328" spans="4:4">
      <c r="D328" s="1197"/>
    </row>
    <row r="329" spans="4:4">
      <c r="D329" s="1197"/>
    </row>
    <row r="330" spans="4:4">
      <c r="D330" s="1197"/>
    </row>
    <row r="331" spans="4:4">
      <c r="D331" s="1197"/>
    </row>
    <row r="332" spans="4:4">
      <c r="D332" s="1197"/>
    </row>
    <row r="333" spans="4:4">
      <c r="D333" s="1197"/>
    </row>
    <row r="334" spans="4:4">
      <c r="D334" s="1197"/>
    </row>
    <row r="335" spans="4:4">
      <c r="D335" s="1197"/>
    </row>
    <row r="336" spans="4:4">
      <c r="D336" s="1197"/>
    </row>
    <row r="337" spans="4:4">
      <c r="D337" s="1197"/>
    </row>
    <row r="338" spans="4:4">
      <c r="D338" s="1197"/>
    </row>
    <row r="339" spans="4:4">
      <c r="D339" s="1197"/>
    </row>
    <row r="340" spans="4:4">
      <c r="D340" s="1197"/>
    </row>
    <row r="341" spans="4:4">
      <c r="D341" s="1197"/>
    </row>
    <row r="342" spans="4:4">
      <c r="D342" s="1197"/>
    </row>
    <row r="343" spans="4:4">
      <c r="D343" s="1197"/>
    </row>
    <row r="344" spans="4:4">
      <c r="D344" s="1197"/>
    </row>
    <row r="345" spans="4:4">
      <c r="D345" s="1197"/>
    </row>
    <row r="346" spans="4:4">
      <c r="D346" s="1197"/>
    </row>
    <row r="347" spans="4:4">
      <c r="D347" s="1197"/>
    </row>
    <row r="348" spans="4:4">
      <c r="D348" s="1197"/>
    </row>
    <row r="349" spans="4:4">
      <c r="D349" s="1197"/>
    </row>
    <row r="350" spans="4:4">
      <c r="D350" s="1197"/>
    </row>
    <row r="351" spans="4:4">
      <c r="D351" s="1197"/>
    </row>
    <row r="352" spans="4:4">
      <c r="D352" s="1197"/>
    </row>
    <row r="353" spans="4:4">
      <c r="D353" s="1197"/>
    </row>
    <row r="354" spans="4:4">
      <c r="D354" s="1197"/>
    </row>
    <row r="355" spans="4:4">
      <c r="D355" s="1197"/>
    </row>
    <row r="356" spans="4:4">
      <c r="D356" s="1197"/>
    </row>
    <row r="357" spans="4:4">
      <c r="D357" s="1197"/>
    </row>
    <row r="358" spans="4:4">
      <c r="D358" s="1197"/>
    </row>
    <row r="359" spans="4:4">
      <c r="D359" s="1197"/>
    </row>
    <row r="360" spans="4:4">
      <c r="D360" s="1197"/>
    </row>
    <row r="361" spans="4:4">
      <c r="D361" s="1197"/>
    </row>
    <row r="362" spans="4:4">
      <c r="D362" s="1197"/>
    </row>
    <row r="363" spans="4:4">
      <c r="D363" s="1197"/>
    </row>
    <row r="364" spans="4:4">
      <c r="D364" s="1197"/>
    </row>
    <row r="365" spans="4:4">
      <c r="D365" s="1197"/>
    </row>
    <row r="366" spans="4:4">
      <c r="D366" s="1197"/>
    </row>
    <row r="367" spans="4:4">
      <c r="D367" s="1197"/>
    </row>
    <row r="368" spans="4:4">
      <c r="D368" s="1197"/>
    </row>
    <row r="369" spans="4:4">
      <c r="D369" s="1197"/>
    </row>
    <row r="370" spans="4:4">
      <c r="D370" s="1197"/>
    </row>
    <row r="371" spans="4:4">
      <c r="D371" s="1197"/>
    </row>
    <row r="372" spans="4:4">
      <c r="D372" s="1197"/>
    </row>
    <row r="373" spans="4:4">
      <c r="D373" s="1197"/>
    </row>
    <row r="374" spans="4:4">
      <c r="D374" s="1197"/>
    </row>
    <row r="375" spans="4:4">
      <c r="D375" s="1197"/>
    </row>
    <row r="376" spans="4:4">
      <c r="D376" s="1197"/>
    </row>
    <row r="377" spans="4:4">
      <c r="D377" s="1197"/>
    </row>
    <row r="378" spans="4:4">
      <c r="D378" s="1197"/>
    </row>
    <row r="379" spans="4:4">
      <c r="D379" s="1197"/>
    </row>
    <row r="380" spans="4:4">
      <c r="D380" s="1197"/>
    </row>
    <row r="381" spans="4:4">
      <c r="D381" s="1197"/>
    </row>
    <row r="382" spans="4:4">
      <c r="D382" s="1197"/>
    </row>
    <row r="383" spans="4:4">
      <c r="D383" s="1197"/>
    </row>
    <row r="384" spans="4:4">
      <c r="D384" s="1197"/>
    </row>
    <row r="385" spans="4:4">
      <c r="D385" s="1197"/>
    </row>
    <row r="386" spans="4:4">
      <c r="D386" s="1197"/>
    </row>
    <row r="387" spans="4:4">
      <c r="D387" s="1197"/>
    </row>
    <row r="388" spans="4:4">
      <c r="D388" s="1197"/>
    </row>
    <row r="389" spans="4:4">
      <c r="D389" s="1197"/>
    </row>
    <row r="390" spans="4:4">
      <c r="D390" s="1197"/>
    </row>
    <row r="391" spans="4:4">
      <c r="D391" s="1197"/>
    </row>
    <row r="392" spans="4:4">
      <c r="D392" s="1197"/>
    </row>
    <row r="393" spans="4:4">
      <c r="D393" s="1197"/>
    </row>
    <row r="394" spans="4:4">
      <c r="D394" s="1197"/>
    </row>
    <row r="395" spans="4:4">
      <c r="D395" s="1197"/>
    </row>
    <row r="396" spans="4:4">
      <c r="D396" s="1197"/>
    </row>
    <row r="397" spans="4:4">
      <c r="D397" s="1197"/>
    </row>
    <row r="398" spans="4:4">
      <c r="D398" s="1197"/>
    </row>
    <row r="399" spans="4:4">
      <c r="D399" s="1197"/>
    </row>
    <row r="400" spans="4:4">
      <c r="D400" s="1197"/>
    </row>
    <row r="401" spans="4:4">
      <c r="D401" s="1197"/>
    </row>
    <row r="402" spans="4:4">
      <c r="D402" s="1197"/>
    </row>
    <row r="403" spans="4:4">
      <c r="D403" s="1197"/>
    </row>
    <row r="404" spans="4:4">
      <c r="D404" s="1197"/>
    </row>
    <row r="405" spans="4:4">
      <c r="D405" s="1197"/>
    </row>
    <row r="406" spans="4:4">
      <c r="D406" s="1197"/>
    </row>
    <row r="407" spans="4:4">
      <c r="D407" s="1197"/>
    </row>
    <row r="408" spans="4:4">
      <c r="D408" s="1197"/>
    </row>
    <row r="409" spans="4:4">
      <c r="D409" s="1197"/>
    </row>
    <row r="410" spans="4:4">
      <c r="D410" s="1197"/>
    </row>
    <row r="411" spans="4:4">
      <c r="D411" s="1197"/>
    </row>
    <row r="412" spans="4:4">
      <c r="D412" s="1197"/>
    </row>
    <row r="413" spans="4:4">
      <c r="D413" s="1197"/>
    </row>
    <row r="414" spans="4:4">
      <c r="D414" s="1197"/>
    </row>
    <row r="415" spans="4:4">
      <c r="D415" s="1197"/>
    </row>
    <row r="416" spans="4:4">
      <c r="D416" s="1197"/>
    </row>
    <row r="417" spans="4:4">
      <c r="D417" s="1197"/>
    </row>
    <row r="418" spans="4:4">
      <c r="D418" s="1197"/>
    </row>
    <row r="419" spans="4:4">
      <c r="D419" s="1197"/>
    </row>
    <row r="420" spans="4:4">
      <c r="D420" s="1197"/>
    </row>
    <row r="421" spans="4:4">
      <c r="D421" s="1197"/>
    </row>
    <row r="422" spans="4:4">
      <c r="D422" s="1197"/>
    </row>
    <row r="423" spans="4:4">
      <c r="D423" s="1197"/>
    </row>
    <row r="424" spans="4:4">
      <c r="D424" s="1197"/>
    </row>
    <row r="425" spans="4:4">
      <c r="D425" s="1197"/>
    </row>
    <row r="426" spans="4:4">
      <c r="D426" s="1197"/>
    </row>
    <row r="427" spans="4:4">
      <c r="D427" s="1197"/>
    </row>
    <row r="428" spans="4:4">
      <c r="D428" s="1197"/>
    </row>
    <row r="429" spans="4:4">
      <c r="D429" s="1197"/>
    </row>
    <row r="430" spans="4:4">
      <c r="D430" s="1197"/>
    </row>
    <row r="431" spans="4:4">
      <c r="D431" s="1197"/>
    </row>
    <row r="432" spans="4:4">
      <c r="D432" s="1197"/>
    </row>
    <row r="433" spans="4:4">
      <c r="D433" s="1197"/>
    </row>
    <row r="434" spans="4:4">
      <c r="D434" s="1197"/>
    </row>
    <row r="435" spans="4:4">
      <c r="D435" s="1197"/>
    </row>
    <row r="436" spans="4:4">
      <c r="D436" s="1197"/>
    </row>
    <row r="437" spans="4:4">
      <c r="D437" s="1197"/>
    </row>
    <row r="438" spans="4:4">
      <c r="D438" s="1197"/>
    </row>
    <row r="439" spans="4:4">
      <c r="D439" s="1197"/>
    </row>
    <row r="440" spans="4:4">
      <c r="D440" s="1197"/>
    </row>
    <row r="441" spans="4:4">
      <c r="D441" s="1197"/>
    </row>
    <row r="442" spans="4:4">
      <c r="D442" s="1197"/>
    </row>
    <row r="443" spans="4:4">
      <c r="D443" s="1197"/>
    </row>
    <row r="444" spans="4:4">
      <c r="D444" s="1197"/>
    </row>
    <row r="445" spans="4:4">
      <c r="D445" s="1197"/>
    </row>
    <row r="446" spans="4:4">
      <c r="D446" s="1197"/>
    </row>
    <row r="447" spans="4:4">
      <c r="D447" s="1197"/>
    </row>
    <row r="448" spans="4:4">
      <c r="D448" s="1197"/>
    </row>
    <row r="449" spans="4:4">
      <c r="D449" s="1197"/>
    </row>
    <row r="450" spans="4:4">
      <c r="D450" s="1197"/>
    </row>
    <row r="451" spans="4:4">
      <c r="D451" s="1197"/>
    </row>
    <row r="452" spans="4:4">
      <c r="D452" s="1197"/>
    </row>
    <row r="453" spans="4:4">
      <c r="D453" s="1197"/>
    </row>
    <row r="454" spans="4:4">
      <c r="D454" s="1197"/>
    </row>
    <row r="455" spans="4:4">
      <c r="D455" s="1197"/>
    </row>
    <row r="456" spans="4:4">
      <c r="D456" s="1197"/>
    </row>
    <row r="457" spans="4:4">
      <c r="D457" s="1197"/>
    </row>
    <row r="458" spans="4:4">
      <c r="D458" s="1197"/>
    </row>
    <row r="459" spans="4:4">
      <c r="D459" s="1197"/>
    </row>
    <row r="460" spans="4:4">
      <c r="D460" s="1197"/>
    </row>
    <row r="461" spans="4:4">
      <c r="D461" s="1197"/>
    </row>
    <row r="462" spans="4:4">
      <c r="D462" s="1197"/>
    </row>
    <row r="463" spans="4:4">
      <c r="D463" s="1197"/>
    </row>
    <row r="464" spans="4:4">
      <c r="D464" s="1197"/>
    </row>
    <row r="465" spans="4:4">
      <c r="D465" s="1197"/>
    </row>
    <row r="466" spans="4:4">
      <c r="D466" s="1197"/>
    </row>
    <row r="467" spans="4:4">
      <c r="D467" s="1197"/>
    </row>
    <row r="468" spans="4:4">
      <c r="D468" s="1197"/>
    </row>
    <row r="469" spans="4:4">
      <c r="D469" s="1197"/>
    </row>
    <row r="470" spans="4:4">
      <c r="D470" s="1197"/>
    </row>
    <row r="471" spans="4:4">
      <c r="D471" s="1197"/>
    </row>
    <row r="472" spans="4:4">
      <c r="D472" s="1197"/>
    </row>
    <row r="473" spans="4:4">
      <c r="D473" s="1197"/>
    </row>
    <row r="474" spans="4:4">
      <c r="D474" s="1197"/>
    </row>
    <row r="475" spans="4:4">
      <c r="D475" s="1197"/>
    </row>
    <row r="476" spans="4:4">
      <c r="D476" s="1197"/>
    </row>
    <row r="477" spans="4:4">
      <c r="D477" s="1197"/>
    </row>
    <row r="478" spans="4:4">
      <c r="D478" s="1197"/>
    </row>
    <row r="479" spans="4:4">
      <c r="D479" s="1197"/>
    </row>
    <row r="480" spans="4:4">
      <c r="D480" s="1197"/>
    </row>
    <row r="481" spans="4:4">
      <c r="D481" s="1197"/>
    </row>
    <row r="482" spans="4:4">
      <c r="D482" s="1197"/>
    </row>
    <row r="483" spans="4:4">
      <c r="D483" s="1197"/>
    </row>
    <row r="484" spans="4:4">
      <c r="D484" s="1197"/>
    </row>
    <row r="485" spans="4:4">
      <c r="D485" s="1197"/>
    </row>
    <row r="486" spans="4:4">
      <c r="D486" s="1197"/>
    </row>
    <row r="487" spans="4:4">
      <c r="D487" s="1197"/>
    </row>
    <row r="488" spans="4:4">
      <c r="D488" s="1197"/>
    </row>
    <row r="489" spans="4:4">
      <c r="D489" s="1197"/>
    </row>
    <row r="490" spans="4:4">
      <c r="D490" s="1197"/>
    </row>
    <row r="491" spans="4:4">
      <c r="D491" s="1197"/>
    </row>
    <row r="492" spans="4:4">
      <c r="D492" s="1197"/>
    </row>
    <row r="493" spans="4:4">
      <c r="D493" s="1197"/>
    </row>
    <row r="494" spans="4:4">
      <c r="D494" s="1197"/>
    </row>
    <row r="495" spans="4:4">
      <c r="D495" s="1197"/>
    </row>
    <row r="496" spans="4:4">
      <c r="D496" s="1197"/>
    </row>
    <row r="497" spans="4:4">
      <c r="D497" s="1197"/>
    </row>
    <row r="498" spans="4:4">
      <c r="D498" s="1197"/>
    </row>
    <row r="499" spans="4:4">
      <c r="D499" s="1197"/>
    </row>
    <row r="500" spans="4:4">
      <c r="D500" s="1197"/>
    </row>
    <row r="501" spans="4:4">
      <c r="D501" s="1197"/>
    </row>
    <row r="502" spans="4:4">
      <c r="D502" s="1197"/>
    </row>
    <row r="503" spans="4:4">
      <c r="D503" s="1197"/>
    </row>
    <row r="504" spans="4:4">
      <c r="D504" s="1197"/>
    </row>
    <row r="505" spans="4:4">
      <c r="D505" s="1197"/>
    </row>
    <row r="506" spans="4:4">
      <c r="D506" s="1197"/>
    </row>
    <row r="507" spans="4:4">
      <c r="D507" s="1197"/>
    </row>
    <row r="508" spans="4:4">
      <c r="D508" s="1197"/>
    </row>
    <row r="509" spans="4:4">
      <c r="D509" s="1197"/>
    </row>
    <row r="510" spans="4:4">
      <c r="D510" s="1197"/>
    </row>
    <row r="511" spans="4:4">
      <c r="D511" s="1197"/>
    </row>
    <row r="512" spans="4:4">
      <c r="D512" s="1197"/>
    </row>
    <row r="513" spans="4:4">
      <c r="D513" s="1197"/>
    </row>
    <row r="514" spans="4:4">
      <c r="D514" s="1197"/>
    </row>
    <row r="515" spans="4:4">
      <c r="D515" s="1197"/>
    </row>
    <row r="516" spans="4:4">
      <c r="D516" s="1197"/>
    </row>
    <row r="517" spans="4:4">
      <c r="D517" s="1197"/>
    </row>
    <row r="518" spans="4:4">
      <c r="D518" s="1197"/>
    </row>
    <row r="519" spans="4:4">
      <c r="D519" s="1197"/>
    </row>
    <row r="520" spans="4:4">
      <c r="D520" s="1197"/>
    </row>
    <row r="521" spans="4:4">
      <c r="D521" s="1197"/>
    </row>
    <row r="522" spans="4:4">
      <c r="D522" s="1197"/>
    </row>
    <row r="523" spans="4:4">
      <c r="D523" s="1197"/>
    </row>
    <row r="524" spans="4:4">
      <c r="D524" s="1197"/>
    </row>
    <row r="525" spans="4:4">
      <c r="D525" s="1197"/>
    </row>
    <row r="526" spans="4:4">
      <c r="D526" s="1197"/>
    </row>
    <row r="527" spans="4:4">
      <c r="D527" s="1197"/>
    </row>
    <row r="528" spans="4:4">
      <c r="D528" s="1197"/>
    </row>
    <row r="529" spans="4:4">
      <c r="D529" s="1197"/>
    </row>
    <row r="530" spans="4:4">
      <c r="D530" s="1197"/>
    </row>
    <row r="531" spans="4:4">
      <c r="D531" s="1197"/>
    </row>
    <row r="532" spans="4:4">
      <c r="D532" s="1197"/>
    </row>
    <row r="533" spans="4:4">
      <c r="D533" s="1197"/>
    </row>
    <row r="534" spans="4:4">
      <c r="D534" s="1197"/>
    </row>
    <row r="535" spans="4:4">
      <c r="D535" s="1197"/>
    </row>
    <row r="536" spans="4:4">
      <c r="D536" s="1197"/>
    </row>
    <row r="537" spans="4:4">
      <c r="D537" s="1197"/>
    </row>
    <row r="538" spans="4:4">
      <c r="D538" s="1197"/>
    </row>
    <row r="539" spans="4:4">
      <c r="D539" s="1197"/>
    </row>
    <row r="540" spans="4:4">
      <c r="D540" s="1197"/>
    </row>
    <row r="541" spans="4:4">
      <c r="D541" s="1197"/>
    </row>
    <row r="542" spans="4:4">
      <c r="D542" s="1197"/>
    </row>
    <row r="543" spans="4:4">
      <c r="D543" s="1197"/>
    </row>
    <row r="544" spans="4:4">
      <c r="D544" s="1197"/>
    </row>
    <row r="545" spans="4:4">
      <c r="D545" s="1197"/>
    </row>
    <row r="546" spans="4:4">
      <c r="D546" s="1197"/>
    </row>
    <row r="547" spans="4:4">
      <c r="D547" s="1197"/>
    </row>
    <row r="548" spans="4:4">
      <c r="D548" s="1197"/>
    </row>
    <row r="549" spans="4:4">
      <c r="D549" s="1197"/>
    </row>
    <row r="550" spans="4:4">
      <c r="D550" s="1197"/>
    </row>
    <row r="551" spans="4:4">
      <c r="D551" s="1197"/>
    </row>
    <row r="552" spans="4:4">
      <c r="D552" s="1197"/>
    </row>
    <row r="553" spans="4:4">
      <c r="D553" s="1197"/>
    </row>
    <row r="554" spans="4:4">
      <c r="D554" s="1197"/>
    </row>
    <row r="555" spans="4:4">
      <c r="D555" s="1197"/>
    </row>
    <row r="556" spans="4:4">
      <c r="D556" s="1197"/>
    </row>
    <row r="557" spans="4:4">
      <c r="D557" s="1197"/>
    </row>
    <row r="558" spans="4:4">
      <c r="D558" s="1197"/>
    </row>
    <row r="559" spans="4:4">
      <c r="D559" s="1197"/>
    </row>
    <row r="560" spans="4:4">
      <c r="D560" s="1197"/>
    </row>
    <row r="561" spans="4:4">
      <c r="D561" s="1197"/>
    </row>
    <row r="562" spans="4:4">
      <c r="D562" s="1197"/>
    </row>
    <row r="563" spans="4:4">
      <c r="D563" s="1197"/>
    </row>
    <row r="564" spans="4:4">
      <c r="D564" s="1197"/>
    </row>
    <row r="565" spans="4:4">
      <c r="D565" s="1197"/>
    </row>
    <row r="566" spans="4:4">
      <c r="D566" s="1197"/>
    </row>
    <row r="567" spans="4:4">
      <c r="D567" s="1197"/>
    </row>
    <row r="568" spans="4:4">
      <c r="D568" s="1197"/>
    </row>
    <row r="569" spans="4:4">
      <c r="D569" s="1197"/>
    </row>
    <row r="570" spans="4:4">
      <c r="D570" s="1197"/>
    </row>
    <row r="571" spans="4:4">
      <c r="D571" s="1197"/>
    </row>
    <row r="572" spans="4:4">
      <c r="D572" s="1197"/>
    </row>
    <row r="573" spans="4:4">
      <c r="D573" s="1197"/>
    </row>
    <row r="574" spans="4:4">
      <c r="D574" s="1197"/>
    </row>
    <row r="575" spans="4:4">
      <c r="D575" s="1197"/>
    </row>
    <row r="576" spans="4:4">
      <c r="D576" s="1197"/>
    </row>
    <row r="577" spans="4:4">
      <c r="D577" s="1197"/>
    </row>
    <row r="578" spans="4:4">
      <c r="D578" s="1197"/>
    </row>
    <row r="579" spans="4:4">
      <c r="D579" s="1197"/>
    </row>
    <row r="580" spans="4:4">
      <c r="D580" s="1197"/>
    </row>
    <row r="581" spans="4:4">
      <c r="D581" s="1197"/>
    </row>
    <row r="582" spans="4:4">
      <c r="D582" s="1197"/>
    </row>
    <row r="583" spans="4:4">
      <c r="D583" s="1197"/>
    </row>
    <row r="584" spans="4:4">
      <c r="D584" s="1197"/>
    </row>
    <row r="585" spans="4:4">
      <c r="D585" s="1197"/>
    </row>
    <row r="586" spans="4:4">
      <c r="D586" s="1197"/>
    </row>
    <row r="587" spans="4:4">
      <c r="D587" s="1197"/>
    </row>
    <row r="588" spans="4:4">
      <c r="D588" s="1197"/>
    </row>
    <row r="589" spans="4:4">
      <c r="D589" s="1197"/>
    </row>
    <row r="590" spans="4:4">
      <c r="D590" s="1197"/>
    </row>
    <row r="591" spans="4:4">
      <c r="D591" s="1197"/>
    </row>
    <row r="592" spans="4:4">
      <c r="D592" s="1197"/>
    </row>
    <row r="593" spans="4:4">
      <c r="D593" s="1197"/>
    </row>
    <row r="594" spans="4:4">
      <c r="D594" s="1197"/>
    </row>
    <row r="595" spans="4:4">
      <c r="D595" s="1197"/>
    </row>
    <row r="596" spans="4:4">
      <c r="D596" s="1197"/>
    </row>
    <row r="597" spans="4:4">
      <c r="D597" s="1197"/>
    </row>
    <row r="598" spans="4:4">
      <c r="D598" s="1197"/>
    </row>
    <row r="599" spans="4:4">
      <c r="D599" s="1197"/>
    </row>
    <row r="600" spans="4:4">
      <c r="D600" s="1197"/>
    </row>
    <row r="601" spans="4:4">
      <c r="D601" s="1197"/>
    </row>
    <row r="602" spans="4:4">
      <c r="D602" s="1197"/>
    </row>
    <row r="603" spans="4:4">
      <c r="D603" s="1197"/>
    </row>
    <row r="604" spans="4:4">
      <c r="D604" s="1197"/>
    </row>
    <row r="605" spans="4:4">
      <c r="D605" s="1197"/>
    </row>
    <row r="606" spans="4:4">
      <c r="D606" s="1197"/>
    </row>
    <row r="607" spans="4:4">
      <c r="D607" s="1197"/>
    </row>
    <row r="608" spans="4:4">
      <c r="D608" s="1197"/>
    </row>
    <row r="609" spans="4:4">
      <c r="D609" s="1197"/>
    </row>
    <row r="610" spans="4:4">
      <c r="D610" s="1197"/>
    </row>
    <row r="611" spans="4:4">
      <c r="D611" s="1197"/>
    </row>
    <row r="612" spans="4:4">
      <c r="D612" s="1197"/>
    </row>
    <row r="613" spans="4:4">
      <c r="D613" s="1197"/>
    </row>
    <row r="614" spans="4:4">
      <c r="D614" s="1197"/>
    </row>
    <row r="615" spans="4:4">
      <c r="D615" s="1197"/>
    </row>
    <row r="616" spans="4:4">
      <c r="D616" s="1197"/>
    </row>
    <row r="617" spans="4:4">
      <c r="D617" s="1197"/>
    </row>
    <row r="618" spans="4:4">
      <c r="D618" s="1197"/>
    </row>
    <row r="619" spans="4:4">
      <c r="D619" s="1197"/>
    </row>
    <row r="620" spans="4:4">
      <c r="D620" s="1197"/>
    </row>
    <row r="621" spans="4:4">
      <c r="D621" s="1197"/>
    </row>
    <row r="622" spans="4:4">
      <c r="D622" s="1197"/>
    </row>
    <row r="623" spans="4:4">
      <c r="D623" s="1197"/>
    </row>
    <row r="624" spans="4:4">
      <c r="D624" s="1197"/>
    </row>
    <row r="625" spans="4:4">
      <c r="D625" s="1197"/>
    </row>
    <row r="626" spans="4:4">
      <c r="D626" s="1197"/>
    </row>
    <row r="627" spans="4:4">
      <c r="D627" s="1197"/>
    </row>
    <row r="628" spans="4:4">
      <c r="D628" s="1197"/>
    </row>
    <row r="629" spans="4:4">
      <c r="D629" s="1197"/>
    </row>
    <row r="630" spans="4:4">
      <c r="D630" s="1197"/>
    </row>
    <row r="631" spans="4:4">
      <c r="D631" s="1197"/>
    </row>
    <row r="632" spans="4:4">
      <c r="D632" s="1197"/>
    </row>
    <row r="633" spans="4:4">
      <c r="D633" s="1197"/>
    </row>
    <row r="634" spans="4:4">
      <c r="D634" s="1197"/>
    </row>
    <row r="635" spans="4:4">
      <c r="D635" s="1197"/>
    </row>
    <row r="636" spans="4:4">
      <c r="D636" s="1197"/>
    </row>
    <row r="637" spans="4:4">
      <c r="D637" s="1197"/>
    </row>
    <row r="638" spans="4:4">
      <c r="D638" s="1197"/>
    </row>
    <row r="639" spans="4:4">
      <c r="D639" s="1197"/>
    </row>
    <row r="640" spans="4:4">
      <c r="D640" s="1197"/>
    </row>
    <row r="641" spans="4:4">
      <c r="D641" s="1197"/>
    </row>
    <row r="642" spans="4:4">
      <c r="D642" s="1197"/>
    </row>
    <row r="643" spans="4:4">
      <c r="D643" s="1197"/>
    </row>
    <row r="644" spans="4:4">
      <c r="D644" s="1197"/>
    </row>
    <row r="645" spans="4:4">
      <c r="D645" s="1197"/>
    </row>
    <row r="646" spans="4:4">
      <c r="D646" s="1197"/>
    </row>
    <row r="647" spans="4:4">
      <c r="D647" s="1197"/>
    </row>
    <row r="648" spans="4:4">
      <c r="D648" s="1197"/>
    </row>
    <row r="649" spans="4:4">
      <c r="D649" s="1197"/>
    </row>
    <row r="650" spans="4:4">
      <c r="D650" s="1197"/>
    </row>
    <row r="651" spans="4:4">
      <c r="D651" s="1197"/>
    </row>
    <row r="652" spans="4:4">
      <c r="D652" s="1197"/>
    </row>
    <row r="653" spans="4:4">
      <c r="D653" s="1197"/>
    </row>
    <row r="654" spans="4:4">
      <c r="D654" s="1197"/>
    </row>
    <row r="655" spans="4:4">
      <c r="D655" s="1197"/>
    </row>
    <row r="656" spans="4:4">
      <c r="D656" s="1197"/>
    </row>
    <row r="657" spans="4:4">
      <c r="D657" s="1197"/>
    </row>
    <row r="658" spans="4:4">
      <c r="D658" s="1197"/>
    </row>
    <row r="659" spans="4:4">
      <c r="D659" s="1197"/>
    </row>
    <row r="660" spans="4:4">
      <c r="D660" s="1197"/>
    </row>
    <row r="661" spans="4:4">
      <c r="D661" s="1197"/>
    </row>
    <row r="662" spans="4:4">
      <c r="D662" s="1197"/>
    </row>
    <row r="663" spans="4:4">
      <c r="D663" s="1197"/>
    </row>
    <row r="664" spans="4:4">
      <c r="D664" s="1197"/>
    </row>
    <row r="665" spans="4:4">
      <c r="D665" s="1197"/>
    </row>
    <row r="666" spans="4:4">
      <c r="D666" s="1197"/>
    </row>
    <row r="667" spans="4:4">
      <c r="D667" s="1197"/>
    </row>
    <row r="668" spans="4:4">
      <c r="D668" s="1197"/>
    </row>
    <row r="669" spans="4:4">
      <c r="D669" s="1197"/>
    </row>
    <row r="670" spans="4:4">
      <c r="D670" s="1197"/>
    </row>
    <row r="671" spans="4:4">
      <c r="D671" s="1197"/>
    </row>
    <row r="672" spans="4:4">
      <c r="D672" s="1197"/>
    </row>
    <row r="673" spans="4:4">
      <c r="D673" s="1197"/>
    </row>
    <row r="674" spans="4:4">
      <c r="D674" s="1197"/>
    </row>
    <row r="675" spans="4:4">
      <c r="D675" s="1197"/>
    </row>
    <row r="676" spans="4:4">
      <c r="D676" s="1197"/>
    </row>
    <row r="677" spans="4:4">
      <c r="D677" s="1197"/>
    </row>
    <row r="678" spans="4:4">
      <c r="D678" s="1197"/>
    </row>
    <row r="679" spans="4:4">
      <c r="D679" s="1197"/>
    </row>
    <row r="680" spans="4:4">
      <c r="D680" s="1197"/>
    </row>
    <row r="681" spans="4:4">
      <c r="D681" s="1197"/>
    </row>
    <row r="682" spans="4:4">
      <c r="D682" s="1197"/>
    </row>
    <row r="683" spans="4:4">
      <c r="D683" s="1197"/>
    </row>
    <row r="684" spans="4:4">
      <c r="D684" s="1197"/>
    </row>
    <row r="685" spans="4:4">
      <c r="D685" s="1197"/>
    </row>
    <row r="686" spans="4:4">
      <c r="D686" s="1197"/>
    </row>
    <row r="687" spans="4:4">
      <c r="D687" s="1197"/>
    </row>
    <row r="688" spans="4:4">
      <c r="D688" s="1197"/>
    </row>
    <row r="689" spans="4:4">
      <c r="D689" s="1197"/>
    </row>
    <row r="690" spans="4:4">
      <c r="D690" s="1197"/>
    </row>
    <row r="691" spans="4:4">
      <c r="D691" s="1197"/>
    </row>
    <row r="692" spans="4:4">
      <c r="D692" s="1197"/>
    </row>
    <row r="693" spans="4:4">
      <c r="D693" s="1197"/>
    </row>
    <row r="694" spans="4:4">
      <c r="D694" s="1197"/>
    </row>
    <row r="695" spans="4:4">
      <c r="D695" s="1197"/>
    </row>
    <row r="696" spans="4:4">
      <c r="D696" s="1197"/>
    </row>
    <row r="697" spans="4:4">
      <c r="D697" s="1197"/>
    </row>
    <row r="698" spans="4:4">
      <c r="D698" s="1197"/>
    </row>
    <row r="699" spans="4:4">
      <c r="D699" s="1197"/>
    </row>
    <row r="700" spans="4:4">
      <c r="D700" s="1197"/>
    </row>
    <row r="701" spans="4:4">
      <c r="D701" s="1197"/>
    </row>
    <row r="702" spans="4:4">
      <c r="D702" s="1197"/>
    </row>
    <row r="703" spans="4:4">
      <c r="D703" s="1197"/>
    </row>
    <row r="704" spans="4:4">
      <c r="D704" s="1197"/>
    </row>
    <row r="705" spans="4:4">
      <c r="D705" s="1197"/>
    </row>
    <row r="706" spans="4:4">
      <c r="D706" s="1197"/>
    </row>
    <row r="707" spans="4:4">
      <c r="D707" s="1197"/>
    </row>
    <row r="708" spans="4:4">
      <c r="D708" s="1197"/>
    </row>
    <row r="709" spans="4:4">
      <c r="D709" s="1197"/>
    </row>
    <row r="710" spans="4:4">
      <c r="D710" s="1197"/>
    </row>
    <row r="711" spans="4:4">
      <c r="D711" s="1197"/>
    </row>
    <row r="712" spans="4:4">
      <c r="D712" s="1197"/>
    </row>
    <row r="713" spans="4:4">
      <c r="D713" s="1197"/>
    </row>
    <row r="714" spans="4:4">
      <c r="D714" s="1197"/>
    </row>
    <row r="715" spans="4:4">
      <c r="D715" s="1197"/>
    </row>
    <row r="716" spans="4:4">
      <c r="D716" s="1197"/>
    </row>
    <row r="717" spans="4:4">
      <c r="D717" s="1197"/>
    </row>
    <row r="718" spans="4:4">
      <c r="D718" s="1197"/>
    </row>
    <row r="719" spans="4:4">
      <c r="D719" s="1197"/>
    </row>
    <row r="720" spans="4:4">
      <c r="D720" s="1197"/>
    </row>
    <row r="721" spans="4:4">
      <c r="D721" s="1197"/>
    </row>
    <row r="722" spans="4:4">
      <c r="D722" s="1197"/>
    </row>
    <row r="723" spans="4:4">
      <c r="D723" s="1197"/>
    </row>
    <row r="724" spans="4:4">
      <c r="D724" s="1197"/>
    </row>
    <row r="725" spans="4:4">
      <c r="D725" s="1197"/>
    </row>
    <row r="726" spans="4:4">
      <c r="D726" s="1197"/>
    </row>
    <row r="727" spans="4:4">
      <c r="D727" s="1197"/>
    </row>
    <row r="728" spans="4:4">
      <c r="D728" s="1197"/>
    </row>
    <row r="729" spans="4:4">
      <c r="D729" s="1197"/>
    </row>
    <row r="730" spans="4:4">
      <c r="D730" s="1197"/>
    </row>
    <row r="731" spans="4:4">
      <c r="D731" s="1197"/>
    </row>
    <row r="732" spans="4:4">
      <c r="D732" s="1197"/>
    </row>
    <row r="733" spans="4:4">
      <c r="D733" s="1197"/>
    </row>
    <row r="734" spans="4:4">
      <c r="D734" s="1197"/>
    </row>
    <row r="735" spans="4:4">
      <c r="D735" s="1197"/>
    </row>
    <row r="736" spans="4:4">
      <c r="D736" s="1197"/>
    </row>
    <row r="737" spans="4:4">
      <c r="D737" s="1197"/>
    </row>
    <row r="738" spans="4:4">
      <c r="D738" s="1197"/>
    </row>
    <row r="739" spans="4:4">
      <c r="D739" s="1197"/>
    </row>
    <row r="740" spans="4:4">
      <c r="D740" s="1197"/>
    </row>
    <row r="741" spans="4:4">
      <c r="D741" s="1197"/>
    </row>
    <row r="742" spans="4:4">
      <c r="D742" s="1197"/>
    </row>
    <row r="743" spans="4:4">
      <c r="D743" s="1197"/>
    </row>
    <row r="744" spans="4:4">
      <c r="D744" s="1197"/>
    </row>
    <row r="745" spans="4:4">
      <c r="D745" s="1197"/>
    </row>
    <row r="746" spans="4:4">
      <c r="D746" s="1197"/>
    </row>
    <row r="747" spans="4:4">
      <c r="D747" s="1197"/>
    </row>
    <row r="748" spans="4:4">
      <c r="D748" s="1197"/>
    </row>
    <row r="749" spans="4:4">
      <c r="D749" s="1197"/>
    </row>
    <row r="750" spans="4:4">
      <c r="D750" s="1197"/>
    </row>
    <row r="751" spans="4:4">
      <c r="D751" s="1197"/>
    </row>
    <row r="752" spans="4:4">
      <c r="D752" s="1197"/>
    </row>
    <row r="753" spans="4:4">
      <c r="D753" s="1197"/>
    </row>
    <row r="754" spans="4:4">
      <c r="D754" s="1197"/>
    </row>
    <row r="755" spans="4:4">
      <c r="D755" s="1197"/>
    </row>
    <row r="756" spans="4:4">
      <c r="D756" s="1197"/>
    </row>
    <row r="757" spans="4:4">
      <c r="D757" s="1197"/>
    </row>
    <row r="758" spans="4:4">
      <c r="D758" s="1197"/>
    </row>
    <row r="759" spans="4:4">
      <c r="D759" s="1197"/>
    </row>
    <row r="760" spans="4:4">
      <c r="D760" s="1197"/>
    </row>
    <row r="761" spans="4:4">
      <c r="D761" s="1197"/>
    </row>
    <row r="762" spans="4:4">
      <c r="D762" s="1197"/>
    </row>
    <row r="763" spans="4:4">
      <c r="D763" s="1197"/>
    </row>
    <row r="764" spans="4:4">
      <c r="D764" s="1197"/>
    </row>
    <row r="765" spans="4:4">
      <c r="D765" s="1197"/>
    </row>
    <row r="766" spans="4:4">
      <c r="D766" s="1197"/>
    </row>
    <row r="767" spans="4:4">
      <c r="D767" s="1197"/>
    </row>
    <row r="768" spans="4:4">
      <c r="D768" s="1197"/>
    </row>
    <row r="769" spans="4:4">
      <c r="D769" s="1197"/>
    </row>
    <row r="770" spans="4:4">
      <c r="D770" s="1197"/>
    </row>
    <row r="771" spans="4:4">
      <c r="D771" s="1197"/>
    </row>
    <row r="772" spans="4:4">
      <c r="D772" s="1197"/>
    </row>
    <row r="773" spans="4:4">
      <c r="D773" s="1197"/>
    </row>
    <row r="774" spans="4:4">
      <c r="D774" s="1197"/>
    </row>
    <row r="775" spans="4:4">
      <c r="D775" s="1197"/>
    </row>
    <row r="776" spans="4:4">
      <c r="D776" s="1197"/>
    </row>
    <row r="777" spans="4:4">
      <c r="D777" s="1197"/>
    </row>
    <row r="778" spans="4:4">
      <c r="D778" s="1197"/>
    </row>
    <row r="779" spans="4:4">
      <c r="D779" s="1197"/>
    </row>
    <row r="780" spans="4:4">
      <c r="D780" s="1197"/>
    </row>
    <row r="781" spans="4:4">
      <c r="D781" s="1197"/>
    </row>
    <row r="782" spans="4:4">
      <c r="D782" s="1197"/>
    </row>
    <row r="783" spans="4:4">
      <c r="D783" s="1197"/>
    </row>
    <row r="784" spans="4:4">
      <c r="D784" s="1197"/>
    </row>
    <row r="785" spans="4:4">
      <c r="D785" s="1197"/>
    </row>
    <row r="786" spans="4:4">
      <c r="D786" s="1197"/>
    </row>
    <row r="787" spans="4:4">
      <c r="D787" s="1197"/>
    </row>
    <row r="788" spans="4:4">
      <c r="D788" s="1197"/>
    </row>
    <row r="789" spans="4:4">
      <c r="D789" s="1197"/>
    </row>
    <row r="790" spans="4:4">
      <c r="D790" s="1197"/>
    </row>
    <row r="791" spans="4:4">
      <c r="D791" s="1197"/>
    </row>
    <row r="792" spans="4:4">
      <c r="D792" s="1197"/>
    </row>
    <row r="793" spans="4:4">
      <c r="D793" s="1197"/>
    </row>
    <row r="794" spans="4:4">
      <c r="D794" s="1197"/>
    </row>
    <row r="795" spans="4:4">
      <c r="D795" s="1197"/>
    </row>
    <row r="796" spans="4:4">
      <c r="D796" s="1197"/>
    </row>
    <row r="797" spans="4:4">
      <c r="D797" s="1197"/>
    </row>
    <row r="798" spans="4:4">
      <c r="D798" s="1197"/>
    </row>
    <row r="799" spans="4:4">
      <c r="D799" s="1197"/>
    </row>
    <row r="800" spans="4:4">
      <c r="D800" s="1197"/>
    </row>
    <row r="801" spans="4:4">
      <c r="D801" s="1197"/>
    </row>
    <row r="802" spans="4:4">
      <c r="D802" s="1197"/>
    </row>
    <row r="803" spans="4:4">
      <c r="D803" s="1197"/>
    </row>
    <row r="804" spans="4:4">
      <c r="D804" s="1197"/>
    </row>
    <row r="805" spans="4:4">
      <c r="D805" s="1197"/>
    </row>
    <row r="806" spans="4:4">
      <c r="D806" s="1197"/>
    </row>
    <row r="807" spans="4:4">
      <c r="D807" s="1197"/>
    </row>
    <row r="808" spans="4:4">
      <c r="D808" s="1197"/>
    </row>
    <row r="809" spans="4:4">
      <c r="D809" s="1197"/>
    </row>
    <row r="810" spans="4:4">
      <c r="D810" s="1197"/>
    </row>
    <row r="811" spans="4:4">
      <c r="D811" s="1197"/>
    </row>
    <row r="812" spans="4:4">
      <c r="D812" s="1197"/>
    </row>
    <row r="813" spans="4:4">
      <c r="D813" s="1197"/>
    </row>
    <row r="814" spans="4:4">
      <c r="D814" s="1197"/>
    </row>
    <row r="815" spans="4:4">
      <c r="D815" s="1197"/>
    </row>
    <row r="816" spans="4:4">
      <c r="D816" s="1197"/>
    </row>
    <row r="817" spans="4:4">
      <c r="D817" s="1197"/>
    </row>
    <row r="818" spans="4:4">
      <c r="D818" s="1197"/>
    </row>
    <row r="819" spans="4:4">
      <c r="D819" s="1197"/>
    </row>
    <row r="820" spans="4:4">
      <c r="D820" s="1197"/>
    </row>
    <row r="821" spans="4:4">
      <c r="D821" s="1197"/>
    </row>
    <row r="822" spans="4:4">
      <c r="D822" s="1197"/>
    </row>
    <row r="823" spans="4:4">
      <c r="D823" s="1197"/>
    </row>
    <row r="824" spans="4:4">
      <c r="D824" s="1197"/>
    </row>
    <row r="825" spans="4:4">
      <c r="D825" s="1197"/>
    </row>
    <row r="826" spans="4:4">
      <c r="D826" s="1197"/>
    </row>
    <row r="827" spans="4:4">
      <c r="D827" s="1197"/>
    </row>
    <row r="828" spans="4:4">
      <c r="D828" s="1197"/>
    </row>
    <row r="829" spans="4:4">
      <c r="D829" s="1197"/>
    </row>
    <row r="830" spans="4:4">
      <c r="D830" s="1197"/>
    </row>
    <row r="831" spans="4:4">
      <c r="D831" s="1197"/>
    </row>
    <row r="832" spans="4:4">
      <c r="D832" s="1197"/>
    </row>
    <row r="833" spans="4:4">
      <c r="D833" s="1197"/>
    </row>
    <row r="834" spans="4:4">
      <c r="D834" s="1197"/>
    </row>
    <row r="835" spans="4:4">
      <c r="D835" s="1197"/>
    </row>
    <row r="836" spans="4:4">
      <c r="D836" s="1197"/>
    </row>
    <row r="837" spans="4:4">
      <c r="D837" s="1197"/>
    </row>
    <row r="838" spans="4:4">
      <c r="D838" s="1197"/>
    </row>
    <row r="839" spans="4:4">
      <c r="D839" s="1197"/>
    </row>
    <row r="840" spans="4:4">
      <c r="D840" s="1197"/>
    </row>
    <row r="841" spans="4:4">
      <c r="D841" s="1197"/>
    </row>
    <row r="842" spans="4:4">
      <c r="D842" s="1197"/>
    </row>
    <row r="843" spans="4:4">
      <c r="D843" s="1197"/>
    </row>
    <row r="844" spans="4:4">
      <c r="D844" s="1197"/>
    </row>
    <row r="845" spans="4:4">
      <c r="D845" s="1197"/>
    </row>
    <row r="846" spans="4:4">
      <c r="D846" s="1197"/>
    </row>
    <row r="847" spans="4:4">
      <c r="D847" s="1197"/>
    </row>
    <row r="848" spans="4:4">
      <c r="D848" s="1197"/>
    </row>
    <row r="849" spans="4:4">
      <c r="D849" s="1197"/>
    </row>
    <row r="850" spans="4:4">
      <c r="D850" s="1197"/>
    </row>
    <row r="851" spans="4:4">
      <c r="D851" s="1197"/>
    </row>
    <row r="852" spans="4:4">
      <c r="D852" s="1197"/>
    </row>
    <row r="853" spans="4:4">
      <c r="D853" s="1197"/>
    </row>
    <row r="854" spans="4:4">
      <c r="D854" s="1197"/>
    </row>
    <row r="855" spans="4:4">
      <c r="D855" s="1197"/>
    </row>
    <row r="856" spans="4:4">
      <c r="D856" s="1197"/>
    </row>
    <row r="857" spans="4:4">
      <c r="D857" s="1197"/>
    </row>
    <row r="858" spans="4:4">
      <c r="D858" s="1197"/>
    </row>
    <row r="859" spans="4:4">
      <c r="D859" s="1197"/>
    </row>
    <row r="860" spans="4:4">
      <c r="D860" s="1197"/>
    </row>
    <row r="861" spans="4:4">
      <c r="D861" s="1197"/>
    </row>
    <row r="862" spans="4:4">
      <c r="D862" s="1197"/>
    </row>
    <row r="863" spans="4:4">
      <c r="D863" s="1197"/>
    </row>
    <row r="864" spans="4:4">
      <c r="D864" s="1197"/>
    </row>
    <row r="865" spans="4:4">
      <c r="D865" s="1197"/>
    </row>
    <row r="866" spans="4:4">
      <c r="D866" s="1197"/>
    </row>
    <row r="867" spans="4:4">
      <c r="D867" s="1197"/>
    </row>
    <row r="868" spans="4:4">
      <c r="D868" s="1197"/>
    </row>
    <row r="869" spans="4:4">
      <c r="D869" s="1197"/>
    </row>
    <row r="870" spans="4:4">
      <c r="D870" s="1197"/>
    </row>
    <row r="871" spans="4:4">
      <c r="D871" s="1197"/>
    </row>
    <row r="872" spans="4:4">
      <c r="D872" s="1197"/>
    </row>
    <row r="873" spans="4:4">
      <c r="D873" s="1197"/>
    </row>
    <row r="874" spans="4:4">
      <c r="D874" s="1197"/>
    </row>
    <row r="875" spans="4:4">
      <c r="D875" s="1197"/>
    </row>
    <row r="876" spans="4:4">
      <c r="D876" s="1197"/>
    </row>
    <row r="877" spans="4:4">
      <c r="D877" s="1197"/>
    </row>
    <row r="878" spans="4:4">
      <c r="D878" s="1197"/>
    </row>
    <row r="879" spans="4:4">
      <c r="D879" s="1197"/>
    </row>
    <row r="880" spans="4:4">
      <c r="D880" s="1197"/>
    </row>
    <row r="881" spans="4:4">
      <c r="D881" s="1197"/>
    </row>
    <row r="882" spans="4:4">
      <c r="D882" s="1197"/>
    </row>
    <row r="883" spans="4:4">
      <c r="D883" s="1197"/>
    </row>
    <row r="884" spans="4:4">
      <c r="D884" s="1197"/>
    </row>
    <row r="885" spans="4:4">
      <c r="D885" s="1197"/>
    </row>
    <row r="886" spans="4:4">
      <c r="D886" s="1197"/>
    </row>
    <row r="887" spans="4:4">
      <c r="D887" s="1197"/>
    </row>
    <row r="888" spans="4:4">
      <c r="D888" s="1197"/>
    </row>
    <row r="889" spans="4:4">
      <c r="D889" s="1197"/>
    </row>
  </sheetData>
  <dataConsolidate/>
  <dataValidations count="1">
    <dataValidation type="list" allowBlank="1" showInputMessage="1" showErrorMessage="1" sqref="C2:C22 IY2:IY22 SU2:SU22 ACQ2:ACQ22 AMM2:AMM22 AWI2:AWI22 BGE2:BGE22 BQA2:BQA22 BZW2:BZW22 CJS2:CJS22 CTO2:CTO22 DDK2:DDK22 DNG2:DNG22 DXC2:DXC22 EGY2:EGY22 EQU2:EQU22 FAQ2:FAQ22 FKM2:FKM22 FUI2:FUI22 GEE2:GEE22 GOA2:GOA22 GXW2:GXW22 HHS2:HHS22 HRO2:HRO22 IBK2:IBK22 ILG2:ILG22 IVC2:IVC22 JEY2:JEY22 JOU2:JOU22 JYQ2:JYQ22 KIM2:KIM22 KSI2:KSI22 LCE2:LCE22 LMA2:LMA22 LVW2:LVW22 MFS2:MFS22 MPO2:MPO22 MZK2:MZK22 NJG2:NJG22 NTC2:NTC22 OCY2:OCY22 OMU2:OMU22 OWQ2:OWQ22 PGM2:PGM22 PQI2:PQI22 QAE2:QAE22 QKA2:QKA22 QTW2:QTW22 RDS2:RDS22 RNO2:RNO22 RXK2:RXK22 SHG2:SHG22 SRC2:SRC22 TAY2:TAY22 TKU2:TKU22 TUQ2:TUQ22 UEM2:UEM22 UOI2:UOI22 UYE2:UYE22 VIA2:VIA22 VRW2:VRW22 WBS2:WBS22 WLO2:WLO22 WVK2:WVK22 C65538:C65558 IY65538:IY65558 SU65538:SU65558 ACQ65538:ACQ65558 AMM65538:AMM65558 AWI65538:AWI65558 BGE65538:BGE65558 BQA65538:BQA65558 BZW65538:BZW65558 CJS65538:CJS65558 CTO65538:CTO65558 DDK65538:DDK65558 DNG65538:DNG65558 DXC65538:DXC65558 EGY65538:EGY65558 EQU65538:EQU65558 FAQ65538:FAQ65558 FKM65538:FKM65558 FUI65538:FUI65558 GEE65538:GEE65558 GOA65538:GOA65558 GXW65538:GXW65558 HHS65538:HHS65558 HRO65538:HRO65558 IBK65538:IBK65558 ILG65538:ILG65558 IVC65538:IVC65558 JEY65538:JEY65558 JOU65538:JOU65558 JYQ65538:JYQ65558 KIM65538:KIM65558 KSI65538:KSI65558 LCE65538:LCE65558 LMA65538:LMA65558 LVW65538:LVW65558 MFS65538:MFS65558 MPO65538:MPO65558 MZK65538:MZK65558 NJG65538:NJG65558 NTC65538:NTC65558 OCY65538:OCY65558 OMU65538:OMU65558 OWQ65538:OWQ65558 PGM65538:PGM65558 PQI65538:PQI65558 QAE65538:QAE65558 QKA65538:QKA65558 QTW65538:QTW65558 RDS65538:RDS65558 RNO65538:RNO65558 RXK65538:RXK65558 SHG65538:SHG65558 SRC65538:SRC65558 TAY65538:TAY65558 TKU65538:TKU65558 TUQ65538:TUQ65558 UEM65538:UEM65558 UOI65538:UOI65558 UYE65538:UYE65558 VIA65538:VIA65558 VRW65538:VRW65558 WBS65538:WBS65558 WLO65538:WLO65558 WVK65538:WVK65558 C131074:C131094 IY131074:IY131094 SU131074:SU131094 ACQ131074:ACQ131094 AMM131074:AMM131094 AWI131074:AWI131094 BGE131074:BGE131094 BQA131074:BQA131094 BZW131074:BZW131094 CJS131074:CJS131094 CTO131074:CTO131094 DDK131074:DDK131094 DNG131074:DNG131094 DXC131074:DXC131094 EGY131074:EGY131094 EQU131074:EQU131094 FAQ131074:FAQ131094 FKM131074:FKM131094 FUI131074:FUI131094 GEE131074:GEE131094 GOA131074:GOA131094 GXW131074:GXW131094 HHS131074:HHS131094 HRO131074:HRO131094 IBK131074:IBK131094 ILG131074:ILG131094 IVC131074:IVC131094 JEY131074:JEY131094 JOU131074:JOU131094 JYQ131074:JYQ131094 KIM131074:KIM131094 KSI131074:KSI131094 LCE131074:LCE131094 LMA131074:LMA131094 LVW131074:LVW131094 MFS131074:MFS131094 MPO131074:MPO131094 MZK131074:MZK131094 NJG131074:NJG131094 NTC131074:NTC131094 OCY131074:OCY131094 OMU131074:OMU131094 OWQ131074:OWQ131094 PGM131074:PGM131094 PQI131074:PQI131094 QAE131074:QAE131094 QKA131074:QKA131094 QTW131074:QTW131094 RDS131074:RDS131094 RNO131074:RNO131094 RXK131074:RXK131094 SHG131074:SHG131094 SRC131074:SRC131094 TAY131074:TAY131094 TKU131074:TKU131094 TUQ131074:TUQ131094 UEM131074:UEM131094 UOI131074:UOI131094 UYE131074:UYE131094 VIA131074:VIA131094 VRW131074:VRW131094 WBS131074:WBS131094 WLO131074:WLO131094 WVK131074:WVK131094 C196610:C196630 IY196610:IY196630 SU196610:SU196630 ACQ196610:ACQ196630 AMM196610:AMM196630 AWI196610:AWI196630 BGE196610:BGE196630 BQA196610:BQA196630 BZW196610:BZW196630 CJS196610:CJS196630 CTO196610:CTO196630 DDK196610:DDK196630 DNG196610:DNG196630 DXC196610:DXC196630 EGY196610:EGY196630 EQU196610:EQU196630 FAQ196610:FAQ196630 FKM196610:FKM196630 FUI196610:FUI196630 GEE196610:GEE196630 GOA196610:GOA196630 GXW196610:GXW196630 HHS196610:HHS196630 HRO196610:HRO196630 IBK196610:IBK196630 ILG196610:ILG196630 IVC196610:IVC196630 JEY196610:JEY196630 JOU196610:JOU196630 JYQ196610:JYQ196630 KIM196610:KIM196630 KSI196610:KSI196630 LCE196610:LCE196630 LMA196610:LMA196630 LVW196610:LVW196630 MFS196610:MFS196630 MPO196610:MPO196630 MZK196610:MZK196630 NJG196610:NJG196630 NTC196610:NTC196630 OCY196610:OCY196630 OMU196610:OMU196630 OWQ196610:OWQ196630 PGM196610:PGM196630 PQI196610:PQI196630 QAE196610:QAE196630 QKA196610:QKA196630 QTW196610:QTW196630 RDS196610:RDS196630 RNO196610:RNO196630 RXK196610:RXK196630 SHG196610:SHG196630 SRC196610:SRC196630 TAY196610:TAY196630 TKU196610:TKU196630 TUQ196610:TUQ196630 UEM196610:UEM196630 UOI196610:UOI196630 UYE196610:UYE196630 VIA196610:VIA196630 VRW196610:VRW196630 WBS196610:WBS196630 WLO196610:WLO196630 WVK196610:WVK196630 C262146:C262166 IY262146:IY262166 SU262146:SU262166 ACQ262146:ACQ262166 AMM262146:AMM262166 AWI262146:AWI262166 BGE262146:BGE262166 BQA262146:BQA262166 BZW262146:BZW262166 CJS262146:CJS262166 CTO262146:CTO262166 DDK262146:DDK262166 DNG262146:DNG262166 DXC262146:DXC262166 EGY262146:EGY262166 EQU262146:EQU262166 FAQ262146:FAQ262166 FKM262146:FKM262166 FUI262146:FUI262166 GEE262146:GEE262166 GOA262146:GOA262166 GXW262146:GXW262166 HHS262146:HHS262166 HRO262146:HRO262166 IBK262146:IBK262166 ILG262146:ILG262166 IVC262146:IVC262166 JEY262146:JEY262166 JOU262146:JOU262166 JYQ262146:JYQ262166 KIM262146:KIM262166 KSI262146:KSI262166 LCE262146:LCE262166 LMA262146:LMA262166 LVW262146:LVW262166 MFS262146:MFS262166 MPO262146:MPO262166 MZK262146:MZK262166 NJG262146:NJG262166 NTC262146:NTC262166 OCY262146:OCY262166 OMU262146:OMU262166 OWQ262146:OWQ262166 PGM262146:PGM262166 PQI262146:PQI262166 QAE262146:QAE262166 QKA262146:QKA262166 QTW262146:QTW262166 RDS262146:RDS262166 RNO262146:RNO262166 RXK262146:RXK262166 SHG262146:SHG262166 SRC262146:SRC262166 TAY262146:TAY262166 TKU262146:TKU262166 TUQ262146:TUQ262166 UEM262146:UEM262166 UOI262146:UOI262166 UYE262146:UYE262166 VIA262146:VIA262166 VRW262146:VRW262166 WBS262146:WBS262166 WLO262146:WLO262166 WVK262146:WVK262166 C327682:C327702 IY327682:IY327702 SU327682:SU327702 ACQ327682:ACQ327702 AMM327682:AMM327702 AWI327682:AWI327702 BGE327682:BGE327702 BQA327682:BQA327702 BZW327682:BZW327702 CJS327682:CJS327702 CTO327682:CTO327702 DDK327682:DDK327702 DNG327682:DNG327702 DXC327682:DXC327702 EGY327682:EGY327702 EQU327682:EQU327702 FAQ327682:FAQ327702 FKM327682:FKM327702 FUI327682:FUI327702 GEE327682:GEE327702 GOA327682:GOA327702 GXW327682:GXW327702 HHS327682:HHS327702 HRO327682:HRO327702 IBK327682:IBK327702 ILG327682:ILG327702 IVC327682:IVC327702 JEY327682:JEY327702 JOU327682:JOU327702 JYQ327682:JYQ327702 KIM327682:KIM327702 KSI327682:KSI327702 LCE327682:LCE327702 LMA327682:LMA327702 LVW327682:LVW327702 MFS327682:MFS327702 MPO327682:MPO327702 MZK327682:MZK327702 NJG327682:NJG327702 NTC327682:NTC327702 OCY327682:OCY327702 OMU327682:OMU327702 OWQ327682:OWQ327702 PGM327682:PGM327702 PQI327682:PQI327702 QAE327682:QAE327702 QKA327682:QKA327702 QTW327682:QTW327702 RDS327682:RDS327702 RNO327682:RNO327702 RXK327682:RXK327702 SHG327682:SHG327702 SRC327682:SRC327702 TAY327682:TAY327702 TKU327682:TKU327702 TUQ327682:TUQ327702 UEM327682:UEM327702 UOI327682:UOI327702 UYE327682:UYE327702 VIA327682:VIA327702 VRW327682:VRW327702 WBS327682:WBS327702 WLO327682:WLO327702 WVK327682:WVK327702 C393218:C393238 IY393218:IY393238 SU393218:SU393238 ACQ393218:ACQ393238 AMM393218:AMM393238 AWI393218:AWI393238 BGE393218:BGE393238 BQA393218:BQA393238 BZW393218:BZW393238 CJS393218:CJS393238 CTO393218:CTO393238 DDK393218:DDK393238 DNG393218:DNG393238 DXC393218:DXC393238 EGY393218:EGY393238 EQU393218:EQU393238 FAQ393218:FAQ393238 FKM393218:FKM393238 FUI393218:FUI393238 GEE393218:GEE393238 GOA393218:GOA393238 GXW393218:GXW393238 HHS393218:HHS393238 HRO393218:HRO393238 IBK393218:IBK393238 ILG393218:ILG393238 IVC393218:IVC393238 JEY393218:JEY393238 JOU393218:JOU393238 JYQ393218:JYQ393238 KIM393218:KIM393238 KSI393218:KSI393238 LCE393218:LCE393238 LMA393218:LMA393238 LVW393218:LVW393238 MFS393218:MFS393238 MPO393218:MPO393238 MZK393218:MZK393238 NJG393218:NJG393238 NTC393218:NTC393238 OCY393218:OCY393238 OMU393218:OMU393238 OWQ393218:OWQ393238 PGM393218:PGM393238 PQI393218:PQI393238 QAE393218:QAE393238 QKA393218:QKA393238 QTW393218:QTW393238 RDS393218:RDS393238 RNO393218:RNO393238 RXK393218:RXK393238 SHG393218:SHG393238 SRC393218:SRC393238 TAY393218:TAY393238 TKU393218:TKU393238 TUQ393218:TUQ393238 UEM393218:UEM393238 UOI393218:UOI393238 UYE393218:UYE393238 VIA393218:VIA393238 VRW393218:VRW393238 WBS393218:WBS393238 WLO393218:WLO393238 WVK393218:WVK393238 C458754:C458774 IY458754:IY458774 SU458754:SU458774 ACQ458754:ACQ458774 AMM458754:AMM458774 AWI458754:AWI458774 BGE458754:BGE458774 BQA458754:BQA458774 BZW458754:BZW458774 CJS458754:CJS458774 CTO458754:CTO458774 DDK458754:DDK458774 DNG458754:DNG458774 DXC458754:DXC458774 EGY458754:EGY458774 EQU458754:EQU458774 FAQ458754:FAQ458774 FKM458754:FKM458774 FUI458754:FUI458774 GEE458754:GEE458774 GOA458754:GOA458774 GXW458754:GXW458774 HHS458754:HHS458774 HRO458754:HRO458774 IBK458754:IBK458774 ILG458754:ILG458774 IVC458754:IVC458774 JEY458754:JEY458774 JOU458754:JOU458774 JYQ458754:JYQ458774 KIM458754:KIM458774 KSI458754:KSI458774 LCE458754:LCE458774 LMA458754:LMA458774 LVW458754:LVW458774 MFS458754:MFS458774 MPO458754:MPO458774 MZK458754:MZK458774 NJG458754:NJG458774 NTC458754:NTC458774 OCY458754:OCY458774 OMU458754:OMU458774 OWQ458754:OWQ458774 PGM458754:PGM458774 PQI458754:PQI458774 QAE458754:QAE458774 QKA458754:QKA458774 QTW458754:QTW458774 RDS458754:RDS458774 RNO458754:RNO458774 RXK458754:RXK458774 SHG458754:SHG458774 SRC458754:SRC458774 TAY458754:TAY458774 TKU458754:TKU458774 TUQ458754:TUQ458774 UEM458754:UEM458774 UOI458754:UOI458774 UYE458754:UYE458774 VIA458754:VIA458774 VRW458754:VRW458774 WBS458754:WBS458774 WLO458754:WLO458774 WVK458754:WVK458774 C524290:C524310 IY524290:IY524310 SU524290:SU524310 ACQ524290:ACQ524310 AMM524290:AMM524310 AWI524290:AWI524310 BGE524290:BGE524310 BQA524290:BQA524310 BZW524290:BZW524310 CJS524290:CJS524310 CTO524290:CTO524310 DDK524290:DDK524310 DNG524290:DNG524310 DXC524290:DXC524310 EGY524290:EGY524310 EQU524290:EQU524310 FAQ524290:FAQ524310 FKM524290:FKM524310 FUI524290:FUI524310 GEE524290:GEE524310 GOA524290:GOA524310 GXW524290:GXW524310 HHS524290:HHS524310 HRO524290:HRO524310 IBK524290:IBK524310 ILG524290:ILG524310 IVC524290:IVC524310 JEY524290:JEY524310 JOU524290:JOU524310 JYQ524290:JYQ524310 KIM524290:KIM524310 KSI524290:KSI524310 LCE524290:LCE524310 LMA524290:LMA524310 LVW524290:LVW524310 MFS524290:MFS524310 MPO524290:MPO524310 MZK524290:MZK524310 NJG524290:NJG524310 NTC524290:NTC524310 OCY524290:OCY524310 OMU524290:OMU524310 OWQ524290:OWQ524310 PGM524290:PGM524310 PQI524290:PQI524310 QAE524290:QAE524310 QKA524290:QKA524310 QTW524290:QTW524310 RDS524290:RDS524310 RNO524290:RNO524310 RXK524290:RXK524310 SHG524290:SHG524310 SRC524290:SRC524310 TAY524290:TAY524310 TKU524290:TKU524310 TUQ524290:TUQ524310 UEM524290:UEM524310 UOI524290:UOI524310 UYE524290:UYE524310 VIA524290:VIA524310 VRW524290:VRW524310 WBS524290:WBS524310 WLO524290:WLO524310 WVK524290:WVK524310 C589826:C589846 IY589826:IY589846 SU589826:SU589846 ACQ589826:ACQ589846 AMM589826:AMM589846 AWI589826:AWI589846 BGE589826:BGE589846 BQA589826:BQA589846 BZW589826:BZW589846 CJS589826:CJS589846 CTO589826:CTO589846 DDK589826:DDK589846 DNG589826:DNG589846 DXC589826:DXC589846 EGY589826:EGY589846 EQU589826:EQU589846 FAQ589826:FAQ589846 FKM589826:FKM589846 FUI589826:FUI589846 GEE589826:GEE589846 GOA589826:GOA589846 GXW589826:GXW589846 HHS589826:HHS589846 HRO589826:HRO589846 IBK589826:IBK589846 ILG589826:ILG589846 IVC589826:IVC589846 JEY589826:JEY589846 JOU589826:JOU589846 JYQ589826:JYQ589846 KIM589826:KIM589846 KSI589826:KSI589846 LCE589826:LCE589846 LMA589826:LMA589846 LVW589826:LVW589846 MFS589826:MFS589846 MPO589826:MPO589846 MZK589826:MZK589846 NJG589826:NJG589846 NTC589826:NTC589846 OCY589826:OCY589846 OMU589826:OMU589846 OWQ589826:OWQ589846 PGM589826:PGM589846 PQI589826:PQI589846 QAE589826:QAE589846 QKA589826:QKA589846 QTW589826:QTW589846 RDS589826:RDS589846 RNO589826:RNO589846 RXK589826:RXK589846 SHG589826:SHG589846 SRC589826:SRC589846 TAY589826:TAY589846 TKU589826:TKU589846 TUQ589826:TUQ589846 UEM589826:UEM589846 UOI589826:UOI589846 UYE589826:UYE589846 VIA589826:VIA589846 VRW589826:VRW589846 WBS589826:WBS589846 WLO589826:WLO589846 WVK589826:WVK589846 C655362:C655382 IY655362:IY655382 SU655362:SU655382 ACQ655362:ACQ655382 AMM655362:AMM655382 AWI655362:AWI655382 BGE655362:BGE655382 BQA655362:BQA655382 BZW655362:BZW655382 CJS655362:CJS655382 CTO655362:CTO655382 DDK655362:DDK655382 DNG655362:DNG655382 DXC655362:DXC655382 EGY655362:EGY655382 EQU655362:EQU655382 FAQ655362:FAQ655382 FKM655362:FKM655382 FUI655362:FUI655382 GEE655362:GEE655382 GOA655362:GOA655382 GXW655362:GXW655382 HHS655362:HHS655382 HRO655362:HRO655382 IBK655362:IBK655382 ILG655362:ILG655382 IVC655362:IVC655382 JEY655362:JEY655382 JOU655362:JOU655382 JYQ655362:JYQ655382 KIM655362:KIM655382 KSI655362:KSI655382 LCE655362:LCE655382 LMA655362:LMA655382 LVW655362:LVW655382 MFS655362:MFS655382 MPO655362:MPO655382 MZK655362:MZK655382 NJG655362:NJG655382 NTC655362:NTC655382 OCY655362:OCY655382 OMU655362:OMU655382 OWQ655362:OWQ655382 PGM655362:PGM655382 PQI655362:PQI655382 QAE655362:QAE655382 QKA655362:QKA655382 QTW655362:QTW655382 RDS655362:RDS655382 RNO655362:RNO655382 RXK655362:RXK655382 SHG655362:SHG655382 SRC655362:SRC655382 TAY655362:TAY655382 TKU655362:TKU655382 TUQ655362:TUQ655382 UEM655362:UEM655382 UOI655362:UOI655382 UYE655362:UYE655382 VIA655362:VIA655382 VRW655362:VRW655382 WBS655362:WBS655382 WLO655362:WLO655382 WVK655362:WVK655382 C720898:C720918 IY720898:IY720918 SU720898:SU720918 ACQ720898:ACQ720918 AMM720898:AMM720918 AWI720898:AWI720918 BGE720898:BGE720918 BQA720898:BQA720918 BZW720898:BZW720918 CJS720898:CJS720918 CTO720898:CTO720918 DDK720898:DDK720918 DNG720898:DNG720918 DXC720898:DXC720918 EGY720898:EGY720918 EQU720898:EQU720918 FAQ720898:FAQ720918 FKM720898:FKM720918 FUI720898:FUI720918 GEE720898:GEE720918 GOA720898:GOA720918 GXW720898:GXW720918 HHS720898:HHS720918 HRO720898:HRO720918 IBK720898:IBK720918 ILG720898:ILG720918 IVC720898:IVC720918 JEY720898:JEY720918 JOU720898:JOU720918 JYQ720898:JYQ720918 KIM720898:KIM720918 KSI720898:KSI720918 LCE720898:LCE720918 LMA720898:LMA720918 LVW720898:LVW720918 MFS720898:MFS720918 MPO720898:MPO720918 MZK720898:MZK720918 NJG720898:NJG720918 NTC720898:NTC720918 OCY720898:OCY720918 OMU720898:OMU720918 OWQ720898:OWQ720918 PGM720898:PGM720918 PQI720898:PQI720918 QAE720898:QAE720918 QKA720898:QKA720918 QTW720898:QTW720918 RDS720898:RDS720918 RNO720898:RNO720918 RXK720898:RXK720918 SHG720898:SHG720918 SRC720898:SRC720918 TAY720898:TAY720918 TKU720898:TKU720918 TUQ720898:TUQ720918 UEM720898:UEM720918 UOI720898:UOI720918 UYE720898:UYE720918 VIA720898:VIA720918 VRW720898:VRW720918 WBS720898:WBS720918 WLO720898:WLO720918 WVK720898:WVK720918 C786434:C786454 IY786434:IY786454 SU786434:SU786454 ACQ786434:ACQ786454 AMM786434:AMM786454 AWI786434:AWI786454 BGE786434:BGE786454 BQA786434:BQA786454 BZW786434:BZW786454 CJS786434:CJS786454 CTO786434:CTO786454 DDK786434:DDK786454 DNG786434:DNG786454 DXC786434:DXC786454 EGY786434:EGY786454 EQU786434:EQU786454 FAQ786434:FAQ786454 FKM786434:FKM786454 FUI786434:FUI786454 GEE786434:GEE786454 GOA786434:GOA786454 GXW786434:GXW786454 HHS786434:HHS786454 HRO786434:HRO786454 IBK786434:IBK786454 ILG786434:ILG786454 IVC786434:IVC786454 JEY786434:JEY786454 JOU786434:JOU786454 JYQ786434:JYQ786454 KIM786434:KIM786454 KSI786434:KSI786454 LCE786434:LCE786454 LMA786434:LMA786454 LVW786434:LVW786454 MFS786434:MFS786454 MPO786434:MPO786454 MZK786434:MZK786454 NJG786434:NJG786454 NTC786434:NTC786454 OCY786434:OCY786454 OMU786434:OMU786454 OWQ786434:OWQ786454 PGM786434:PGM786454 PQI786434:PQI786454 QAE786434:QAE786454 QKA786434:QKA786454 QTW786434:QTW786454 RDS786434:RDS786454 RNO786434:RNO786454 RXK786434:RXK786454 SHG786434:SHG786454 SRC786434:SRC786454 TAY786434:TAY786454 TKU786434:TKU786454 TUQ786434:TUQ786454 UEM786434:UEM786454 UOI786434:UOI786454 UYE786434:UYE786454 VIA786434:VIA786454 VRW786434:VRW786454 WBS786434:WBS786454 WLO786434:WLO786454 WVK786434:WVK786454 C851970:C851990 IY851970:IY851990 SU851970:SU851990 ACQ851970:ACQ851990 AMM851970:AMM851990 AWI851970:AWI851990 BGE851970:BGE851990 BQA851970:BQA851990 BZW851970:BZW851990 CJS851970:CJS851990 CTO851970:CTO851990 DDK851970:DDK851990 DNG851970:DNG851990 DXC851970:DXC851990 EGY851970:EGY851990 EQU851970:EQU851990 FAQ851970:FAQ851990 FKM851970:FKM851990 FUI851970:FUI851990 GEE851970:GEE851990 GOA851970:GOA851990 GXW851970:GXW851990 HHS851970:HHS851990 HRO851970:HRO851990 IBK851970:IBK851990 ILG851970:ILG851990 IVC851970:IVC851990 JEY851970:JEY851990 JOU851970:JOU851990 JYQ851970:JYQ851990 KIM851970:KIM851990 KSI851970:KSI851990 LCE851970:LCE851990 LMA851970:LMA851990 LVW851970:LVW851990 MFS851970:MFS851990 MPO851970:MPO851990 MZK851970:MZK851990 NJG851970:NJG851990 NTC851970:NTC851990 OCY851970:OCY851990 OMU851970:OMU851990 OWQ851970:OWQ851990 PGM851970:PGM851990 PQI851970:PQI851990 QAE851970:QAE851990 QKA851970:QKA851990 QTW851970:QTW851990 RDS851970:RDS851990 RNO851970:RNO851990 RXK851970:RXK851990 SHG851970:SHG851990 SRC851970:SRC851990 TAY851970:TAY851990 TKU851970:TKU851990 TUQ851970:TUQ851990 UEM851970:UEM851990 UOI851970:UOI851990 UYE851970:UYE851990 VIA851970:VIA851990 VRW851970:VRW851990 WBS851970:WBS851990 WLO851970:WLO851990 WVK851970:WVK851990 C917506:C917526 IY917506:IY917526 SU917506:SU917526 ACQ917506:ACQ917526 AMM917506:AMM917526 AWI917506:AWI917526 BGE917506:BGE917526 BQA917506:BQA917526 BZW917506:BZW917526 CJS917506:CJS917526 CTO917506:CTO917526 DDK917506:DDK917526 DNG917506:DNG917526 DXC917506:DXC917526 EGY917506:EGY917526 EQU917506:EQU917526 FAQ917506:FAQ917526 FKM917506:FKM917526 FUI917506:FUI917526 GEE917506:GEE917526 GOA917506:GOA917526 GXW917506:GXW917526 HHS917506:HHS917526 HRO917506:HRO917526 IBK917506:IBK917526 ILG917506:ILG917526 IVC917506:IVC917526 JEY917506:JEY917526 JOU917506:JOU917526 JYQ917506:JYQ917526 KIM917506:KIM917526 KSI917506:KSI917526 LCE917506:LCE917526 LMA917506:LMA917526 LVW917506:LVW917526 MFS917506:MFS917526 MPO917506:MPO917526 MZK917506:MZK917526 NJG917506:NJG917526 NTC917506:NTC917526 OCY917506:OCY917526 OMU917506:OMU917526 OWQ917506:OWQ917526 PGM917506:PGM917526 PQI917506:PQI917526 QAE917506:QAE917526 QKA917506:QKA917526 QTW917506:QTW917526 RDS917506:RDS917526 RNO917506:RNO917526 RXK917506:RXK917526 SHG917506:SHG917526 SRC917506:SRC917526 TAY917506:TAY917526 TKU917506:TKU917526 TUQ917506:TUQ917526 UEM917506:UEM917526 UOI917506:UOI917526 UYE917506:UYE917526 VIA917506:VIA917526 VRW917506:VRW917526 WBS917506:WBS917526 WLO917506:WLO917526 WVK917506:WVK917526 C983042:C983062 IY983042:IY983062 SU983042:SU983062 ACQ983042:ACQ983062 AMM983042:AMM983062 AWI983042:AWI983062 BGE983042:BGE983062 BQA983042:BQA983062 BZW983042:BZW983062 CJS983042:CJS983062 CTO983042:CTO983062 DDK983042:DDK983062 DNG983042:DNG983062 DXC983042:DXC983062 EGY983042:EGY983062 EQU983042:EQU983062 FAQ983042:FAQ983062 FKM983042:FKM983062 FUI983042:FUI983062 GEE983042:GEE983062 GOA983042:GOA983062 GXW983042:GXW983062 HHS983042:HHS983062 HRO983042:HRO983062 IBK983042:IBK983062 ILG983042:ILG983062 IVC983042:IVC983062 JEY983042:JEY983062 JOU983042:JOU983062 JYQ983042:JYQ983062 KIM983042:KIM983062 KSI983042:KSI983062 LCE983042:LCE983062 LMA983042:LMA983062 LVW983042:LVW983062 MFS983042:MFS983062 MPO983042:MPO983062 MZK983042:MZK983062 NJG983042:NJG983062 NTC983042:NTC983062 OCY983042:OCY983062 OMU983042:OMU983062 OWQ983042:OWQ983062 PGM983042:PGM983062 PQI983042:PQI983062 QAE983042:QAE983062 QKA983042:QKA983062 QTW983042:QTW983062 RDS983042:RDS983062 RNO983042:RNO983062 RXK983042:RXK983062 SHG983042:SHG983062 SRC983042:SRC983062 TAY983042:TAY983062 TKU983042:TKU983062 TUQ983042:TUQ983062 UEM983042:UEM983062 UOI983042:UOI983062 UYE983042:UYE983062 VIA983042:VIA983062 VRW983042:VRW983062 WBS983042:WBS983062 WLO983042:WLO983062 WVK983042:WVK983062" xr:uid="{64CDC857-958A-4A05-A969-0E9566C7C5F8}">
      <formula1>TiposEnsayos</formula1>
    </dataValidation>
  </dataValidations>
  <printOptions horizontalCentered="1"/>
  <pageMargins left="0.15748031496062992" right="0.15748031496062992" top="0.78740157480314965" bottom="0.78740157480314965" header="0.59055118110236227" footer="0.59055118110236227"/>
  <pageSetup paperSize="130" scale="50" orientation="portrait" r:id="rId1"/>
  <headerFooter alignWithMargins="0">
    <oddHeader>&amp;CAnálisis de Costos - Área de Estudios Previos</oddHeader>
    <oddFooter>&amp;L16/02/2010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4D3C2-D007-4A4C-8632-34BE55A9E929}">
  <sheetPr>
    <pageSetUpPr fitToPage="1"/>
  </sheetPr>
  <dimension ref="A1:L85"/>
  <sheetViews>
    <sheetView view="pageBreakPreview" topLeftCell="A44" zoomScale="60" zoomScaleNormal="70" workbookViewId="0">
      <selection sqref="A1:P1"/>
    </sheetView>
  </sheetViews>
  <sheetFormatPr baseColWidth="10" defaultColWidth="11.453125" defaultRowHeight="14.5"/>
  <cols>
    <col min="1" max="1" width="9.54296875" style="506" bestFit="1" customWidth="1"/>
    <col min="2" max="2" width="59.54296875" style="506" bestFit="1" customWidth="1"/>
    <col min="3" max="3" width="18.453125" style="506" bestFit="1" customWidth="1"/>
    <col min="4" max="4" width="17.453125" style="506" bestFit="1" customWidth="1"/>
    <col min="5" max="5" width="12.453125" style="506" bestFit="1" customWidth="1"/>
    <col min="6" max="6" width="19.453125" style="579" bestFit="1" customWidth="1"/>
    <col min="7" max="7" width="25.54296875" style="506" customWidth="1"/>
    <col min="8" max="8" width="33.54296875" style="506" customWidth="1"/>
    <col min="9" max="9" width="6.1796875" style="506" customWidth="1"/>
    <col min="10" max="10" width="23.453125" style="506" bestFit="1" customWidth="1"/>
    <col min="11" max="11" width="22.54296875" style="506" customWidth="1"/>
    <col min="12" max="12" width="20.453125" style="506" customWidth="1"/>
    <col min="13" max="13" width="11.453125" style="506"/>
    <col min="14" max="14" width="16.54296875" style="506" bestFit="1" customWidth="1"/>
    <col min="15" max="256" width="11.453125" style="506"/>
    <col min="257" max="257" width="8" style="506" bestFit="1" customWidth="1"/>
    <col min="258" max="258" width="59.54296875" style="506" bestFit="1" customWidth="1"/>
    <col min="259" max="259" width="18.453125" style="506" bestFit="1" customWidth="1"/>
    <col min="260" max="260" width="17.453125" style="506" bestFit="1" customWidth="1"/>
    <col min="261" max="261" width="12.453125" style="506" bestFit="1" customWidth="1"/>
    <col min="262" max="262" width="19.453125" style="506" bestFit="1" customWidth="1"/>
    <col min="263" max="263" width="21.54296875" style="506" bestFit="1" customWidth="1"/>
    <col min="264" max="264" width="18.453125" style="506" bestFit="1" customWidth="1"/>
    <col min="265" max="265" width="11.453125" style="506"/>
    <col min="266" max="266" width="20" style="506" bestFit="1" customWidth="1"/>
    <col min="267" max="512" width="11.453125" style="506"/>
    <col min="513" max="513" width="8" style="506" bestFit="1" customWidth="1"/>
    <col min="514" max="514" width="59.54296875" style="506" bestFit="1" customWidth="1"/>
    <col min="515" max="515" width="18.453125" style="506" bestFit="1" customWidth="1"/>
    <col min="516" max="516" width="17.453125" style="506" bestFit="1" customWidth="1"/>
    <col min="517" max="517" width="12.453125" style="506" bestFit="1" customWidth="1"/>
    <col min="518" max="518" width="19.453125" style="506" bestFit="1" customWidth="1"/>
    <col min="519" max="519" width="21.54296875" style="506" bestFit="1" customWidth="1"/>
    <col min="520" max="520" width="18.453125" style="506" bestFit="1" customWidth="1"/>
    <col min="521" max="521" width="11.453125" style="506"/>
    <col min="522" max="522" width="20" style="506" bestFit="1" customWidth="1"/>
    <col min="523" max="768" width="11.453125" style="506"/>
    <col min="769" max="769" width="8" style="506" bestFit="1" customWidth="1"/>
    <col min="770" max="770" width="59.54296875" style="506" bestFit="1" customWidth="1"/>
    <col min="771" max="771" width="18.453125" style="506" bestFit="1" customWidth="1"/>
    <col min="772" max="772" width="17.453125" style="506" bestFit="1" customWidth="1"/>
    <col min="773" max="773" width="12.453125" style="506" bestFit="1" customWidth="1"/>
    <col min="774" max="774" width="19.453125" style="506" bestFit="1" customWidth="1"/>
    <col min="775" max="775" width="21.54296875" style="506" bestFit="1" customWidth="1"/>
    <col min="776" max="776" width="18.453125" style="506" bestFit="1" customWidth="1"/>
    <col min="777" max="777" width="11.453125" style="506"/>
    <col min="778" max="778" width="20" style="506" bestFit="1" customWidth="1"/>
    <col min="779" max="1024" width="11.453125" style="506"/>
    <col min="1025" max="1025" width="8" style="506" bestFit="1" customWidth="1"/>
    <col min="1026" max="1026" width="59.54296875" style="506" bestFit="1" customWidth="1"/>
    <col min="1027" max="1027" width="18.453125" style="506" bestFit="1" customWidth="1"/>
    <col min="1028" max="1028" width="17.453125" style="506" bestFit="1" customWidth="1"/>
    <col min="1029" max="1029" width="12.453125" style="506" bestFit="1" customWidth="1"/>
    <col min="1030" max="1030" width="19.453125" style="506" bestFit="1" customWidth="1"/>
    <col min="1031" max="1031" width="21.54296875" style="506" bestFit="1" customWidth="1"/>
    <col min="1032" max="1032" width="18.453125" style="506" bestFit="1" customWidth="1"/>
    <col min="1033" max="1033" width="11.453125" style="506"/>
    <col min="1034" max="1034" width="20" style="506" bestFit="1" customWidth="1"/>
    <col min="1035" max="1280" width="11.453125" style="506"/>
    <col min="1281" max="1281" width="8" style="506" bestFit="1" customWidth="1"/>
    <col min="1282" max="1282" width="59.54296875" style="506" bestFit="1" customWidth="1"/>
    <col min="1283" max="1283" width="18.453125" style="506" bestFit="1" customWidth="1"/>
    <col min="1284" max="1284" width="17.453125" style="506" bestFit="1" customWidth="1"/>
    <col min="1285" max="1285" width="12.453125" style="506" bestFit="1" customWidth="1"/>
    <col min="1286" max="1286" width="19.453125" style="506" bestFit="1" customWidth="1"/>
    <col min="1287" max="1287" width="21.54296875" style="506" bestFit="1" customWidth="1"/>
    <col min="1288" max="1288" width="18.453125" style="506" bestFit="1" customWidth="1"/>
    <col min="1289" max="1289" width="11.453125" style="506"/>
    <col min="1290" max="1290" width="20" style="506" bestFit="1" customWidth="1"/>
    <col min="1291" max="1536" width="11.453125" style="506"/>
    <col min="1537" max="1537" width="8" style="506" bestFit="1" customWidth="1"/>
    <col min="1538" max="1538" width="59.54296875" style="506" bestFit="1" customWidth="1"/>
    <col min="1539" max="1539" width="18.453125" style="506" bestFit="1" customWidth="1"/>
    <col min="1540" max="1540" width="17.453125" style="506" bestFit="1" customWidth="1"/>
    <col min="1541" max="1541" width="12.453125" style="506" bestFit="1" customWidth="1"/>
    <col min="1542" max="1542" width="19.453125" style="506" bestFit="1" customWidth="1"/>
    <col min="1543" max="1543" width="21.54296875" style="506" bestFit="1" customWidth="1"/>
    <col min="1544" max="1544" width="18.453125" style="506" bestFit="1" customWidth="1"/>
    <col min="1545" max="1545" width="11.453125" style="506"/>
    <col min="1546" max="1546" width="20" style="506" bestFit="1" customWidth="1"/>
    <col min="1547" max="1792" width="11.453125" style="506"/>
    <col min="1793" max="1793" width="8" style="506" bestFit="1" customWidth="1"/>
    <col min="1794" max="1794" width="59.54296875" style="506" bestFit="1" customWidth="1"/>
    <col min="1795" max="1795" width="18.453125" style="506" bestFit="1" customWidth="1"/>
    <col min="1796" max="1796" width="17.453125" style="506" bestFit="1" customWidth="1"/>
    <col min="1797" max="1797" width="12.453125" style="506" bestFit="1" customWidth="1"/>
    <col min="1798" max="1798" width="19.453125" style="506" bestFit="1" customWidth="1"/>
    <col min="1799" max="1799" width="21.54296875" style="506" bestFit="1" customWidth="1"/>
    <col min="1800" max="1800" width="18.453125" style="506" bestFit="1" customWidth="1"/>
    <col min="1801" max="1801" width="11.453125" style="506"/>
    <col min="1802" max="1802" width="20" style="506" bestFit="1" customWidth="1"/>
    <col min="1803" max="2048" width="11.453125" style="506"/>
    <col min="2049" max="2049" width="8" style="506" bestFit="1" customWidth="1"/>
    <col min="2050" max="2050" width="59.54296875" style="506" bestFit="1" customWidth="1"/>
    <col min="2051" max="2051" width="18.453125" style="506" bestFit="1" customWidth="1"/>
    <col min="2052" max="2052" width="17.453125" style="506" bestFit="1" customWidth="1"/>
    <col min="2053" max="2053" width="12.453125" style="506" bestFit="1" customWidth="1"/>
    <col min="2054" max="2054" width="19.453125" style="506" bestFit="1" customWidth="1"/>
    <col min="2055" max="2055" width="21.54296875" style="506" bestFit="1" customWidth="1"/>
    <col min="2056" max="2056" width="18.453125" style="506" bestFit="1" customWidth="1"/>
    <col min="2057" max="2057" width="11.453125" style="506"/>
    <col min="2058" max="2058" width="20" style="506" bestFit="1" customWidth="1"/>
    <col min="2059" max="2304" width="11.453125" style="506"/>
    <col min="2305" max="2305" width="8" style="506" bestFit="1" customWidth="1"/>
    <col min="2306" max="2306" width="59.54296875" style="506" bestFit="1" customWidth="1"/>
    <col min="2307" max="2307" width="18.453125" style="506" bestFit="1" customWidth="1"/>
    <col min="2308" max="2308" width="17.453125" style="506" bestFit="1" customWidth="1"/>
    <col min="2309" max="2309" width="12.453125" style="506" bestFit="1" customWidth="1"/>
    <col min="2310" max="2310" width="19.453125" style="506" bestFit="1" customWidth="1"/>
    <col min="2311" max="2311" width="21.54296875" style="506" bestFit="1" customWidth="1"/>
    <col min="2312" max="2312" width="18.453125" style="506" bestFit="1" customWidth="1"/>
    <col min="2313" max="2313" width="11.453125" style="506"/>
    <col min="2314" max="2314" width="20" style="506" bestFit="1" customWidth="1"/>
    <col min="2315" max="2560" width="11.453125" style="506"/>
    <col min="2561" max="2561" width="8" style="506" bestFit="1" customWidth="1"/>
    <col min="2562" max="2562" width="59.54296875" style="506" bestFit="1" customWidth="1"/>
    <col min="2563" max="2563" width="18.453125" style="506" bestFit="1" customWidth="1"/>
    <col min="2564" max="2564" width="17.453125" style="506" bestFit="1" customWidth="1"/>
    <col min="2565" max="2565" width="12.453125" style="506" bestFit="1" customWidth="1"/>
    <col min="2566" max="2566" width="19.453125" style="506" bestFit="1" customWidth="1"/>
    <col min="2567" max="2567" width="21.54296875" style="506" bestFit="1" customWidth="1"/>
    <col min="2568" max="2568" width="18.453125" style="506" bestFit="1" customWidth="1"/>
    <col min="2569" max="2569" width="11.453125" style="506"/>
    <col min="2570" max="2570" width="20" style="506" bestFit="1" customWidth="1"/>
    <col min="2571" max="2816" width="11.453125" style="506"/>
    <col min="2817" max="2817" width="8" style="506" bestFit="1" customWidth="1"/>
    <col min="2818" max="2818" width="59.54296875" style="506" bestFit="1" customWidth="1"/>
    <col min="2819" max="2819" width="18.453125" style="506" bestFit="1" customWidth="1"/>
    <col min="2820" max="2820" width="17.453125" style="506" bestFit="1" customWidth="1"/>
    <col min="2821" max="2821" width="12.453125" style="506" bestFit="1" customWidth="1"/>
    <col min="2822" max="2822" width="19.453125" style="506" bestFit="1" customWidth="1"/>
    <col min="2823" max="2823" width="21.54296875" style="506" bestFit="1" customWidth="1"/>
    <col min="2824" max="2824" width="18.453125" style="506" bestFit="1" customWidth="1"/>
    <col min="2825" max="2825" width="11.453125" style="506"/>
    <col min="2826" max="2826" width="20" style="506" bestFit="1" customWidth="1"/>
    <col min="2827" max="3072" width="11.453125" style="506"/>
    <col min="3073" max="3073" width="8" style="506" bestFit="1" customWidth="1"/>
    <col min="3074" max="3074" width="59.54296875" style="506" bestFit="1" customWidth="1"/>
    <col min="3075" max="3075" width="18.453125" style="506" bestFit="1" customWidth="1"/>
    <col min="3076" max="3076" width="17.453125" style="506" bestFit="1" customWidth="1"/>
    <col min="3077" max="3077" width="12.453125" style="506" bestFit="1" customWidth="1"/>
    <col min="3078" max="3078" width="19.453125" style="506" bestFit="1" customWidth="1"/>
    <col min="3079" max="3079" width="21.54296875" style="506" bestFit="1" customWidth="1"/>
    <col min="3080" max="3080" width="18.453125" style="506" bestFit="1" customWidth="1"/>
    <col min="3081" max="3081" width="11.453125" style="506"/>
    <col min="3082" max="3082" width="20" style="506" bestFit="1" customWidth="1"/>
    <col min="3083" max="3328" width="11.453125" style="506"/>
    <col min="3329" max="3329" width="8" style="506" bestFit="1" customWidth="1"/>
    <col min="3330" max="3330" width="59.54296875" style="506" bestFit="1" customWidth="1"/>
    <col min="3331" max="3331" width="18.453125" style="506" bestFit="1" customWidth="1"/>
    <col min="3332" max="3332" width="17.453125" style="506" bestFit="1" customWidth="1"/>
    <col min="3333" max="3333" width="12.453125" style="506" bestFit="1" customWidth="1"/>
    <col min="3334" max="3334" width="19.453125" style="506" bestFit="1" customWidth="1"/>
    <col min="3335" max="3335" width="21.54296875" style="506" bestFit="1" customWidth="1"/>
    <col min="3336" max="3336" width="18.453125" style="506" bestFit="1" customWidth="1"/>
    <col min="3337" max="3337" width="11.453125" style="506"/>
    <col min="3338" max="3338" width="20" style="506" bestFit="1" customWidth="1"/>
    <col min="3339" max="3584" width="11.453125" style="506"/>
    <col min="3585" max="3585" width="8" style="506" bestFit="1" customWidth="1"/>
    <col min="3586" max="3586" width="59.54296875" style="506" bestFit="1" customWidth="1"/>
    <col min="3587" max="3587" width="18.453125" style="506" bestFit="1" customWidth="1"/>
    <col min="3588" max="3588" width="17.453125" style="506" bestFit="1" customWidth="1"/>
    <col min="3589" max="3589" width="12.453125" style="506" bestFit="1" customWidth="1"/>
    <col min="3590" max="3590" width="19.453125" style="506" bestFit="1" customWidth="1"/>
    <col min="3591" max="3591" width="21.54296875" style="506" bestFit="1" customWidth="1"/>
    <col min="3592" max="3592" width="18.453125" style="506" bestFit="1" customWidth="1"/>
    <col min="3593" max="3593" width="11.453125" style="506"/>
    <col min="3594" max="3594" width="20" style="506" bestFit="1" customWidth="1"/>
    <col min="3595" max="3840" width="11.453125" style="506"/>
    <col min="3841" max="3841" width="8" style="506" bestFit="1" customWidth="1"/>
    <col min="3842" max="3842" width="59.54296875" style="506" bestFit="1" customWidth="1"/>
    <col min="3843" max="3843" width="18.453125" style="506" bestFit="1" customWidth="1"/>
    <col min="3844" max="3844" width="17.453125" style="506" bestFit="1" customWidth="1"/>
    <col min="3845" max="3845" width="12.453125" style="506" bestFit="1" customWidth="1"/>
    <col min="3846" max="3846" width="19.453125" style="506" bestFit="1" customWidth="1"/>
    <col min="3847" max="3847" width="21.54296875" style="506" bestFit="1" customWidth="1"/>
    <col min="3848" max="3848" width="18.453125" style="506" bestFit="1" customWidth="1"/>
    <col min="3849" max="3849" width="11.453125" style="506"/>
    <col min="3850" max="3850" width="20" style="506" bestFit="1" customWidth="1"/>
    <col min="3851" max="4096" width="11.453125" style="506"/>
    <col min="4097" max="4097" width="8" style="506" bestFit="1" customWidth="1"/>
    <col min="4098" max="4098" width="59.54296875" style="506" bestFit="1" customWidth="1"/>
    <col min="4099" max="4099" width="18.453125" style="506" bestFit="1" customWidth="1"/>
    <col min="4100" max="4100" width="17.453125" style="506" bestFit="1" customWidth="1"/>
    <col min="4101" max="4101" width="12.453125" style="506" bestFit="1" customWidth="1"/>
    <col min="4102" max="4102" width="19.453125" style="506" bestFit="1" customWidth="1"/>
    <col min="4103" max="4103" width="21.54296875" style="506" bestFit="1" customWidth="1"/>
    <col min="4104" max="4104" width="18.453125" style="506" bestFit="1" customWidth="1"/>
    <col min="4105" max="4105" width="11.453125" style="506"/>
    <col min="4106" max="4106" width="20" style="506" bestFit="1" customWidth="1"/>
    <col min="4107" max="4352" width="11.453125" style="506"/>
    <col min="4353" max="4353" width="8" style="506" bestFit="1" customWidth="1"/>
    <col min="4354" max="4354" width="59.54296875" style="506" bestFit="1" customWidth="1"/>
    <col min="4355" max="4355" width="18.453125" style="506" bestFit="1" customWidth="1"/>
    <col min="4356" max="4356" width="17.453125" style="506" bestFit="1" customWidth="1"/>
    <col min="4357" max="4357" width="12.453125" style="506" bestFit="1" customWidth="1"/>
    <col min="4358" max="4358" width="19.453125" style="506" bestFit="1" customWidth="1"/>
    <col min="4359" max="4359" width="21.54296875" style="506" bestFit="1" customWidth="1"/>
    <col min="4360" max="4360" width="18.453125" style="506" bestFit="1" customWidth="1"/>
    <col min="4361" max="4361" width="11.453125" style="506"/>
    <col min="4362" max="4362" width="20" style="506" bestFit="1" customWidth="1"/>
    <col min="4363" max="4608" width="11.453125" style="506"/>
    <col min="4609" max="4609" width="8" style="506" bestFit="1" customWidth="1"/>
    <col min="4610" max="4610" width="59.54296875" style="506" bestFit="1" customWidth="1"/>
    <col min="4611" max="4611" width="18.453125" style="506" bestFit="1" customWidth="1"/>
    <col min="4612" max="4612" width="17.453125" style="506" bestFit="1" customWidth="1"/>
    <col min="4613" max="4613" width="12.453125" style="506" bestFit="1" customWidth="1"/>
    <col min="4614" max="4614" width="19.453125" style="506" bestFit="1" customWidth="1"/>
    <col min="4615" max="4615" width="21.54296875" style="506" bestFit="1" customWidth="1"/>
    <col min="4616" max="4616" width="18.453125" style="506" bestFit="1" customWidth="1"/>
    <col min="4617" max="4617" width="11.453125" style="506"/>
    <col min="4618" max="4618" width="20" style="506" bestFit="1" customWidth="1"/>
    <col min="4619" max="4864" width="11.453125" style="506"/>
    <col min="4865" max="4865" width="8" style="506" bestFit="1" customWidth="1"/>
    <col min="4866" max="4866" width="59.54296875" style="506" bestFit="1" customWidth="1"/>
    <col min="4867" max="4867" width="18.453125" style="506" bestFit="1" customWidth="1"/>
    <col min="4868" max="4868" width="17.453125" style="506" bestFit="1" customWidth="1"/>
    <col min="4869" max="4869" width="12.453125" style="506" bestFit="1" customWidth="1"/>
    <col min="4870" max="4870" width="19.453125" style="506" bestFit="1" customWidth="1"/>
    <col min="4871" max="4871" width="21.54296875" style="506" bestFit="1" customWidth="1"/>
    <col min="4872" max="4872" width="18.453125" style="506" bestFit="1" customWidth="1"/>
    <col min="4873" max="4873" width="11.453125" style="506"/>
    <col min="4874" max="4874" width="20" style="506" bestFit="1" customWidth="1"/>
    <col min="4875" max="5120" width="11.453125" style="506"/>
    <col min="5121" max="5121" width="8" style="506" bestFit="1" customWidth="1"/>
    <col min="5122" max="5122" width="59.54296875" style="506" bestFit="1" customWidth="1"/>
    <col min="5123" max="5123" width="18.453125" style="506" bestFit="1" customWidth="1"/>
    <col min="5124" max="5124" width="17.453125" style="506" bestFit="1" customWidth="1"/>
    <col min="5125" max="5125" width="12.453125" style="506" bestFit="1" customWidth="1"/>
    <col min="5126" max="5126" width="19.453125" style="506" bestFit="1" customWidth="1"/>
    <col min="5127" max="5127" width="21.54296875" style="506" bestFit="1" customWidth="1"/>
    <col min="5128" max="5128" width="18.453125" style="506" bestFit="1" customWidth="1"/>
    <col min="5129" max="5129" width="11.453125" style="506"/>
    <col min="5130" max="5130" width="20" style="506" bestFit="1" customWidth="1"/>
    <col min="5131" max="5376" width="11.453125" style="506"/>
    <col min="5377" max="5377" width="8" style="506" bestFit="1" customWidth="1"/>
    <col min="5378" max="5378" width="59.54296875" style="506" bestFit="1" customWidth="1"/>
    <col min="5379" max="5379" width="18.453125" style="506" bestFit="1" customWidth="1"/>
    <col min="5380" max="5380" width="17.453125" style="506" bestFit="1" customWidth="1"/>
    <col min="5381" max="5381" width="12.453125" style="506" bestFit="1" customWidth="1"/>
    <col min="5382" max="5382" width="19.453125" style="506" bestFit="1" customWidth="1"/>
    <col min="5383" max="5383" width="21.54296875" style="506" bestFit="1" customWidth="1"/>
    <col min="5384" max="5384" width="18.453125" style="506" bestFit="1" customWidth="1"/>
    <col min="5385" max="5385" width="11.453125" style="506"/>
    <col min="5386" max="5386" width="20" style="506" bestFit="1" customWidth="1"/>
    <col min="5387" max="5632" width="11.453125" style="506"/>
    <col min="5633" max="5633" width="8" style="506" bestFit="1" customWidth="1"/>
    <col min="5634" max="5634" width="59.54296875" style="506" bestFit="1" customWidth="1"/>
    <col min="5635" max="5635" width="18.453125" style="506" bestFit="1" customWidth="1"/>
    <col min="5636" max="5636" width="17.453125" style="506" bestFit="1" customWidth="1"/>
    <col min="5637" max="5637" width="12.453125" style="506" bestFit="1" customWidth="1"/>
    <col min="5638" max="5638" width="19.453125" style="506" bestFit="1" customWidth="1"/>
    <col min="5639" max="5639" width="21.54296875" style="506" bestFit="1" customWidth="1"/>
    <col min="5640" max="5640" width="18.453125" style="506" bestFit="1" customWidth="1"/>
    <col min="5641" max="5641" width="11.453125" style="506"/>
    <col min="5642" max="5642" width="20" style="506" bestFit="1" customWidth="1"/>
    <col min="5643" max="5888" width="11.453125" style="506"/>
    <col min="5889" max="5889" width="8" style="506" bestFit="1" customWidth="1"/>
    <col min="5890" max="5890" width="59.54296875" style="506" bestFit="1" customWidth="1"/>
    <col min="5891" max="5891" width="18.453125" style="506" bestFit="1" customWidth="1"/>
    <col min="5892" max="5892" width="17.453125" style="506" bestFit="1" customWidth="1"/>
    <col min="5893" max="5893" width="12.453125" style="506" bestFit="1" customWidth="1"/>
    <col min="5894" max="5894" width="19.453125" style="506" bestFit="1" customWidth="1"/>
    <col min="5895" max="5895" width="21.54296875" style="506" bestFit="1" customWidth="1"/>
    <col min="5896" max="5896" width="18.453125" style="506" bestFit="1" customWidth="1"/>
    <col min="5897" max="5897" width="11.453125" style="506"/>
    <col min="5898" max="5898" width="20" style="506" bestFit="1" customWidth="1"/>
    <col min="5899" max="6144" width="11.453125" style="506"/>
    <col min="6145" max="6145" width="8" style="506" bestFit="1" customWidth="1"/>
    <col min="6146" max="6146" width="59.54296875" style="506" bestFit="1" customWidth="1"/>
    <col min="6147" max="6147" width="18.453125" style="506" bestFit="1" customWidth="1"/>
    <col min="6148" max="6148" width="17.453125" style="506" bestFit="1" customWidth="1"/>
    <col min="6149" max="6149" width="12.453125" style="506" bestFit="1" customWidth="1"/>
    <col min="6150" max="6150" width="19.453125" style="506" bestFit="1" customWidth="1"/>
    <col min="6151" max="6151" width="21.54296875" style="506" bestFit="1" customWidth="1"/>
    <col min="6152" max="6152" width="18.453125" style="506" bestFit="1" customWidth="1"/>
    <col min="6153" max="6153" width="11.453125" style="506"/>
    <col min="6154" max="6154" width="20" style="506" bestFit="1" customWidth="1"/>
    <col min="6155" max="6400" width="11.453125" style="506"/>
    <col min="6401" max="6401" width="8" style="506" bestFit="1" customWidth="1"/>
    <col min="6402" max="6402" width="59.54296875" style="506" bestFit="1" customWidth="1"/>
    <col min="6403" max="6403" width="18.453125" style="506" bestFit="1" customWidth="1"/>
    <col min="6404" max="6404" width="17.453125" style="506" bestFit="1" customWidth="1"/>
    <col min="6405" max="6405" width="12.453125" style="506" bestFit="1" customWidth="1"/>
    <col min="6406" max="6406" width="19.453125" style="506" bestFit="1" customWidth="1"/>
    <col min="6407" max="6407" width="21.54296875" style="506" bestFit="1" customWidth="1"/>
    <col min="6408" max="6408" width="18.453125" style="506" bestFit="1" customWidth="1"/>
    <col min="6409" max="6409" width="11.453125" style="506"/>
    <col min="6410" max="6410" width="20" style="506" bestFit="1" customWidth="1"/>
    <col min="6411" max="6656" width="11.453125" style="506"/>
    <col min="6657" max="6657" width="8" style="506" bestFit="1" customWidth="1"/>
    <col min="6658" max="6658" width="59.54296875" style="506" bestFit="1" customWidth="1"/>
    <col min="6659" max="6659" width="18.453125" style="506" bestFit="1" customWidth="1"/>
    <col min="6660" max="6660" width="17.453125" style="506" bestFit="1" customWidth="1"/>
    <col min="6661" max="6661" width="12.453125" style="506" bestFit="1" customWidth="1"/>
    <col min="6662" max="6662" width="19.453125" style="506" bestFit="1" customWidth="1"/>
    <col min="6663" max="6663" width="21.54296875" style="506" bestFit="1" customWidth="1"/>
    <col min="6664" max="6664" width="18.453125" style="506" bestFit="1" customWidth="1"/>
    <col min="6665" max="6665" width="11.453125" style="506"/>
    <col min="6666" max="6666" width="20" style="506" bestFit="1" customWidth="1"/>
    <col min="6667" max="6912" width="11.453125" style="506"/>
    <col min="6913" max="6913" width="8" style="506" bestFit="1" customWidth="1"/>
    <col min="6914" max="6914" width="59.54296875" style="506" bestFit="1" customWidth="1"/>
    <col min="6915" max="6915" width="18.453125" style="506" bestFit="1" customWidth="1"/>
    <col min="6916" max="6916" width="17.453125" style="506" bestFit="1" customWidth="1"/>
    <col min="6917" max="6917" width="12.453125" style="506" bestFit="1" customWidth="1"/>
    <col min="6918" max="6918" width="19.453125" style="506" bestFit="1" customWidth="1"/>
    <col min="6919" max="6919" width="21.54296875" style="506" bestFit="1" customWidth="1"/>
    <col min="6920" max="6920" width="18.453125" style="506" bestFit="1" customWidth="1"/>
    <col min="6921" max="6921" width="11.453125" style="506"/>
    <col min="6922" max="6922" width="20" style="506" bestFit="1" customWidth="1"/>
    <col min="6923" max="7168" width="11.453125" style="506"/>
    <col min="7169" max="7169" width="8" style="506" bestFit="1" customWidth="1"/>
    <col min="7170" max="7170" width="59.54296875" style="506" bestFit="1" customWidth="1"/>
    <col min="7171" max="7171" width="18.453125" style="506" bestFit="1" customWidth="1"/>
    <col min="7172" max="7172" width="17.453125" style="506" bestFit="1" customWidth="1"/>
    <col min="7173" max="7173" width="12.453125" style="506" bestFit="1" customWidth="1"/>
    <col min="7174" max="7174" width="19.453125" style="506" bestFit="1" customWidth="1"/>
    <col min="7175" max="7175" width="21.54296875" style="506" bestFit="1" customWidth="1"/>
    <col min="7176" max="7176" width="18.453125" style="506" bestFit="1" customWidth="1"/>
    <col min="7177" max="7177" width="11.453125" style="506"/>
    <col min="7178" max="7178" width="20" style="506" bestFit="1" customWidth="1"/>
    <col min="7179" max="7424" width="11.453125" style="506"/>
    <col min="7425" max="7425" width="8" style="506" bestFit="1" customWidth="1"/>
    <col min="7426" max="7426" width="59.54296875" style="506" bestFit="1" customWidth="1"/>
    <col min="7427" max="7427" width="18.453125" style="506" bestFit="1" customWidth="1"/>
    <col min="7428" max="7428" width="17.453125" style="506" bestFit="1" customWidth="1"/>
    <col min="7429" max="7429" width="12.453125" style="506" bestFit="1" customWidth="1"/>
    <col min="7430" max="7430" width="19.453125" style="506" bestFit="1" customWidth="1"/>
    <col min="7431" max="7431" width="21.54296875" style="506" bestFit="1" customWidth="1"/>
    <col min="7432" max="7432" width="18.453125" style="506" bestFit="1" customWidth="1"/>
    <col min="7433" max="7433" width="11.453125" style="506"/>
    <col min="7434" max="7434" width="20" style="506" bestFit="1" customWidth="1"/>
    <col min="7435" max="7680" width="11.453125" style="506"/>
    <col min="7681" max="7681" width="8" style="506" bestFit="1" customWidth="1"/>
    <col min="7682" max="7682" width="59.54296875" style="506" bestFit="1" customWidth="1"/>
    <col min="7683" max="7683" width="18.453125" style="506" bestFit="1" customWidth="1"/>
    <col min="7684" max="7684" width="17.453125" style="506" bestFit="1" customWidth="1"/>
    <col min="7685" max="7685" width="12.453125" style="506" bestFit="1" customWidth="1"/>
    <col min="7686" max="7686" width="19.453125" style="506" bestFit="1" customWidth="1"/>
    <col min="7687" max="7687" width="21.54296875" style="506" bestFit="1" customWidth="1"/>
    <col min="7688" max="7688" width="18.453125" style="506" bestFit="1" customWidth="1"/>
    <col min="7689" max="7689" width="11.453125" style="506"/>
    <col min="7690" max="7690" width="20" style="506" bestFit="1" customWidth="1"/>
    <col min="7691" max="7936" width="11.453125" style="506"/>
    <col min="7937" max="7937" width="8" style="506" bestFit="1" customWidth="1"/>
    <col min="7938" max="7938" width="59.54296875" style="506" bestFit="1" customWidth="1"/>
    <col min="7939" max="7939" width="18.453125" style="506" bestFit="1" customWidth="1"/>
    <col min="7940" max="7940" width="17.453125" style="506" bestFit="1" customWidth="1"/>
    <col min="7941" max="7941" width="12.453125" style="506" bestFit="1" customWidth="1"/>
    <col min="7942" max="7942" width="19.453125" style="506" bestFit="1" customWidth="1"/>
    <col min="7943" max="7943" width="21.54296875" style="506" bestFit="1" customWidth="1"/>
    <col min="7944" max="7944" width="18.453125" style="506" bestFit="1" customWidth="1"/>
    <col min="7945" max="7945" width="11.453125" style="506"/>
    <col min="7946" max="7946" width="20" style="506" bestFit="1" customWidth="1"/>
    <col min="7947" max="8192" width="11.453125" style="506"/>
    <col min="8193" max="8193" width="8" style="506" bestFit="1" customWidth="1"/>
    <col min="8194" max="8194" width="59.54296875" style="506" bestFit="1" customWidth="1"/>
    <col min="8195" max="8195" width="18.453125" style="506" bestFit="1" customWidth="1"/>
    <col min="8196" max="8196" width="17.453125" style="506" bestFit="1" customWidth="1"/>
    <col min="8197" max="8197" width="12.453125" style="506" bestFit="1" customWidth="1"/>
    <col min="8198" max="8198" width="19.453125" style="506" bestFit="1" customWidth="1"/>
    <col min="8199" max="8199" width="21.54296875" style="506" bestFit="1" customWidth="1"/>
    <col min="8200" max="8200" width="18.453125" style="506" bestFit="1" customWidth="1"/>
    <col min="8201" max="8201" width="11.453125" style="506"/>
    <col min="8202" max="8202" width="20" style="506" bestFit="1" customWidth="1"/>
    <col min="8203" max="8448" width="11.453125" style="506"/>
    <col min="8449" max="8449" width="8" style="506" bestFit="1" customWidth="1"/>
    <col min="8450" max="8450" width="59.54296875" style="506" bestFit="1" customWidth="1"/>
    <col min="8451" max="8451" width="18.453125" style="506" bestFit="1" customWidth="1"/>
    <col min="8452" max="8452" width="17.453125" style="506" bestFit="1" customWidth="1"/>
    <col min="8453" max="8453" width="12.453125" style="506" bestFit="1" customWidth="1"/>
    <col min="8454" max="8454" width="19.453125" style="506" bestFit="1" customWidth="1"/>
    <col min="8455" max="8455" width="21.54296875" style="506" bestFit="1" customWidth="1"/>
    <col min="8456" max="8456" width="18.453125" style="506" bestFit="1" customWidth="1"/>
    <col min="8457" max="8457" width="11.453125" style="506"/>
    <col min="8458" max="8458" width="20" style="506" bestFit="1" customWidth="1"/>
    <col min="8459" max="8704" width="11.453125" style="506"/>
    <col min="8705" max="8705" width="8" style="506" bestFit="1" customWidth="1"/>
    <col min="8706" max="8706" width="59.54296875" style="506" bestFit="1" customWidth="1"/>
    <col min="8707" max="8707" width="18.453125" style="506" bestFit="1" customWidth="1"/>
    <col min="8708" max="8708" width="17.453125" style="506" bestFit="1" customWidth="1"/>
    <col min="8709" max="8709" width="12.453125" style="506" bestFit="1" customWidth="1"/>
    <col min="8710" max="8710" width="19.453125" style="506" bestFit="1" customWidth="1"/>
    <col min="8711" max="8711" width="21.54296875" style="506" bestFit="1" customWidth="1"/>
    <col min="8712" max="8712" width="18.453125" style="506" bestFit="1" customWidth="1"/>
    <col min="8713" max="8713" width="11.453125" style="506"/>
    <col min="8714" max="8714" width="20" style="506" bestFit="1" customWidth="1"/>
    <col min="8715" max="8960" width="11.453125" style="506"/>
    <col min="8961" max="8961" width="8" style="506" bestFit="1" customWidth="1"/>
    <col min="8962" max="8962" width="59.54296875" style="506" bestFit="1" customWidth="1"/>
    <col min="8963" max="8963" width="18.453125" style="506" bestFit="1" customWidth="1"/>
    <col min="8964" max="8964" width="17.453125" style="506" bestFit="1" customWidth="1"/>
    <col min="8965" max="8965" width="12.453125" style="506" bestFit="1" customWidth="1"/>
    <col min="8966" max="8966" width="19.453125" style="506" bestFit="1" customWidth="1"/>
    <col min="8967" max="8967" width="21.54296875" style="506" bestFit="1" customWidth="1"/>
    <col min="8968" max="8968" width="18.453125" style="506" bestFit="1" customWidth="1"/>
    <col min="8969" max="8969" width="11.453125" style="506"/>
    <col min="8970" max="8970" width="20" style="506" bestFit="1" customWidth="1"/>
    <col min="8971" max="9216" width="11.453125" style="506"/>
    <col min="9217" max="9217" width="8" style="506" bestFit="1" customWidth="1"/>
    <col min="9218" max="9218" width="59.54296875" style="506" bestFit="1" customWidth="1"/>
    <col min="9219" max="9219" width="18.453125" style="506" bestFit="1" customWidth="1"/>
    <col min="9220" max="9220" width="17.453125" style="506" bestFit="1" customWidth="1"/>
    <col min="9221" max="9221" width="12.453125" style="506" bestFit="1" customWidth="1"/>
    <col min="9222" max="9222" width="19.453125" style="506" bestFit="1" customWidth="1"/>
    <col min="9223" max="9223" width="21.54296875" style="506" bestFit="1" customWidth="1"/>
    <col min="9224" max="9224" width="18.453125" style="506" bestFit="1" customWidth="1"/>
    <col min="9225" max="9225" width="11.453125" style="506"/>
    <col min="9226" max="9226" width="20" style="506" bestFit="1" customWidth="1"/>
    <col min="9227" max="9472" width="11.453125" style="506"/>
    <col min="9473" max="9473" width="8" style="506" bestFit="1" customWidth="1"/>
    <col min="9474" max="9474" width="59.54296875" style="506" bestFit="1" customWidth="1"/>
    <col min="9475" max="9475" width="18.453125" style="506" bestFit="1" customWidth="1"/>
    <col min="9476" max="9476" width="17.453125" style="506" bestFit="1" customWidth="1"/>
    <col min="9477" max="9477" width="12.453125" style="506" bestFit="1" customWidth="1"/>
    <col min="9478" max="9478" width="19.453125" style="506" bestFit="1" customWidth="1"/>
    <col min="9479" max="9479" width="21.54296875" style="506" bestFit="1" customWidth="1"/>
    <col min="9480" max="9480" width="18.453125" style="506" bestFit="1" customWidth="1"/>
    <col min="9481" max="9481" width="11.453125" style="506"/>
    <col min="9482" max="9482" width="20" style="506" bestFit="1" customWidth="1"/>
    <col min="9483" max="9728" width="11.453125" style="506"/>
    <col min="9729" max="9729" width="8" style="506" bestFit="1" customWidth="1"/>
    <col min="9730" max="9730" width="59.54296875" style="506" bestFit="1" customWidth="1"/>
    <col min="9731" max="9731" width="18.453125" style="506" bestFit="1" customWidth="1"/>
    <col min="9732" max="9732" width="17.453125" style="506" bestFit="1" customWidth="1"/>
    <col min="9733" max="9733" width="12.453125" style="506" bestFit="1" customWidth="1"/>
    <col min="9734" max="9734" width="19.453125" style="506" bestFit="1" customWidth="1"/>
    <col min="9735" max="9735" width="21.54296875" style="506" bestFit="1" customWidth="1"/>
    <col min="9736" max="9736" width="18.453125" style="506" bestFit="1" customWidth="1"/>
    <col min="9737" max="9737" width="11.453125" style="506"/>
    <col min="9738" max="9738" width="20" style="506" bestFit="1" customWidth="1"/>
    <col min="9739" max="9984" width="11.453125" style="506"/>
    <col min="9985" max="9985" width="8" style="506" bestFit="1" customWidth="1"/>
    <col min="9986" max="9986" width="59.54296875" style="506" bestFit="1" customWidth="1"/>
    <col min="9987" max="9987" width="18.453125" style="506" bestFit="1" customWidth="1"/>
    <col min="9988" max="9988" width="17.453125" style="506" bestFit="1" customWidth="1"/>
    <col min="9989" max="9989" width="12.453125" style="506" bestFit="1" customWidth="1"/>
    <col min="9990" max="9990" width="19.453125" style="506" bestFit="1" customWidth="1"/>
    <col min="9991" max="9991" width="21.54296875" style="506" bestFit="1" customWidth="1"/>
    <col min="9992" max="9992" width="18.453125" style="506" bestFit="1" customWidth="1"/>
    <col min="9993" max="9993" width="11.453125" style="506"/>
    <col min="9994" max="9994" width="20" style="506" bestFit="1" customWidth="1"/>
    <col min="9995" max="10240" width="11.453125" style="506"/>
    <col min="10241" max="10241" width="8" style="506" bestFit="1" customWidth="1"/>
    <col min="10242" max="10242" width="59.54296875" style="506" bestFit="1" customWidth="1"/>
    <col min="10243" max="10243" width="18.453125" style="506" bestFit="1" customWidth="1"/>
    <col min="10244" max="10244" width="17.453125" style="506" bestFit="1" customWidth="1"/>
    <col min="10245" max="10245" width="12.453125" style="506" bestFit="1" customWidth="1"/>
    <col min="10246" max="10246" width="19.453125" style="506" bestFit="1" customWidth="1"/>
    <col min="10247" max="10247" width="21.54296875" style="506" bestFit="1" customWidth="1"/>
    <col min="10248" max="10248" width="18.453125" style="506" bestFit="1" customWidth="1"/>
    <col min="10249" max="10249" width="11.453125" style="506"/>
    <col min="10250" max="10250" width="20" style="506" bestFit="1" customWidth="1"/>
    <col min="10251" max="10496" width="11.453125" style="506"/>
    <col min="10497" max="10497" width="8" style="506" bestFit="1" customWidth="1"/>
    <col min="10498" max="10498" width="59.54296875" style="506" bestFit="1" customWidth="1"/>
    <col min="10499" max="10499" width="18.453125" style="506" bestFit="1" customWidth="1"/>
    <col min="10500" max="10500" width="17.453125" style="506" bestFit="1" customWidth="1"/>
    <col min="10501" max="10501" width="12.453125" style="506" bestFit="1" customWidth="1"/>
    <col min="10502" max="10502" width="19.453125" style="506" bestFit="1" customWidth="1"/>
    <col min="10503" max="10503" width="21.54296875" style="506" bestFit="1" customWidth="1"/>
    <col min="10504" max="10504" width="18.453125" style="506" bestFit="1" customWidth="1"/>
    <col min="10505" max="10505" width="11.453125" style="506"/>
    <col min="10506" max="10506" width="20" style="506" bestFit="1" customWidth="1"/>
    <col min="10507" max="10752" width="11.453125" style="506"/>
    <col min="10753" max="10753" width="8" style="506" bestFit="1" customWidth="1"/>
    <col min="10754" max="10754" width="59.54296875" style="506" bestFit="1" customWidth="1"/>
    <col min="10755" max="10755" width="18.453125" style="506" bestFit="1" customWidth="1"/>
    <col min="10756" max="10756" width="17.453125" style="506" bestFit="1" customWidth="1"/>
    <col min="10757" max="10757" width="12.453125" style="506" bestFit="1" customWidth="1"/>
    <col min="10758" max="10758" width="19.453125" style="506" bestFit="1" customWidth="1"/>
    <col min="10759" max="10759" width="21.54296875" style="506" bestFit="1" customWidth="1"/>
    <col min="10760" max="10760" width="18.453125" style="506" bestFit="1" customWidth="1"/>
    <col min="10761" max="10761" width="11.453125" style="506"/>
    <col min="10762" max="10762" width="20" style="506" bestFit="1" customWidth="1"/>
    <col min="10763" max="11008" width="11.453125" style="506"/>
    <col min="11009" max="11009" width="8" style="506" bestFit="1" customWidth="1"/>
    <col min="11010" max="11010" width="59.54296875" style="506" bestFit="1" customWidth="1"/>
    <col min="11011" max="11011" width="18.453125" style="506" bestFit="1" customWidth="1"/>
    <col min="11012" max="11012" width="17.453125" style="506" bestFit="1" customWidth="1"/>
    <col min="11013" max="11013" width="12.453125" style="506" bestFit="1" customWidth="1"/>
    <col min="11014" max="11014" width="19.453125" style="506" bestFit="1" customWidth="1"/>
    <col min="11015" max="11015" width="21.54296875" style="506" bestFit="1" customWidth="1"/>
    <col min="11016" max="11016" width="18.453125" style="506" bestFit="1" customWidth="1"/>
    <col min="11017" max="11017" width="11.453125" style="506"/>
    <col min="11018" max="11018" width="20" style="506" bestFit="1" customWidth="1"/>
    <col min="11019" max="11264" width="11.453125" style="506"/>
    <col min="11265" max="11265" width="8" style="506" bestFit="1" customWidth="1"/>
    <col min="11266" max="11266" width="59.54296875" style="506" bestFit="1" customWidth="1"/>
    <col min="11267" max="11267" width="18.453125" style="506" bestFit="1" customWidth="1"/>
    <col min="11268" max="11268" width="17.453125" style="506" bestFit="1" customWidth="1"/>
    <col min="11269" max="11269" width="12.453125" style="506" bestFit="1" customWidth="1"/>
    <col min="11270" max="11270" width="19.453125" style="506" bestFit="1" customWidth="1"/>
    <col min="11271" max="11271" width="21.54296875" style="506" bestFit="1" customWidth="1"/>
    <col min="11272" max="11272" width="18.453125" style="506" bestFit="1" customWidth="1"/>
    <col min="11273" max="11273" width="11.453125" style="506"/>
    <col min="11274" max="11274" width="20" style="506" bestFit="1" customWidth="1"/>
    <col min="11275" max="11520" width="11.453125" style="506"/>
    <col min="11521" max="11521" width="8" style="506" bestFit="1" customWidth="1"/>
    <col min="11522" max="11522" width="59.54296875" style="506" bestFit="1" customWidth="1"/>
    <col min="11523" max="11523" width="18.453125" style="506" bestFit="1" customWidth="1"/>
    <col min="11524" max="11524" width="17.453125" style="506" bestFit="1" customWidth="1"/>
    <col min="11525" max="11525" width="12.453125" style="506" bestFit="1" customWidth="1"/>
    <col min="11526" max="11526" width="19.453125" style="506" bestFit="1" customWidth="1"/>
    <col min="11527" max="11527" width="21.54296875" style="506" bestFit="1" customWidth="1"/>
    <col min="11528" max="11528" width="18.453125" style="506" bestFit="1" customWidth="1"/>
    <col min="11529" max="11529" width="11.453125" style="506"/>
    <col min="11530" max="11530" width="20" style="506" bestFit="1" customWidth="1"/>
    <col min="11531" max="11776" width="11.453125" style="506"/>
    <col min="11777" max="11777" width="8" style="506" bestFit="1" customWidth="1"/>
    <col min="11778" max="11778" width="59.54296875" style="506" bestFit="1" customWidth="1"/>
    <col min="11779" max="11779" width="18.453125" style="506" bestFit="1" customWidth="1"/>
    <col min="11780" max="11780" width="17.453125" style="506" bestFit="1" customWidth="1"/>
    <col min="11781" max="11781" width="12.453125" style="506" bestFit="1" customWidth="1"/>
    <col min="11782" max="11782" width="19.453125" style="506" bestFit="1" customWidth="1"/>
    <col min="11783" max="11783" width="21.54296875" style="506" bestFit="1" customWidth="1"/>
    <col min="11784" max="11784" width="18.453125" style="506" bestFit="1" customWidth="1"/>
    <col min="11785" max="11785" width="11.453125" style="506"/>
    <col min="11786" max="11786" width="20" style="506" bestFit="1" customWidth="1"/>
    <col min="11787" max="12032" width="11.453125" style="506"/>
    <col min="12033" max="12033" width="8" style="506" bestFit="1" customWidth="1"/>
    <col min="12034" max="12034" width="59.54296875" style="506" bestFit="1" customWidth="1"/>
    <col min="12035" max="12035" width="18.453125" style="506" bestFit="1" customWidth="1"/>
    <col min="12036" max="12036" width="17.453125" style="506" bestFit="1" customWidth="1"/>
    <col min="12037" max="12037" width="12.453125" style="506" bestFit="1" customWidth="1"/>
    <col min="12038" max="12038" width="19.453125" style="506" bestFit="1" customWidth="1"/>
    <col min="12039" max="12039" width="21.54296875" style="506" bestFit="1" customWidth="1"/>
    <col min="12040" max="12040" width="18.453125" style="506" bestFit="1" customWidth="1"/>
    <col min="12041" max="12041" width="11.453125" style="506"/>
    <col min="12042" max="12042" width="20" style="506" bestFit="1" customWidth="1"/>
    <col min="12043" max="12288" width="11.453125" style="506"/>
    <col min="12289" max="12289" width="8" style="506" bestFit="1" customWidth="1"/>
    <col min="12290" max="12290" width="59.54296875" style="506" bestFit="1" customWidth="1"/>
    <col min="12291" max="12291" width="18.453125" style="506" bestFit="1" customWidth="1"/>
    <col min="12292" max="12292" width="17.453125" style="506" bestFit="1" customWidth="1"/>
    <col min="12293" max="12293" width="12.453125" style="506" bestFit="1" customWidth="1"/>
    <col min="12294" max="12294" width="19.453125" style="506" bestFit="1" customWidth="1"/>
    <col min="12295" max="12295" width="21.54296875" style="506" bestFit="1" customWidth="1"/>
    <col min="12296" max="12296" width="18.453125" style="506" bestFit="1" customWidth="1"/>
    <col min="12297" max="12297" width="11.453125" style="506"/>
    <col min="12298" max="12298" width="20" style="506" bestFit="1" customWidth="1"/>
    <col min="12299" max="12544" width="11.453125" style="506"/>
    <col min="12545" max="12545" width="8" style="506" bestFit="1" customWidth="1"/>
    <col min="12546" max="12546" width="59.54296875" style="506" bestFit="1" customWidth="1"/>
    <col min="12547" max="12547" width="18.453125" style="506" bestFit="1" customWidth="1"/>
    <col min="12548" max="12548" width="17.453125" style="506" bestFit="1" customWidth="1"/>
    <col min="12549" max="12549" width="12.453125" style="506" bestFit="1" customWidth="1"/>
    <col min="12550" max="12550" width="19.453125" style="506" bestFit="1" customWidth="1"/>
    <col min="12551" max="12551" width="21.54296875" style="506" bestFit="1" customWidth="1"/>
    <col min="12552" max="12552" width="18.453125" style="506" bestFit="1" customWidth="1"/>
    <col min="12553" max="12553" width="11.453125" style="506"/>
    <col min="12554" max="12554" width="20" style="506" bestFit="1" customWidth="1"/>
    <col min="12555" max="12800" width="11.453125" style="506"/>
    <col min="12801" max="12801" width="8" style="506" bestFit="1" customWidth="1"/>
    <col min="12802" max="12802" width="59.54296875" style="506" bestFit="1" customWidth="1"/>
    <col min="12803" max="12803" width="18.453125" style="506" bestFit="1" customWidth="1"/>
    <col min="12804" max="12804" width="17.453125" style="506" bestFit="1" customWidth="1"/>
    <col min="12805" max="12805" width="12.453125" style="506" bestFit="1" customWidth="1"/>
    <col min="12806" max="12806" width="19.453125" style="506" bestFit="1" customWidth="1"/>
    <col min="12807" max="12807" width="21.54296875" style="506" bestFit="1" customWidth="1"/>
    <col min="12808" max="12808" width="18.453125" style="506" bestFit="1" customWidth="1"/>
    <col min="12809" max="12809" width="11.453125" style="506"/>
    <col min="12810" max="12810" width="20" style="506" bestFit="1" customWidth="1"/>
    <col min="12811" max="13056" width="11.453125" style="506"/>
    <col min="13057" max="13057" width="8" style="506" bestFit="1" customWidth="1"/>
    <col min="13058" max="13058" width="59.54296875" style="506" bestFit="1" customWidth="1"/>
    <col min="13059" max="13059" width="18.453125" style="506" bestFit="1" customWidth="1"/>
    <col min="13060" max="13060" width="17.453125" style="506" bestFit="1" customWidth="1"/>
    <col min="13061" max="13061" width="12.453125" style="506" bestFit="1" customWidth="1"/>
    <col min="13062" max="13062" width="19.453125" style="506" bestFit="1" customWidth="1"/>
    <col min="13063" max="13063" width="21.54296875" style="506" bestFit="1" customWidth="1"/>
    <col min="13064" max="13064" width="18.453125" style="506" bestFit="1" customWidth="1"/>
    <col min="13065" max="13065" width="11.453125" style="506"/>
    <col min="13066" max="13066" width="20" style="506" bestFit="1" customWidth="1"/>
    <col min="13067" max="13312" width="11.453125" style="506"/>
    <col min="13313" max="13313" width="8" style="506" bestFit="1" customWidth="1"/>
    <col min="13314" max="13314" width="59.54296875" style="506" bestFit="1" customWidth="1"/>
    <col min="13315" max="13315" width="18.453125" style="506" bestFit="1" customWidth="1"/>
    <col min="13316" max="13316" width="17.453125" style="506" bestFit="1" customWidth="1"/>
    <col min="13317" max="13317" width="12.453125" style="506" bestFit="1" customWidth="1"/>
    <col min="13318" max="13318" width="19.453125" style="506" bestFit="1" customWidth="1"/>
    <col min="13319" max="13319" width="21.54296875" style="506" bestFit="1" customWidth="1"/>
    <col min="13320" max="13320" width="18.453125" style="506" bestFit="1" customWidth="1"/>
    <col min="13321" max="13321" width="11.453125" style="506"/>
    <col min="13322" max="13322" width="20" style="506" bestFit="1" customWidth="1"/>
    <col min="13323" max="13568" width="11.453125" style="506"/>
    <col min="13569" max="13569" width="8" style="506" bestFit="1" customWidth="1"/>
    <col min="13570" max="13570" width="59.54296875" style="506" bestFit="1" customWidth="1"/>
    <col min="13571" max="13571" width="18.453125" style="506" bestFit="1" customWidth="1"/>
    <col min="13572" max="13572" width="17.453125" style="506" bestFit="1" customWidth="1"/>
    <col min="13573" max="13573" width="12.453125" style="506" bestFit="1" customWidth="1"/>
    <col min="13574" max="13574" width="19.453125" style="506" bestFit="1" customWidth="1"/>
    <col min="13575" max="13575" width="21.54296875" style="506" bestFit="1" customWidth="1"/>
    <col min="13576" max="13576" width="18.453125" style="506" bestFit="1" customWidth="1"/>
    <col min="13577" max="13577" width="11.453125" style="506"/>
    <col min="13578" max="13578" width="20" style="506" bestFit="1" customWidth="1"/>
    <col min="13579" max="13824" width="11.453125" style="506"/>
    <col min="13825" max="13825" width="8" style="506" bestFit="1" customWidth="1"/>
    <col min="13826" max="13826" width="59.54296875" style="506" bestFit="1" customWidth="1"/>
    <col min="13827" max="13827" width="18.453125" style="506" bestFit="1" customWidth="1"/>
    <col min="13828" max="13828" width="17.453125" style="506" bestFit="1" customWidth="1"/>
    <col min="13829" max="13829" width="12.453125" style="506" bestFit="1" customWidth="1"/>
    <col min="13830" max="13830" width="19.453125" style="506" bestFit="1" customWidth="1"/>
    <col min="13831" max="13831" width="21.54296875" style="506" bestFit="1" customWidth="1"/>
    <col min="13832" max="13832" width="18.453125" style="506" bestFit="1" customWidth="1"/>
    <col min="13833" max="13833" width="11.453125" style="506"/>
    <col min="13834" max="13834" width="20" style="506" bestFit="1" customWidth="1"/>
    <col min="13835" max="14080" width="11.453125" style="506"/>
    <col min="14081" max="14081" width="8" style="506" bestFit="1" customWidth="1"/>
    <col min="14082" max="14082" width="59.54296875" style="506" bestFit="1" customWidth="1"/>
    <col min="14083" max="14083" width="18.453125" style="506" bestFit="1" customWidth="1"/>
    <col min="14084" max="14084" width="17.453125" style="506" bestFit="1" customWidth="1"/>
    <col min="14085" max="14085" width="12.453125" style="506" bestFit="1" customWidth="1"/>
    <col min="14086" max="14086" width="19.453125" style="506" bestFit="1" customWidth="1"/>
    <col min="14087" max="14087" width="21.54296875" style="506" bestFit="1" customWidth="1"/>
    <col min="14088" max="14088" width="18.453125" style="506" bestFit="1" customWidth="1"/>
    <col min="14089" max="14089" width="11.453125" style="506"/>
    <col min="14090" max="14090" width="20" style="506" bestFit="1" customWidth="1"/>
    <col min="14091" max="14336" width="11.453125" style="506"/>
    <col min="14337" max="14337" width="8" style="506" bestFit="1" customWidth="1"/>
    <col min="14338" max="14338" width="59.54296875" style="506" bestFit="1" customWidth="1"/>
    <col min="14339" max="14339" width="18.453125" style="506" bestFit="1" customWidth="1"/>
    <col min="14340" max="14340" width="17.453125" style="506" bestFit="1" customWidth="1"/>
    <col min="14341" max="14341" width="12.453125" style="506" bestFit="1" customWidth="1"/>
    <col min="14342" max="14342" width="19.453125" style="506" bestFit="1" customWidth="1"/>
    <col min="14343" max="14343" width="21.54296875" style="506" bestFit="1" customWidth="1"/>
    <col min="14344" max="14344" width="18.453125" style="506" bestFit="1" customWidth="1"/>
    <col min="14345" max="14345" width="11.453125" style="506"/>
    <col min="14346" max="14346" width="20" style="506" bestFit="1" customWidth="1"/>
    <col min="14347" max="14592" width="11.453125" style="506"/>
    <col min="14593" max="14593" width="8" style="506" bestFit="1" customWidth="1"/>
    <col min="14594" max="14594" width="59.54296875" style="506" bestFit="1" customWidth="1"/>
    <col min="14595" max="14595" width="18.453125" style="506" bestFit="1" customWidth="1"/>
    <col min="14596" max="14596" width="17.453125" style="506" bestFit="1" customWidth="1"/>
    <col min="14597" max="14597" width="12.453125" style="506" bestFit="1" customWidth="1"/>
    <col min="14598" max="14598" width="19.453125" style="506" bestFit="1" customWidth="1"/>
    <col min="14599" max="14599" width="21.54296875" style="506" bestFit="1" customWidth="1"/>
    <col min="14600" max="14600" width="18.453125" style="506" bestFit="1" customWidth="1"/>
    <col min="14601" max="14601" width="11.453125" style="506"/>
    <col min="14602" max="14602" width="20" style="506" bestFit="1" customWidth="1"/>
    <col min="14603" max="14848" width="11.453125" style="506"/>
    <col min="14849" max="14849" width="8" style="506" bestFit="1" customWidth="1"/>
    <col min="14850" max="14850" width="59.54296875" style="506" bestFit="1" customWidth="1"/>
    <col min="14851" max="14851" width="18.453125" style="506" bestFit="1" customWidth="1"/>
    <col min="14852" max="14852" width="17.453125" style="506" bestFit="1" customWidth="1"/>
    <col min="14853" max="14853" width="12.453125" style="506" bestFit="1" customWidth="1"/>
    <col min="14854" max="14854" width="19.453125" style="506" bestFit="1" customWidth="1"/>
    <col min="14855" max="14855" width="21.54296875" style="506" bestFit="1" customWidth="1"/>
    <col min="14856" max="14856" width="18.453125" style="506" bestFit="1" customWidth="1"/>
    <col min="14857" max="14857" width="11.453125" style="506"/>
    <col min="14858" max="14858" width="20" style="506" bestFit="1" customWidth="1"/>
    <col min="14859" max="15104" width="11.453125" style="506"/>
    <col min="15105" max="15105" width="8" style="506" bestFit="1" customWidth="1"/>
    <col min="15106" max="15106" width="59.54296875" style="506" bestFit="1" customWidth="1"/>
    <col min="15107" max="15107" width="18.453125" style="506" bestFit="1" customWidth="1"/>
    <col min="15108" max="15108" width="17.453125" style="506" bestFit="1" customWidth="1"/>
    <col min="15109" max="15109" width="12.453125" style="506" bestFit="1" customWidth="1"/>
    <col min="15110" max="15110" width="19.453125" style="506" bestFit="1" customWidth="1"/>
    <col min="15111" max="15111" width="21.54296875" style="506" bestFit="1" customWidth="1"/>
    <col min="15112" max="15112" width="18.453125" style="506" bestFit="1" customWidth="1"/>
    <col min="15113" max="15113" width="11.453125" style="506"/>
    <col min="15114" max="15114" width="20" style="506" bestFit="1" customWidth="1"/>
    <col min="15115" max="15360" width="11.453125" style="506"/>
    <col min="15361" max="15361" width="8" style="506" bestFit="1" customWidth="1"/>
    <col min="15362" max="15362" width="59.54296875" style="506" bestFit="1" customWidth="1"/>
    <col min="15363" max="15363" width="18.453125" style="506" bestFit="1" customWidth="1"/>
    <col min="15364" max="15364" width="17.453125" style="506" bestFit="1" customWidth="1"/>
    <col min="15365" max="15365" width="12.453125" style="506" bestFit="1" customWidth="1"/>
    <col min="15366" max="15366" width="19.453125" style="506" bestFit="1" customWidth="1"/>
    <col min="15367" max="15367" width="21.54296875" style="506" bestFit="1" customWidth="1"/>
    <col min="15368" max="15368" width="18.453125" style="506" bestFit="1" customWidth="1"/>
    <col min="15369" max="15369" width="11.453125" style="506"/>
    <col min="15370" max="15370" width="20" style="506" bestFit="1" customWidth="1"/>
    <col min="15371" max="15616" width="11.453125" style="506"/>
    <col min="15617" max="15617" width="8" style="506" bestFit="1" customWidth="1"/>
    <col min="15618" max="15618" width="59.54296875" style="506" bestFit="1" customWidth="1"/>
    <col min="15619" max="15619" width="18.453125" style="506" bestFit="1" customWidth="1"/>
    <col min="15620" max="15620" width="17.453125" style="506" bestFit="1" customWidth="1"/>
    <col min="15621" max="15621" width="12.453125" style="506" bestFit="1" customWidth="1"/>
    <col min="15622" max="15622" width="19.453125" style="506" bestFit="1" customWidth="1"/>
    <col min="15623" max="15623" width="21.54296875" style="506" bestFit="1" customWidth="1"/>
    <col min="15624" max="15624" width="18.453125" style="506" bestFit="1" customWidth="1"/>
    <col min="15625" max="15625" width="11.453125" style="506"/>
    <col min="15626" max="15626" width="20" style="506" bestFit="1" customWidth="1"/>
    <col min="15627" max="15872" width="11.453125" style="506"/>
    <col min="15873" max="15873" width="8" style="506" bestFit="1" customWidth="1"/>
    <col min="15874" max="15874" width="59.54296875" style="506" bestFit="1" customWidth="1"/>
    <col min="15875" max="15875" width="18.453125" style="506" bestFit="1" customWidth="1"/>
    <col min="15876" max="15876" width="17.453125" style="506" bestFit="1" customWidth="1"/>
    <col min="15877" max="15877" width="12.453125" style="506" bestFit="1" customWidth="1"/>
    <col min="15878" max="15878" width="19.453125" style="506" bestFit="1" customWidth="1"/>
    <col min="15879" max="15879" width="21.54296875" style="506" bestFit="1" customWidth="1"/>
    <col min="15880" max="15880" width="18.453125" style="506" bestFit="1" customWidth="1"/>
    <col min="15881" max="15881" width="11.453125" style="506"/>
    <col min="15882" max="15882" width="20" style="506" bestFit="1" customWidth="1"/>
    <col min="15883" max="16128" width="11.453125" style="506"/>
    <col min="16129" max="16129" width="8" style="506" bestFit="1" customWidth="1"/>
    <col min="16130" max="16130" width="59.54296875" style="506" bestFit="1" customWidth="1"/>
    <col min="16131" max="16131" width="18.453125" style="506" bestFit="1" customWidth="1"/>
    <col min="16132" max="16132" width="17.453125" style="506" bestFit="1" customWidth="1"/>
    <col min="16133" max="16133" width="12.453125" style="506" bestFit="1" customWidth="1"/>
    <col min="16134" max="16134" width="19.453125" style="506" bestFit="1" customWidth="1"/>
    <col min="16135" max="16135" width="21.54296875" style="506" bestFit="1" customWidth="1"/>
    <col min="16136" max="16136" width="18.453125" style="506" bestFit="1" customWidth="1"/>
    <col min="16137" max="16137" width="11.453125" style="506"/>
    <col min="16138" max="16138" width="20" style="506" bestFit="1" customWidth="1"/>
    <col min="16139" max="16384" width="11.453125" style="506"/>
  </cols>
  <sheetData>
    <row r="1" spans="1:10" s="499" customFormat="1" ht="18" hidden="1" customHeight="1">
      <c r="A1" s="1458" t="s">
        <v>491</v>
      </c>
      <c r="B1" s="1458"/>
      <c r="C1" s="1458"/>
      <c r="D1" s="1458"/>
      <c r="E1" s="1458"/>
      <c r="F1" s="1458"/>
      <c r="G1" s="1458"/>
      <c r="H1" s="498"/>
    </row>
    <row r="2" spans="1:10" s="499" customFormat="1" ht="18">
      <c r="A2" s="1458" t="s">
        <v>492</v>
      </c>
      <c r="B2" s="1458"/>
      <c r="C2" s="1458"/>
      <c r="D2" s="1458"/>
      <c r="E2" s="1458"/>
      <c r="F2" s="1458"/>
      <c r="G2" s="1458"/>
      <c r="H2" s="500"/>
    </row>
    <row r="3" spans="1:10" s="499" customFormat="1" ht="18">
      <c r="A3" s="1458" t="s">
        <v>493</v>
      </c>
      <c r="B3" s="1458"/>
      <c r="C3" s="1458"/>
      <c r="D3" s="1458"/>
      <c r="E3" s="1458"/>
      <c r="F3" s="1458"/>
      <c r="G3" s="1458"/>
      <c r="H3" s="501"/>
    </row>
    <row r="4" spans="1:10" s="499" customFormat="1" ht="18">
      <c r="A4" s="1458" t="s">
        <v>494</v>
      </c>
      <c r="B4" s="1458"/>
      <c r="C4" s="1458"/>
      <c r="D4" s="1458"/>
      <c r="E4" s="1458"/>
      <c r="F4" s="1458"/>
      <c r="G4" s="1458"/>
      <c r="H4" s="501"/>
    </row>
    <row r="5" spans="1:10" s="499" customFormat="1" ht="32.25" customHeight="1">
      <c r="A5" s="1459" t="str">
        <f>+'PRES GENERAL MR(OXI)'!A1</f>
        <v>IMPLEMENTACIÓN DE SOLUCIONES ENERGÉTICAS CON FUENTES NO CONVENCIONALES DE ENERGÍA PARA USUARIOS EN ZONAS RURALES DEL MUNICIPIO DE TEORAMA EN EL DEPARTAMENTO DE NORTE DE SANTANDER</v>
      </c>
      <c r="B5" s="1459"/>
      <c r="C5" s="1459"/>
      <c r="D5" s="1459"/>
      <c r="E5" s="1459"/>
      <c r="F5" s="1459"/>
      <c r="G5" s="1459"/>
      <c r="H5" s="498"/>
    </row>
    <row r="6" spans="1:10">
      <c r="A6" s="502"/>
      <c r="B6" s="503"/>
      <c r="C6" s="503"/>
      <c r="D6" s="503"/>
      <c r="E6" s="503"/>
      <c r="F6" s="504"/>
      <c r="G6" s="505" t="s">
        <v>495</v>
      </c>
    </row>
    <row r="7" spans="1:10" ht="15" thickBot="1">
      <c r="A7" s="507"/>
      <c r="B7" s="508"/>
      <c r="C7" s="508"/>
      <c r="D7" s="508"/>
      <c r="E7" s="508"/>
      <c r="F7" s="504"/>
      <c r="G7" s="508"/>
    </row>
    <row r="8" spans="1:10" s="512" customFormat="1" ht="39.5" thickBot="1">
      <c r="A8" s="509" t="s">
        <v>496</v>
      </c>
      <c r="B8" s="510" t="s">
        <v>497</v>
      </c>
      <c r="C8" s="510" t="s">
        <v>498</v>
      </c>
      <c r="D8" s="510" t="s">
        <v>499</v>
      </c>
      <c r="E8" s="510" t="s">
        <v>500</v>
      </c>
      <c r="F8" s="510" t="s">
        <v>501</v>
      </c>
      <c r="G8" s="511" t="s">
        <v>502</v>
      </c>
    </row>
    <row r="9" spans="1:10" s="512" customFormat="1" ht="13.5" thickBot="1">
      <c r="A9" s="1460" t="s">
        <v>503</v>
      </c>
      <c r="B9" s="1461"/>
      <c r="C9" s="1461"/>
      <c r="D9" s="1461"/>
      <c r="E9" s="1461"/>
      <c r="F9" s="1461"/>
      <c r="G9" s="1462"/>
    </row>
    <row r="10" spans="1:10" s="512" customFormat="1" ht="13.5" thickBot="1">
      <c r="A10" s="513"/>
      <c r="B10" s="514" t="s">
        <v>504</v>
      </c>
      <c r="C10" s="515"/>
      <c r="D10" s="515"/>
      <c r="E10" s="515"/>
      <c r="F10" s="516"/>
      <c r="G10" s="517">
        <f>SUM(G11:G15)</f>
        <v>104797598</v>
      </c>
    </row>
    <row r="11" spans="1:10" s="512" customFormat="1">
      <c r="A11" s="518">
        <v>1</v>
      </c>
      <c r="B11" s="519" t="s">
        <v>505</v>
      </c>
      <c r="C11" s="520">
        <f>+'MANO DE OBRA'!H18</f>
        <v>6396106</v>
      </c>
      <c r="D11" s="520"/>
      <c r="E11" s="521">
        <v>0.6</v>
      </c>
      <c r="F11" s="522">
        <v>10</v>
      </c>
      <c r="G11" s="523">
        <f t="shared" ref="G11:G14" si="0">ROUND(+A11*(C11+D11)*E11*F11,0)</f>
        <v>38376636</v>
      </c>
      <c r="H11" s="524" t="s">
        <v>506</v>
      </c>
      <c r="I11" s="525"/>
    </row>
    <row r="12" spans="1:10" s="512" customFormat="1" ht="13">
      <c r="A12" s="526">
        <v>1</v>
      </c>
      <c r="B12" s="519" t="s">
        <v>507</v>
      </c>
      <c r="C12" s="520">
        <f>+'MANO DE OBRA'!H19</f>
        <v>2961448</v>
      </c>
      <c r="D12" s="520"/>
      <c r="E12" s="521">
        <v>1</v>
      </c>
      <c r="F12" s="522">
        <f>+F11</f>
        <v>10</v>
      </c>
      <c r="G12" s="523">
        <f>ROUND(+A12*(C12+D12)*E12*F12,0)</f>
        <v>29614480</v>
      </c>
      <c r="H12" s="527"/>
    </row>
    <row r="13" spans="1:10" s="512" customFormat="1" ht="13">
      <c r="A13" s="526">
        <f>+A12</f>
        <v>1</v>
      </c>
      <c r="B13" s="519" t="s">
        <v>433</v>
      </c>
      <c r="C13" s="520">
        <f>+'MANO DE OBRA'!H24</f>
        <v>1734702</v>
      </c>
      <c r="D13" s="520"/>
      <c r="E13" s="521">
        <v>0.8</v>
      </c>
      <c r="F13" s="522">
        <v>6</v>
      </c>
      <c r="G13" s="523">
        <f t="shared" si="0"/>
        <v>8326570</v>
      </c>
      <c r="H13" s="527"/>
    </row>
    <row r="14" spans="1:10" s="512" customFormat="1" ht="13">
      <c r="A14" s="526">
        <f>+A13</f>
        <v>1</v>
      </c>
      <c r="B14" s="519" t="s">
        <v>508</v>
      </c>
      <c r="C14" s="520">
        <f>+'MANO DE OBRA'!H23</f>
        <v>2651532</v>
      </c>
      <c r="D14" s="520"/>
      <c r="E14" s="521">
        <f>+E13</f>
        <v>0.8</v>
      </c>
      <c r="F14" s="522">
        <v>6</v>
      </c>
      <c r="G14" s="528">
        <f t="shared" si="0"/>
        <v>12727354</v>
      </c>
      <c r="H14" s="529"/>
    </row>
    <row r="15" spans="1:10" s="512" customFormat="1" ht="13.5" thickBot="1">
      <c r="A15" s="526">
        <f>+A14</f>
        <v>1</v>
      </c>
      <c r="B15" s="519" t="s">
        <v>509</v>
      </c>
      <c r="C15" s="520">
        <f>+'MANO DE OBRA'!H25</f>
        <v>3281783</v>
      </c>
      <c r="D15" s="520"/>
      <c r="E15" s="521">
        <f>+E14</f>
        <v>0.8</v>
      </c>
      <c r="F15" s="522">
        <v>6</v>
      </c>
      <c r="G15" s="528">
        <f>ROUND(+A15*(C15+D15)*E15*F15,0)</f>
        <v>15752558</v>
      </c>
      <c r="H15" s="529"/>
    </row>
    <row r="16" spans="1:10" s="512" customFormat="1" ht="13.5" thickBot="1">
      <c r="A16" s="531"/>
      <c r="B16" s="514" t="s">
        <v>510</v>
      </c>
      <c r="C16" s="515"/>
      <c r="D16" s="532"/>
      <c r="E16" s="515"/>
      <c r="F16" s="533"/>
      <c r="G16" s="517">
        <f>SUM(G17:G19)</f>
        <v>32561734</v>
      </c>
      <c r="J16" s="1029" t="e">
        <f>+F69</f>
        <v>#DIV/0!</v>
      </c>
    </row>
    <row r="17" spans="1:8" s="512" customFormat="1" ht="13">
      <c r="A17" s="534">
        <v>1</v>
      </c>
      <c r="B17" s="535" t="s">
        <v>440</v>
      </c>
      <c r="C17" s="536">
        <f>+'MANO DE OBRA'!H28</f>
        <v>1623500</v>
      </c>
      <c r="D17" s="536"/>
      <c r="E17" s="537">
        <f>+E13</f>
        <v>0.8</v>
      </c>
      <c r="F17" s="538">
        <v>5</v>
      </c>
      <c r="G17" s="528">
        <f>ROUND(+A17*(C17+D17)*E17*F17,0)</f>
        <v>6494000</v>
      </c>
    </row>
    <row r="18" spans="1:8" s="512" customFormat="1" ht="13">
      <c r="A18" s="534">
        <f>+A17</f>
        <v>1</v>
      </c>
      <c r="B18" s="535" t="s">
        <v>511</v>
      </c>
      <c r="C18" s="536">
        <f>+'MANO DE OBRA'!H29</f>
        <v>2270815</v>
      </c>
      <c r="D18" s="536"/>
      <c r="E18" s="537">
        <f>+E17</f>
        <v>0.8</v>
      </c>
      <c r="F18" s="538">
        <f>+F17</f>
        <v>5</v>
      </c>
      <c r="G18" s="528">
        <f>ROUND(+A18*(C18+D18)*E18*F18,0)</f>
        <v>9083260</v>
      </c>
    </row>
    <row r="19" spans="1:8" s="512" customFormat="1" ht="13.5" thickBot="1">
      <c r="A19" s="534">
        <v>1</v>
      </c>
      <c r="B19" s="535" t="s">
        <v>512</v>
      </c>
      <c r="C19" s="536">
        <f>+'MANO DE OBRA'!H21</f>
        <v>2653824</v>
      </c>
      <c r="D19" s="536"/>
      <c r="E19" s="537">
        <f>+E18</f>
        <v>0.8</v>
      </c>
      <c r="F19" s="538">
        <v>8</v>
      </c>
      <c r="G19" s="528">
        <f>ROUND(+A19*(C19+D19)*E19*F19,0)</f>
        <v>16984474</v>
      </c>
    </row>
    <row r="20" spans="1:8" s="512" customFormat="1" ht="26.5" customHeight="1" thickBot="1">
      <c r="A20" s="539"/>
      <c r="B20" s="540" t="s">
        <v>513</v>
      </c>
      <c r="C20" s="541"/>
      <c r="D20" s="541"/>
      <c r="E20" s="541"/>
      <c r="F20" s="542"/>
      <c r="G20" s="543">
        <f>+G10+G16</f>
        <v>137359332</v>
      </c>
    </row>
    <row r="21" spans="1:8" s="512" customFormat="1" ht="13.5" thickBot="1">
      <c r="A21" s="539"/>
      <c r="B21" s="540" t="s">
        <v>514</v>
      </c>
      <c r="C21" s="541"/>
      <c r="D21" s="541"/>
      <c r="E21" s="541"/>
      <c r="F21" s="542"/>
      <c r="G21" s="544">
        <v>1.6129000000000002</v>
      </c>
    </row>
    <row r="22" spans="1:8" s="512" customFormat="1" ht="13.5" thickBot="1">
      <c r="A22" s="513"/>
      <c r="B22" s="540" t="s">
        <v>515</v>
      </c>
      <c r="C22" s="545"/>
      <c r="D22" s="545"/>
      <c r="E22" s="545"/>
      <c r="F22" s="546"/>
      <c r="G22" s="547">
        <f>+G20*G21</f>
        <v>221546866.58280003</v>
      </c>
    </row>
    <row r="23" spans="1:8" s="512" customFormat="1" ht="13">
      <c r="A23" s="548"/>
      <c r="B23" s="549"/>
      <c r="C23" s="508"/>
      <c r="D23" s="508"/>
      <c r="E23" s="508"/>
      <c r="F23" s="504"/>
      <c r="G23" s="550"/>
    </row>
    <row r="24" spans="1:8" s="512" customFormat="1" ht="13.5" thickBot="1">
      <c r="A24" s="548"/>
      <c r="B24" s="508"/>
      <c r="C24" s="508"/>
      <c r="D24" s="508"/>
      <c r="E24" s="508"/>
      <c r="F24" s="504"/>
      <c r="G24" s="550"/>
    </row>
    <row r="25" spans="1:8" s="512" customFormat="1" ht="39.5" thickBot="1">
      <c r="A25" s="509" t="s">
        <v>516</v>
      </c>
      <c r="B25" s="510" t="s">
        <v>517</v>
      </c>
      <c r="C25" s="510" t="s">
        <v>259</v>
      </c>
      <c r="D25" s="510" t="s">
        <v>518</v>
      </c>
      <c r="E25" s="551"/>
      <c r="F25" s="552" t="s">
        <v>519</v>
      </c>
      <c r="G25" s="511" t="s">
        <v>520</v>
      </c>
    </row>
    <row r="26" spans="1:8" s="512" customFormat="1" ht="13.5" thickBot="1">
      <c r="A26" s="1460" t="s">
        <v>521</v>
      </c>
      <c r="B26" s="1461"/>
      <c r="C26" s="1461"/>
      <c r="D26" s="1461"/>
      <c r="E26" s="1461"/>
      <c r="F26" s="1461"/>
      <c r="G26" s="1462"/>
    </row>
    <row r="27" spans="1:8" s="512" customFormat="1" ht="13.5" thickBot="1">
      <c r="A27" s="531"/>
      <c r="B27" s="1463" t="s">
        <v>522</v>
      </c>
      <c r="C27" s="1464"/>
      <c r="D27" s="1464"/>
      <c r="E27" s="1464"/>
      <c r="F27" s="1464"/>
      <c r="G27" s="553">
        <f>+SUM(G28:G33)</f>
        <v>53537000</v>
      </c>
    </row>
    <row r="28" spans="1:8" s="512" customFormat="1" ht="13">
      <c r="A28" s="554">
        <v>1</v>
      </c>
      <c r="B28" s="555" t="s">
        <v>523</v>
      </c>
      <c r="C28" s="556" t="s">
        <v>524</v>
      </c>
      <c r="D28" s="557">
        <f>12000*3+65000</f>
        <v>101000</v>
      </c>
      <c r="E28" s="558"/>
      <c r="F28" s="559">
        <f>4*8</f>
        <v>32</v>
      </c>
      <c r="G28" s="560">
        <f>+A28*D28*F28</f>
        <v>3232000</v>
      </c>
      <c r="H28" s="512" t="s">
        <v>525</v>
      </c>
    </row>
    <row r="29" spans="1:8" s="512" customFormat="1" ht="13">
      <c r="A29" s="1159">
        <v>1</v>
      </c>
      <c r="B29" s="535" t="s">
        <v>526</v>
      </c>
      <c r="C29" s="1160" t="s">
        <v>259</v>
      </c>
      <c r="D29" s="1161">
        <f>2*TRANSPORTE!E8</f>
        <v>405000</v>
      </c>
      <c r="E29" s="1162"/>
      <c r="F29" s="1163">
        <v>5</v>
      </c>
      <c r="G29" s="560">
        <f t="shared" ref="G29" si="1">+A29*D29*F29</f>
        <v>2025000</v>
      </c>
    </row>
    <row r="30" spans="1:8" s="512" customFormat="1" ht="26">
      <c r="A30" s="561">
        <f>SUM(A13:A19)</f>
        <v>6</v>
      </c>
      <c r="B30" s="519" t="s">
        <v>527</v>
      </c>
      <c r="C30" s="562" t="s">
        <v>528</v>
      </c>
      <c r="D30" s="563">
        <v>600000</v>
      </c>
      <c r="E30" s="564"/>
      <c r="F30" s="565">
        <f>+E14*F14</f>
        <v>4.8000000000000007</v>
      </c>
      <c r="G30" s="560">
        <f>+A30*D30*F30</f>
        <v>17280000.000000004</v>
      </c>
      <c r="H30" s="512" t="s">
        <v>529</v>
      </c>
    </row>
    <row r="31" spans="1:8" s="512" customFormat="1" ht="26">
      <c r="A31" s="561">
        <f>A12*E12</f>
        <v>1</v>
      </c>
      <c r="B31" s="519" t="s">
        <v>530</v>
      </c>
      <c r="C31" s="562" t="s">
        <v>528</v>
      </c>
      <c r="D31" s="563">
        <v>600000</v>
      </c>
      <c r="E31" s="564"/>
      <c r="F31" s="565">
        <v>5</v>
      </c>
      <c r="G31" s="560">
        <f>+A31*D31*F31</f>
        <v>3000000</v>
      </c>
      <c r="H31" s="512" t="s">
        <v>529</v>
      </c>
    </row>
    <row r="32" spans="1:8" s="512" customFormat="1" ht="26">
      <c r="A32" s="561">
        <f>+A31*8</f>
        <v>8</v>
      </c>
      <c r="B32" s="519" t="s">
        <v>531</v>
      </c>
      <c r="C32" s="562" t="s">
        <v>528</v>
      </c>
      <c r="D32" s="563">
        <v>400000</v>
      </c>
      <c r="E32" s="564"/>
      <c r="F32" s="565">
        <f>+F31</f>
        <v>5</v>
      </c>
      <c r="G32" s="560">
        <f>+A32*D32*F32</f>
        <v>16000000</v>
      </c>
      <c r="H32" s="512" t="s">
        <v>529</v>
      </c>
    </row>
    <row r="33" spans="1:8" s="512" customFormat="1" ht="26.5" thickBot="1">
      <c r="A33" s="561">
        <v>20</v>
      </c>
      <c r="B33" s="519" t="s">
        <v>532</v>
      </c>
      <c r="C33" s="562" t="s">
        <v>533</v>
      </c>
      <c r="D33" s="563">
        <v>120000</v>
      </c>
      <c r="E33" s="564"/>
      <c r="F33" s="565">
        <f>+F32</f>
        <v>5</v>
      </c>
      <c r="G33" s="560">
        <f>+A33*D33*F33</f>
        <v>12000000</v>
      </c>
      <c r="H33" s="512" t="s">
        <v>529</v>
      </c>
    </row>
    <row r="34" spans="1:8" s="512" customFormat="1" ht="13.5" thickBot="1">
      <c r="A34" s="566"/>
      <c r="B34" s="1463" t="s">
        <v>534</v>
      </c>
      <c r="C34" s="1464"/>
      <c r="D34" s="1464"/>
      <c r="E34" s="1464"/>
      <c r="F34" s="1464"/>
      <c r="G34" s="553">
        <f>+SUM(G35:G40)</f>
        <v>29425000</v>
      </c>
    </row>
    <row r="35" spans="1:8" s="512" customFormat="1" ht="13">
      <c r="A35" s="554">
        <v>2</v>
      </c>
      <c r="B35" s="519" t="s">
        <v>535</v>
      </c>
      <c r="C35" s="562" t="s">
        <v>524</v>
      </c>
      <c r="D35" s="563">
        <f>210000</f>
        <v>210000</v>
      </c>
      <c r="E35" s="564"/>
      <c r="F35" s="565">
        <v>5</v>
      </c>
      <c r="G35" s="560">
        <f>+A35*D35*F35</f>
        <v>2100000</v>
      </c>
      <c r="H35" s="512" t="s">
        <v>525</v>
      </c>
    </row>
    <row r="36" spans="1:8" s="512" customFormat="1" ht="13">
      <c r="A36" s="561">
        <v>2</v>
      </c>
      <c r="B36" s="519" t="s">
        <v>536</v>
      </c>
      <c r="C36" s="562" t="s">
        <v>528</v>
      </c>
      <c r="D36" s="563">
        <f>20000*21</f>
        <v>420000</v>
      </c>
      <c r="E36" s="564"/>
      <c r="F36" s="565">
        <v>5</v>
      </c>
      <c r="G36" s="560">
        <f>+A36*D36*F36</f>
        <v>4200000</v>
      </c>
    </row>
    <row r="37" spans="1:8" s="512" customFormat="1" ht="13">
      <c r="A37" s="561">
        <v>1</v>
      </c>
      <c r="B37" s="519" t="s">
        <v>537</v>
      </c>
      <c r="C37" s="562" t="s">
        <v>528</v>
      </c>
      <c r="D37" s="563">
        <v>825000</v>
      </c>
      <c r="E37" s="564"/>
      <c r="F37" s="565">
        <f>$F$11</f>
        <v>10</v>
      </c>
      <c r="G37" s="560">
        <f t="shared" ref="G37:G40" si="2">+A37*D37*F37</f>
        <v>8250000</v>
      </c>
    </row>
    <row r="38" spans="1:8" s="512" customFormat="1" ht="13">
      <c r="A38" s="561">
        <v>1</v>
      </c>
      <c r="B38" s="519" t="s">
        <v>538</v>
      </c>
      <c r="C38" s="562" t="s">
        <v>528</v>
      </c>
      <c r="D38" s="563">
        <v>825000</v>
      </c>
      <c r="E38" s="564"/>
      <c r="F38" s="565">
        <f>+F36</f>
        <v>5</v>
      </c>
      <c r="G38" s="560">
        <f t="shared" si="2"/>
        <v>4125000</v>
      </c>
    </row>
    <row r="39" spans="1:8" s="512" customFormat="1" ht="13">
      <c r="A39" s="561">
        <v>1</v>
      </c>
      <c r="B39" s="519" t="s">
        <v>539</v>
      </c>
      <c r="C39" s="562" t="s">
        <v>528</v>
      </c>
      <c r="D39" s="563">
        <v>350000</v>
      </c>
      <c r="E39" s="564"/>
      <c r="F39" s="565">
        <v>5</v>
      </c>
      <c r="G39" s="560">
        <f t="shared" si="2"/>
        <v>1750000</v>
      </c>
    </row>
    <row r="40" spans="1:8" s="512" customFormat="1" ht="13.5" thickBot="1">
      <c r="A40" s="561">
        <v>2</v>
      </c>
      <c r="B40" s="530" t="s">
        <v>540</v>
      </c>
      <c r="C40" s="562" t="s">
        <v>533</v>
      </c>
      <c r="D40" s="563">
        <v>4500000</v>
      </c>
      <c r="E40" s="564"/>
      <c r="F40" s="565">
        <v>1</v>
      </c>
      <c r="G40" s="560">
        <f t="shared" si="2"/>
        <v>9000000</v>
      </c>
    </row>
    <row r="41" spans="1:8" s="512" customFormat="1" ht="13.5" thickBot="1">
      <c r="A41" s="566"/>
      <c r="B41" s="1463" t="s">
        <v>541</v>
      </c>
      <c r="C41" s="1464"/>
      <c r="D41" s="1464"/>
      <c r="E41" s="1464"/>
      <c r="F41" s="1464"/>
      <c r="G41" s="553">
        <f>+SUM(G42:G61)</f>
        <v>448833749.51150674</v>
      </c>
    </row>
    <row r="42" spans="1:8" s="512" customFormat="1" ht="29.15" customHeight="1">
      <c r="A42" s="561">
        <v>1</v>
      </c>
      <c r="B42" s="519" t="s">
        <v>542</v>
      </c>
      <c r="C42" s="562" t="s">
        <v>528</v>
      </c>
      <c r="D42" s="567">
        <v>2000000</v>
      </c>
      <c r="E42" s="568"/>
      <c r="F42" s="565">
        <f>+F11</f>
        <v>10</v>
      </c>
      <c r="G42" s="560">
        <f t="shared" ref="G42:G46" si="3">+A42*D42*F42</f>
        <v>20000000</v>
      </c>
      <c r="H42" s="569"/>
    </row>
    <row r="43" spans="1:8" s="512" customFormat="1" ht="13">
      <c r="A43" s="561">
        <v>1</v>
      </c>
      <c r="B43" s="519" t="s">
        <v>543</v>
      </c>
      <c r="C43" s="562" t="s">
        <v>528</v>
      </c>
      <c r="D43" s="567">
        <v>350000</v>
      </c>
      <c r="E43" s="568"/>
      <c r="F43" s="565">
        <f>+F42</f>
        <v>10</v>
      </c>
      <c r="G43" s="560">
        <f t="shared" si="3"/>
        <v>3500000</v>
      </c>
      <c r="H43" s="569"/>
    </row>
    <row r="44" spans="1:8" s="512" customFormat="1" ht="13">
      <c r="A44" s="561">
        <v>1</v>
      </c>
      <c r="B44" s="519" t="s">
        <v>544</v>
      </c>
      <c r="C44" s="562" t="s">
        <v>545</v>
      </c>
      <c r="D44" s="567">
        <f>+'ENSAYOS DE LABORATORIO'!O1</f>
        <v>2801443.463906744</v>
      </c>
      <c r="E44" s="568"/>
      <c r="F44" s="565">
        <v>1</v>
      </c>
      <c r="G44" s="560">
        <f t="shared" si="3"/>
        <v>2801443.463906744</v>
      </c>
      <c r="H44" s="570"/>
    </row>
    <row r="45" spans="1:8" s="512" customFormat="1" ht="25">
      <c r="A45" s="572">
        <v>1</v>
      </c>
      <c r="B45" s="573" t="s">
        <v>546</v>
      </c>
      <c r="C45" s="562" t="s">
        <v>547</v>
      </c>
      <c r="D45" s="574">
        <v>330000</v>
      </c>
      <c r="E45" s="575"/>
      <c r="F45" s="565">
        <v>1</v>
      </c>
      <c r="G45" s="577">
        <f t="shared" si="3"/>
        <v>330000</v>
      </c>
      <c r="H45" s="571"/>
    </row>
    <row r="46" spans="1:8" s="512" customFormat="1" ht="13">
      <c r="A46" s="572">
        <v>1</v>
      </c>
      <c r="B46" s="573" t="s">
        <v>548</v>
      </c>
      <c r="C46" s="562" t="s">
        <v>547</v>
      </c>
      <c r="D46" s="574">
        <v>498398</v>
      </c>
      <c r="E46" s="575"/>
      <c r="F46" s="576">
        <v>1</v>
      </c>
      <c r="G46" s="577">
        <f t="shared" si="3"/>
        <v>498398</v>
      </c>
      <c r="H46" s="571"/>
    </row>
    <row r="47" spans="1:8" s="512" customFormat="1" ht="13">
      <c r="A47" s="572">
        <v>1</v>
      </c>
      <c r="B47" s="573" t="s">
        <v>549</v>
      </c>
      <c r="C47" s="562" t="s">
        <v>545</v>
      </c>
      <c r="D47" s="574">
        <f>+TRANSPORTE!G6*2000</f>
        <v>2982000</v>
      </c>
      <c r="E47" s="575"/>
      <c r="F47" s="576">
        <v>1</v>
      </c>
      <c r="G47" s="577">
        <f>+A47*D47*F47</f>
        <v>2982000</v>
      </c>
      <c r="H47" s="571"/>
    </row>
    <row r="48" spans="1:8" s="512" customFormat="1" ht="13">
      <c r="A48" s="572"/>
      <c r="B48" s="1214" t="s">
        <v>550</v>
      </c>
      <c r="C48" s="562"/>
      <c r="D48" s="574"/>
      <c r="E48" s="575"/>
      <c r="F48" s="576"/>
      <c r="G48" s="577"/>
      <c r="H48" s="571"/>
    </row>
    <row r="49" spans="1:11" s="512" customFormat="1" ht="13">
      <c r="A49" s="572"/>
      <c r="B49" s="573" t="s">
        <v>551</v>
      </c>
      <c r="C49" s="562"/>
      <c r="D49" s="574"/>
      <c r="E49" s="1215">
        <v>0.01</v>
      </c>
      <c r="F49" s="576"/>
      <c r="G49" s="577">
        <f>+E49*$K$51</f>
        <v>37996543.380000003</v>
      </c>
      <c r="H49" s="571"/>
    </row>
    <row r="50" spans="1:11" s="512" customFormat="1" ht="13">
      <c r="A50" s="572"/>
      <c r="B50" s="573" t="s">
        <v>552</v>
      </c>
      <c r="C50" s="562"/>
      <c r="D50" s="574"/>
      <c r="E50" s="1215">
        <v>0.02</v>
      </c>
      <c r="F50" s="576"/>
      <c r="G50" s="577">
        <f t="shared" ref="G50:G52" si="4">+E50*$K$51</f>
        <v>75993086.760000005</v>
      </c>
      <c r="H50" s="571"/>
    </row>
    <row r="51" spans="1:11" s="512" customFormat="1" ht="13">
      <c r="A51" s="572"/>
      <c r="B51" s="573" t="s">
        <v>553</v>
      </c>
      <c r="C51" s="562"/>
      <c r="D51" s="574"/>
      <c r="E51" s="1215">
        <v>0.02</v>
      </c>
      <c r="F51" s="576"/>
      <c r="G51" s="577">
        <f t="shared" si="4"/>
        <v>75993086.760000005</v>
      </c>
      <c r="H51" s="571"/>
      <c r="J51" s="1153" t="s">
        <v>554</v>
      </c>
      <c r="K51" s="1154">
        <v>3799654338</v>
      </c>
    </row>
    <row r="52" spans="1:11" s="512" customFormat="1" ht="25">
      <c r="A52" s="572"/>
      <c r="B52" s="573" t="s">
        <v>555</v>
      </c>
      <c r="C52" s="562"/>
      <c r="D52" s="574"/>
      <c r="E52" s="1215">
        <v>4.0000000000000001E-3</v>
      </c>
      <c r="F52" s="576"/>
      <c r="G52" s="577">
        <f t="shared" si="4"/>
        <v>15198617.352</v>
      </c>
      <c r="H52" s="571"/>
      <c r="J52" s="1153"/>
      <c r="K52" s="1153"/>
    </row>
    <row r="53" spans="1:11" s="512" customFormat="1" ht="25">
      <c r="A53" s="572"/>
      <c r="B53" s="573" t="s">
        <v>556</v>
      </c>
      <c r="C53" s="562"/>
      <c r="D53" s="574"/>
      <c r="E53" s="1215">
        <v>0.05</v>
      </c>
      <c r="F53" s="576"/>
      <c r="G53" s="577">
        <f>+E53*$K$51</f>
        <v>189982716.90000001</v>
      </c>
      <c r="H53" s="571"/>
      <c r="J53" s="1155" t="s">
        <v>557</v>
      </c>
      <c r="K53" s="1154">
        <f>+'PRES GENERAL MR(OXI)'!P44</f>
        <v>0</v>
      </c>
    </row>
    <row r="54" spans="1:11" s="512" customFormat="1" ht="13">
      <c r="A54" s="572"/>
      <c r="B54" s="573"/>
      <c r="C54" s="562"/>
      <c r="D54" s="574"/>
      <c r="E54" s="1215"/>
      <c r="F54" s="576"/>
      <c r="G54" s="577"/>
      <c r="H54" s="571"/>
      <c r="J54" s="1155"/>
      <c r="K54" s="1155"/>
    </row>
    <row r="55" spans="1:11" s="512" customFormat="1" ht="13">
      <c r="A55" s="572"/>
      <c r="B55" s="1214" t="s">
        <v>558</v>
      </c>
      <c r="C55" s="562"/>
      <c r="D55" s="574"/>
      <c r="E55" s="575"/>
      <c r="F55" s="576"/>
      <c r="G55" s="577"/>
      <c r="H55" s="571"/>
      <c r="J55" s="1155"/>
      <c r="K55" s="1156" t="s">
        <v>559</v>
      </c>
    </row>
    <row r="56" spans="1:11" s="512" customFormat="1" ht="13">
      <c r="A56" s="572"/>
      <c r="B56" s="573" t="s">
        <v>560</v>
      </c>
      <c r="C56" s="562"/>
      <c r="D56" s="574"/>
      <c r="E56" s="1215">
        <v>2.9999999999999997E-4</v>
      </c>
      <c r="F56" s="576"/>
      <c r="G56" s="577">
        <f>+E56*$K$51</f>
        <v>1139896.3014</v>
      </c>
      <c r="H56" s="571"/>
      <c r="J56" s="1155"/>
      <c r="K56" s="1157" t="s">
        <v>561</v>
      </c>
    </row>
    <row r="57" spans="1:11" s="512" customFormat="1" ht="13">
      <c r="A57" s="572"/>
      <c r="B57" s="573" t="s">
        <v>562</v>
      </c>
      <c r="C57" s="562"/>
      <c r="D57" s="574"/>
      <c r="E57" s="1215">
        <v>2.9999999999999997E-4</v>
      </c>
      <c r="F57" s="576"/>
      <c r="G57" s="577">
        <f>+E57*$K$51</f>
        <v>1139896.3014</v>
      </c>
      <c r="H57" s="571"/>
    </row>
    <row r="58" spans="1:11" s="512" customFormat="1" ht="13">
      <c r="A58" s="572"/>
      <c r="B58" s="573" t="s">
        <v>563</v>
      </c>
      <c r="C58" s="562"/>
      <c r="D58" s="574"/>
      <c r="E58" s="1215">
        <v>2.0000000000000001E-4</v>
      </c>
      <c r="F58" s="576"/>
      <c r="G58" s="577">
        <f>+E58*$K$51</f>
        <v>759930.8676</v>
      </c>
      <c r="H58" s="571"/>
    </row>
    <row r="59" spans="1:11" s="512" customFormat="1" ht="13">
      <c r="A59" s="572"/>
      <c r="B59" s="573" t="s">
        <v>564</v>
      </c>
      <c r="C59" s="562"/>
      <c r="D59" s="574"/>
      <c r="E59" s="1215">
        <v>4.7000000000000002E-3</v>
      </c>
      <c r="F59" s="576"/>
      <c r="G59" s="577">
        <f>+E59*$K$51</f>
        <v>17858375.388599999</v>
      </c>
      <c r="H59" s="571"/>
    </row>
    <row r="60" spans="1:11" s="512" customFormat="1" ht="13">
      <c r="A60" s="572"/>
      <c r="B60" s="573" t="s">
        <v>565</v>
      </c>
      <c r="C60" s="562"/>
      <c r="D60" s="574"/>
      <c r="E60" s="1215">
        <v>6.9999999999999999E-4</v>
      </c>
      <c r="F60" s="576"/>
      <c r="G60" s="577">
        <f>+E60*$K$51</f>
        <v>2659758.0365999998</v>
      </c>
      <c r="H60" s="571"/>
    </row>
    <row r="61" spans="1:11" s="512" customFormat="1" ht="13.5" thickBot="1">
      <c r="A61" s="572"/>
      <c r="B61" s="573"/>
      <c r="C61" s="562"/>
      <c r="D61" s="574"/>
      <c r="E61" s="575"/>
      <c r="F61" s="576"/>
      <c r="G61" s="577"/>
      <c r="H61" s="571"/>
    </row>
    <row r="62" spans="1:11" s="512" customFormat="1" ht="30.65" customHeight="1" thickBot="1">
      <c r="A62" s="578"/>
      <c r="B62" s="539" t="s">
        <v>566</v>
      </c>
      <c r="C62" s="515"/>
      <c r="D62" s="515"/>
      <c r="E62" s="515"/>
      <c r="F62" s="516"/>
      <c r="G62" s="543">
        <f>G27+G34+G41</f>
        <v>531795749.51150674</v>
      </c>
      <c r="H62" s="571"/>
    </row>
    <row r="63" spans="1:11" ht="15" thickBot="1">
      <c r="H63" s="571"/>
    </row>
    <row r="64" spans="1:11" ht="16" thickBot="1">
      <c r="A64" s="580"/>
      <c r="B64" s="1465" t="s">
        <v>567</v>
      </c>
      <c r="C64" s="1466"/>
      <c r="D64" s="1466"/>
      <c r="E64" s="1466"/>
      <c r="F64" s="1466"/>
      <c r="G64" s="581">
        <f>+'PRES GENERAL MR(OXI)'!P38</f>
        <v>0</v>
      </c>
      <c r="H64" s="571"/>
      <c r="J64" s="582"/>
    </row>
    <row r="65" spans="1:12" ht="15.5">
      <c r="A65" s="583"/>
      <c r="B65" s="1456" t="s">
        <v>568</v>
      </c>
      <c r="C65" s="1457"/>
      <c r="D65" s="1457"/>
      <c r="E65" s="1457"/>
      <c r="F65" s="584" t="e">
        <f>G65/G64</f>
        <v>#DIV/0!</v>
      </c>
      <c r="G65" s="585">
        <f>+G62+G22</f>
        <v>753342616.09430671</v>
      </c>
      <c r="H65" s="571"/>
      <c r="J65" s="582"/>
      <c r="K65" s="586"/>
      <c r="L65" s="586"/>
    </row>
    <row r="66" spans="1:12" ht="15.75" customHeight="1">
      <c r="A66" s="583"/>
      <c r="B66" s="1451" t="s">
        <v>569</v>
      </c>
      <c r="C66" s="1452"/>
      <c r="D66" s="1452"/>
      <c r="E66" s="1452"/>
      <c r="F66" s="587">
        <v>0.01</v>
      </c>
      <c r="G66" s="588">
        <f>ROUNDUP(G64*F66,0)</f>
        <v>0</v>
      </c>
      <c r="H66" s="571"/>
      <c r="J66" s="582"/>
    </row>
    <row r="67" spans="1:12" ht="15.75" customHeight="1">
      <c r="A67" s="583"/>
      <c r="B67" s="1451" t="s">
        <v>570</v>
      </c>
      <c r="C67" s="1452"/>
      <c r="D67" s="1452"/>
      <c r="E67" s="1452"/>
      <c r="F67" s="587">
        <v>0.05</v>
      </c>
      <c r="G67" s="588">
        <f>ROUND(G64*F67,0)</f>
        <v>0</v>
      </c>
      <c r="H67" s="569"/>
      <c r="J67" s="582"/>
    </row>
    <row r="68" spans="1:12" ht="15.75" customHeight="1">
      <c r="A68" s="583"/>
      <c r="B68" s="608" t="s">
        <v>571</v>
      </c>
      <c r="C68" s="609"/>
      <c r="D68" s="609"/>
      <c r="E68" s="609"/>
      <c r="F68" s="610">
        <v>0.19</v>
      </c>
      <c r="G68" s="611">
        <f>+G67*F68</f>
        <v>0</v>
      </c>
      <c r="H68" s="569"/>
      <c r="J68" s="582"/>
    </row>
    <row r="69" spans="1:12" ht="16.5" customHeight="1" thickBot="1">
      <c r="A69" s="589"/>
      <c r="B69" s="1453" t="s">
        <v>572</v>
      </c>
      <c r="C69" s="1454"/>
      <c r="D69" s="1454"/>
      <c r="E69" s="1454"/>
      <c r="F69" s="590" t="e">
        <f>G69/G64</f>
        <v>#DIV/0!</v>
      </c>
      <c r="G69" s="591">
        <f>G65+G66+G67+G68</f>
        <v>753342616.09430671</v>
      </c>
      <c r="H69" s="569"/>
      <c r="I69" s="1218"/>
      <c r="J69" s="586"/>
    </row>
    <row r="70" spans="1:12" ht="8.5" customHeight="1">
      <c r="A70" s="508"/>
      <c r="B70" s="549"/>
      <c r="C70" s="508"/>
      <c r="D70" s="508"/>
      <c r="E70" s="508"/>
      <c r="F70" s="504"/>
      <c r="G70" s="592"/>
    </row>
    <row r="71" spans="1:12" ht="8.5" customHeight="1">
      <c r="A71" s="508"/>
      <c r="B71" s="549"/>
      <c r="C71" s="508"/>
      <c r="D71" s="508"/>
      <c r="E71" s="508"/>
      <c r="F71" s="504"/>
      <c r="G71" s="594"/>
    </row>
    <row r="72" spans="1:12" ht="15" customHeight="1">
      <c r="A72" s="549" t="s">
        <v>573</v>
      </c>
      <c r="B72" s="595"/>
      <c r="C72" s="508"/>
      <c r="D72" s="508"/>
      <c r="E72" s="508"/>
      <c r="F72" s="504"/>
      <c r="G72" s="596"/>
      <c r="H72" s="593">
        <f>G62+(G16*G21)</f>
        <v>584314570.28010678</v>
      </c>
      <c r="I72" s="1219" t="e">
        <f>(H72/G64)+F66+F67</f>
        <v>#DIV/0!</v>
      </c>
    </row>
    <row r="73" spans="1:12" ht="15" customHeight="1">
      <c r="A73" s="1455" t="s">
        <v>574</v>
      </c>
      <c r="B73" s="1455"/>
      <c r="C73" s="1455"/>
      <c r="D73" s="1455"/>
      <c r="E73" s="1455"/>
      <c r="F73" s="1455"/>
      <c r="G73" s="1455"/>
    </row>
    <row r="74" spans="1:12" ht="23.5" customHeight="1">
      <c r="A74" s="1455" t="s">
        <v>575</v>
      </c>
      <c r="B74" s="1455"/>
      <c r="C74" s="1455"/>
      <c r="D74" s="1455"/>
      <c r="E74" s="1455"/>
      <c r="F74" s="1455"/>
      <c r="G74" s="1455"/>
    </row>
    <row r="75" spans="1:12" ht="30.65" customHeight="1">
      <c r="A75" s="1455" t="s">
        <v>576</v>
      </c>
      <c r="B75" s="1455"/>
      <c r="C75" s="1455"/>
      <c r="D75" s="1455"/>
      <c r="E75" s="1455"/>
      <c r="F75" s="1455"/>
      <c r="G75" s="1455"/>
    </row>
    <row r="76" spans="1:12" ht="6.65" customHeight="1">
      <c r="A76" s="597"/>
      <c r="B76" s="508"/>
      <c r="C76" s="508"/>
      <c r="D76" s="508"/>
      <c r="E76" s="508"/>
      <c r="F76" s="504"/>
      <c r="G76" s="592"/>
      <c r="H76" s="512"/>
      <c r="I76" s="1218"/>
      <c r="J76" s="586"/>
    </row>
    <row r="77" spans="1:12">
      <c r="A77" s="483"/>
      <c r="B77" s="483"/>
      <c r="C77" s="508"/>
      <c r="D77" s="508"/>
      <c r="E77" s="508"/>
      <c r="F77" s="504"/>
      <c r="G77" s="598"/>
    </row>
    <row r="78" spans="1:12">
      <c r="A78" s="495"/>
      <c r="B78"/>
      <c r="C78" s="508"/>
      <c r="D78" s="508"/>
      <c r="E78" s="508"/>
      <c r="F78" s="504"/>
      <c r="G78" s="599"/>
    </row>
    <row r="79" spans="1:12" ht="15" customHeight="1">
      <c r="A79" s="494"/>
      <c r="B79" s="441"/>
      <c r="C79" s="508"/>
      <c r="D79" s="508"/>
      <c r="E79" s="508"/>
      <c r="F79" s="504"/>
      <c r="G79" s="508"/>
      <c r="H79" s="1449" t="s">
        <v>577</v>
      </c>
      <c r="I79" s="1450"/>
      <c r="J79" s="600"/>
    </row>
    <row r="80" spans="1:12" ht="41.25" customHeight="1">
      <c r="B80" s="1027" t="s">
        <v>578</v>
      </c>
      <c r="H80" s="601" t="s">
        <v>579</v>
      </c>
      <c r="I80" s="602">
        <v>2.5000000000000001E-3</v>
      </c>
      <c r="J80" s="603">
        <f>$G$64*I80</f>
        <v>0</v>
      </c>
    </row>
    <row r="81" spans="2:10">
      <c r="B81" s="840"/>
      <c r="H81" s="604" t="s">
        <v>580</v>
      </c>
      <c r="I81" s="602">
        <v>7.0000000000000001E-3</v>
      </c>
      <c r="J81" s="603">
        <f>$G$64*I81</f>
        <v>0</v>
      </c>
    </row>
    <row r="82" spans="2:10" ht="26">
      <c r="H82" s="605" t="s">
        <v>581</v>
      </c>
      <c r="I82" s="602">
        <v>0.01</v>
      </c>
      <c r="J82" s="603">
        <f>$G$64*I82</f>
        <v>0</v>
      </c>
    </row>
    <row r="83" spans="2:10">
      <c r="H83" s="605"/>
      <c r="I83" s="602"/>
      <c r="J83" s="603">
        <f>$G$64*I83</f>
        <v>0</v>
      </c>
    </row>
    <row r="84" spans="2:10">
      <c r="H84" s="605"/>
      <c r="I84" s="602"/>
      <c r="J84" s="603">
        <f>$G$64*I84</f>
        <v>0</v>
      </c>
    </row>
    <row r="85" spans="2:10">
      <c r="H85" s="512"/>
      <c r="I85" s="606"/>
      <c r="J85" s="603">
        <f>SUM(J80:J84)</f>
        <v>0</v>
      </c>
    </row>
  </sheetData>
  <mergeCells count="19">
    <mergeCell ref="B65:E65"/>
    <mergeCell ref="A1:G1"/>
    <mergeCell ref="A2:G2"/>
    <mergeCell ref="A3:G3"/>
    <mergeCell ref="A4:G4"/>
    <mergeCell ref="A5:G5"/>
    <mergeCell ref="A9:G9"/>
    <mergeCell ref="A26:G26"/>
    <mergeCell ref="B27:F27"/>
    <mergeCell ref="B34:F34"/>
    <mergeCell ref="B41:F41"/>
    <mergeCell ref="B64:F64"/>
    <mergeCell ref="H79:I79"/>
    <mergeCell ref="B66:E66"/>
    <mergeCell ref="B67:E67"/>
    <mergeCell ref="B69:E69"/>
    <mergeCell ref="A73:G73"/>
    <mergeCell ref="A74:G74"/>
    <mergeCell ref="A75:G75"/>
  </mergeCells>
  <conditionalFormatting sqref="K55">
    <cfRule type="expression" dxfId="6" priority="2">
      <formula>$K$51=$K$53</formula>
    </cfRule>
  </conditionalFormatting>
  <conditionalFormatting sqref="K56">
    <cfRule type="expression" dxfId="5" priority="1" stopIfTrue="1">
      <formula>$K$51&lt;&gt;$K$53</formula>
    </cfRule>
  </conditionalFormatting>
  <printOptions horizontalCentered="1"/>
  <pageMargins left="0.46" right="0.18" top="0.78740157480314965" bottom="0.39" header="7.874015748031496E-2" footer="7.874015748031496E-2"/>
  <pageSetup scale="5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4"/>
  <dimension ref="A1:Q54"/>
  <sheetViews>
    <sheetView view="pageBreakPreview" topLeftCell="A19" zoomScaleNormal="100" zoomScaleSheetLayoutView="100" workbookViewId="0">
      <selection sqref="A1:P1"/>
    </sheetView>
  </sheetViews>
  <sheetFormatPr baseColWidth="10" defaultColWidth="11.453125" defaultRowHeight="14.5"/>
  <cols>
    <col min="1" max="1" width="51.1796875" style="293" customWidth="1"/>
    <col min="2" max="7" width="11.453125" style="293"/>
    <col min="8" max="8" width="7" style="293" customWidth="1"/>
    <col min="9" max="16384" width="11.453125" style="293"/>
  </cols>
  <sheetData>
    <row r="1" spans="1:17">
      <c r="A1" s="1467" t="s">
        <v>582</v>
      </c>
      <c r="B1" s="1467"/>
      <c r="C1" s="1467"/>
      <c r="D1" s="1467"/>
      <c r="E1" s="1467"/>
      <c r="F1" s="1467"/>
      <c r="G1" s="1467"/>
      <c r="H1" s="612"/>
      <c r="I1" s="612"/>
      <c r="J1" s="612"/>
      <c r="K1" s="612"/>
      <c r="L1" s="612"/>
      <c r="M1" s="612"/>
      <c r="N1" s="612"/>
      <c r="O1" s="612"/>
      <c r="P1" s="612"/>
      <c r="Q1" s="612"/>
    </row>
    <row r="3" spans="1:17">
      <c r="A3" s="300">
        <v>10</v>
      </c>
      <c r="B3" s="300">
        <v>24</v>
      </c>
    </row>
    <row r="4" spans="1:17">
      <c r="A4" s="314">
        <v>141.72</v>
      </c>
      <c r="B4" s="314">
        <v>223.38</v>
      </c>
    </row>
    <row r="5" spans="1:17">
      <c r="A5" s="315">
        <v>480</v>
      </c>
      <c r="B5" s="315">
        <v>1392</v>
      </c>
    </row>
    <row r="6" spans="1:17">
      <c r="A6" s="315">
        <v>33</v>
      </c>
      <c r="B6" s="315">
        <v>52.199999999999996</v>
      </c>
    </row>
    <row r="7" spans="1:17">
      <c r="A7" s="315">
        <v>550</v>
      </c>
      <c r="B7" s="315">
        <v>870</v>
      </c>
    </row>
    <row r="8" spans="1:17">
      <c r="A8" s="315">
        <v>48</v>
      </c>
      <c r="B8" s="315">
        <v>80</v>
      </c>
    </row>
    <row r="9" spans="1:17">
      <c r="A9" s="315">
        <v>9</v>
      </c>
      <c r="B9" s="315">
        <v>13</v>
      </c>
    </row>
    <row r="10" spans="1:17">
      <c r="A10" s="315">
        <v>1</v>
      </c>
      <c r="B10" s="315">
        <v>2</v>
      </c>
    </row>
    <row r="28" spans="1:7">
      <c r="C28" s="300"/>
    </row>
    <row r="30" spans="1:7">
      <c r="A30" s="1472" t="s">
        <v>583</v>
      </c>
      <c r="B30" s="1472"/>
      <c r="C30" s="1472"/>
      <c r="D30" s="1472"/>
      <c r="E30" s="1472"/>
      <c r="F30" s="1472"/>
      <c r="G30" s="1472"/>
    </row>
    <row r="31" spans="1:7" ht="15" thickBot="1"/>
    <row r="32" spans="1:7">
      <c r="A32" s="1468" t="s">
        <v>584</v>
      </c>
      <c r="B32" s="1470" t="s">
        <v>585</v>
      </c>
      <c r="C32" s="1470"/>
      <c r="D32" s="1470"/>
      <c r="E32" s="1470"/>
      <c r="F32" s="1470"/>
      <c r="G32" s="1471"/>
    </row>
    <row r="33" spans="1:11" ht="15" thickBot="1">
      <c r="A33" s="1469"/>
      <c r="B33" s="316">
        <v>6</v>
      </c>
      <c r="C33" s="317">
        <v>7</v>
      </c>
      <c r="D33" s="317">
        <v>11</v>
      </c>
      <c r="E33" s="317">
        <v>15</v>
      </c>
      <c r="F33" s="317">
        <v>0</v>
      </c>
      <c r="G33" s="318">
        <v>17</v>
      </c>
      <c r="I33" s="296">
        <v>8</v>
      </c>
      <c r="J33" s="296">
        <v>15</v>
      </c>
      <c r="K33" s="296">
        <v>24</v>
      </c>
    </row>
    <row r="34" spans="1:11">
      <c r="A34" s="319" t="s">
        <v>586</v>
      </c>
      <c r="B34" s="320"/>
      <c r="C34" s="403">
        <f>+ROUND(5.8329*C33+83.391,2)</f>
        <v>124.22</v>
      </c>
      <c r="D34" s="321">
        <f t="shared" ref="D34:G34" si="0">+ROUND(5.8329*D33+83.391,2)</f>
        <v>147.55000000000001</v>
      </c>
      <c r="E34" s="403">
        <f t="shared" si="0"/>
        <v>170.88</v>
      </c>
      <c r="F34" s="403">
        <f>+ROUND(5.8329*F33+83.391,2)</f>
        <v>83.39</v>
      </c>
      <c r="G34" s="407">
        <f t="shared" si="0"/>
        <v>182.55</v>
      </c>
    </row>
    <row r="35" spans="1:11" ht="26">
      <c r="A35" s="322" t="s">
        <v>587</v>
      </c>
      <c r="B35" s="323"/>
      <c r="C35" s="404">
        <f t="shared" ref="C35:G35" si="1">ROUND(65.143*C33-171.43,2)</f>
        <v>284.57</v>
      </c>
      <c r="D35" s="324">
        <f t="shared" si="1"/>
        <v>545.14</v>
      </c>
      <c r="E35" s="404">
        <f t="shared" si="1"/>
        <v>805.72</v>
      </c>
      <c r="F35" s="404">
        <f>ROUND(65.143*F33-171.43,2)</f>
        <v>-171.43</v>
      </c>
      <c r="G35" s="408">
        <f t="shared" si="1"/>
        <v>936</v>
      </c>
    </row>
    <row r="36" spans="1:11" ht="26">
      <c r="A36" s="322" t="s">
        <v>588</v>
      </c>
      <c r="B36" s="300"/>
      <c r="C36" s="405">
        <f t="shared" ref="C36:G36" si="2">+ROUND(1.3714*C33+19.286,1)</f>
        <v>28.9</v>
      </c>
      <c r="D36" s="325">
        <f t="shared" si="2"/>
        <v>34.4</v>
      </c>
      <c r="E36" s="405">
        <f t="shared" si="2"/>
        <v>39.9</v>
      </c>
      <c r="F36" s="405">
        <f t="shared" ref="F36" si="3">+ROUND(1.3714*F33+19.286,1)</f>
        <v>19.3</v>
      </c>
      <c r="G36" s="409">
        <f t="shared" si="2"/>
        <v>42.6</v>
      </c>
    </row>
    <row r="37" spans="1:11" ht="52">
      <c r="A37" s="322" t="s">
        <v>589</v>
      </c>
      <c r="B37" s="323"/>
      <c r="C37" s="404">
        <f t="shared" ref="C37:G37" si="4">+ROUND(22.857*C33+321.43,0)</f>
        <v>481</v>
      </c>
      <c r="D37" s="324">
        <f t="shared" si="4"/>
        <v>573</v>
      </c>
      <c r="E37" s="404">
        <f t="shared" si="4"/>
        <v>664</v>
      </c>
      <c r="F37" s="404">
        <f t="shared" ref="F37" si="5">+ROUND(22.857*F33+321.43,0)</f>
        <v>321</v>
      </c>
      <c r="G37" s="408">
        <f t="shared" si="4"/>
        <v>710</v>
      </c>
    </row>
    <row r="38" spans="1:11">
      <c r="A38" s="322" t="s">
        <v>361</v>
      </c>
      <c r="B38" s="300"/>
      <c r="C38" s="405">
        <f t="shared" ref="C38:G38" si="6">+ROUND(2.2857*C33+25.143,2)</f>
        <v>41.14</v>
      </c>
      <c r="D38" s="325">
        <f t="shared" si="6"/>
        <v>50.29</v>
      </c>
      <c r="E38" s="405">
        <f t="shared" si="6"/>
        <v>59.43</v>
      </c>
      <c r="F38" s="405">
        <f t="shared" ref="F38" si="7">+ROUND(2.2857*F33+25.143,2)</f>
        <v>25.14</v>
      </c>
      <c r="G38" s="409">
        <f t="shared" si="6"/>
        <v>64</v>
      </c>
    </row>
    <row r="39" spans="1:11" ht="26">
      <c r="A39" s="322" t="s">
        <v>590</v>
      </c>
      <c r="B39" s="300"/>
      <c r="C39" s="405">
        <f t="shared" ref="C39:G39" si="8">+ROUND(0.2857*C33+6.1429,0)</f>
        <v>8</v>
      </c>
      <c r="D39" s="325">
        <f t="shared" si="8"/>
        <v>9</v>
      </c>
      <c r="E39" s="405">
        <f t="shared" si="8"/>
        <v>10</v>
      </c>
      <c r="F39" s="405">
        <f t="shared" ref="F39" si="9">+ROUND(0.2857*F33+6.1429,0)</f>
        <v>6</v>
      </c>
      <c r="G39" s="409">
        <f t="shared" si="8"/>
        <v>11</v>
      </c>
      <c r="J39" s="783"/>
    </row>
    <row r="40" spans="1:11" ht="26.5" thickBot="1">
      <c r="A40" s="326" t="s">
        <v>591</v>
      </c>
      <c r="B40" s="317"/>
      <c r="C40" s="406">
        <f t="shared" ref="C40:G40" si="10">+ROUND(0.0714*C33+0.2857,0)</f>
        <v>1</v>
      </c>
      <c r="D40" s="327">
        <f t="shared" si="10"/>
        <v>1</v>
      </c>
      <c r="E40" s="406">
        <f t="shared" si="10"/>
        <v>1</v>
      </c>
      <c r="F40" s="406">
        <f t="shared" ref="F40" si="11">+ROUND(0.0714*F33+0.2857,0)</f>
        <v>0</v>
      </c>
      <c r="G40" s="410">
        <f t="shared" si="10"/>
        <v>1</v>
      </c>
      <c r="J40" s="783"/>
      <c r="K40" s="785">
        <v>0.6</v>
      </c>
    </row>
    <row r="41" spans="1:11">
      <c r="J41" s="783"/>
    </row>
    <row r="42" spans="1:11">
      <c r="J42" s="783"/>
    </row>
    <row r="43" spans="1:11" ht="15" thickBot="1">
      <c r="J43" s="784"/>
    </row>
    <row r="44" spans="1:11">
      <c r="A44" s="1472" t="s">
        <v>592</v>
      </c>
      <c r="B44" s="1472"/>
      <c r="C44" s="1472"/>
      <c r="D44" s="1472"/>
      <c r="E44" s="1472"/>
      <c r="F44" s="1472"/>
      <c r="G44" s="1472"/>
      <c r="J44" s="296">
        <v>0.4</v>
      </c>
    </row>
    <row r="45" spans="1:11" ht="15" thickBot="1"/>
    <row r="46" spans="1:11">
      <c r="A46" s="1468" t="s">
        <v>584</v>
      </c>
      <c r="B46" s="1470" t="s">
        <v>585</v>
      </c>
      <c r="C46" s="1470"/>
      <c r="D46" s="1470"/>
      <c r="E46" s="1470"/>
      <c r="F46" s="1470"/>
      <c r="G46" s="1471"/>
    </row>
    <row r="47" spans="1:11" ht="15" thickBot="1">
      <c r="A47" s="1469"/>
      <c r="B47" s="316"/>
      <c r="C47" s="773">
        <v>7</v>
      </c>
      <c r="D47" s="317">
        <f>+D33</f>
        <v>11</v>
      </c>
      <c r="E47" s="317">
        <f>+E33</f>
        <v>15</v>
      </c>
      <c r="F47" s="317">
        <f t="shared" ref="F47:G47" si="12">+F33</f>
        <v>0</v>
      </c>
      <c r="G47" s="317">
        <f t="shared" si="12"/>
        <v>17</v>
      </c>
    </row>
    <row r="48" spans="1:11">
      <c r="A48" s="319" t="s">
        <v>586</v>
      </c>
      <c r="B48" s="320"/>
      <c r="C48" s="403">
        <f>+C51*0.4*0.6</f>
        <v>32.64</v>
      </c>
      <c r="D48" s="321"/>
      <c r="E48" s="403">
        <f>+E51*0.4*0.6</f>
        <v>26.4</v>
      </c>
      <c r="F48" s="320"/>
      <c r="G48" s="403">
        <f>+G51*0.4*0.6</f>
        <v>73.680000000000007</v>
      </c>
    </row>
    <row r="49" spans="1:9" ht="26">
      <c r="A49" s="322" t="s">
        <v>587</v>
      </c>
      <c r="B49" s="323"/>
      <c r="C49" s="403">
        <f>+C51*1.6</f>
        <v>217.60000000000002</v>
      </c>
      <c r="D49" s="321"/>
      <c r="E49" s="403">
        <f>+E51*1.6</f>
        <v>176</v>
      </c>
      <c r="F49" s="320"/>
      <c r="G49" s="403">
        <f>+G51*1.6</f>
        <v>491.20000000000005</v>
      </c>
    </row>
    <row r="50" spans="1:9" ht="26">
      <c r="A50" s="322" t="s">
        <v>588</v>
      </c>
      <c r="B50" s="300"/>
      <c r="C50" s="403">
        <f>+C51*0.2*0.4</f>
        <v>10.880000000000003</v>
      </c>
      <c r="D50" s="321"/>
      <c r="E50" s="403">
        <f>+E51*0.2*0.4</f>
        <v>8.8000000000000007</v>
      </c>
      <c r="F50" s="320"/>
      <c r="G50" s="403">
        <f>+G51*0.2*0.4</f>
        <v>24.560000000000002</v>
      </c>
    </row>
    <row r="51" spans="1:9" ht="52">
      <c r="A51" s="322" t="s">
        <v>589</v>
      </c>
      <c r="B51" s="323"/>
      <c r="C51" s="786">
        <f>272/2</f>
        <v>136</v>
      </c>
      <c r="D51" s="786"/>
      <c r="E51" s="786">
        <v>110</v>
      </c>
      <c r="F51" s="786"/>
      <c r="G51" s="787">
        <v>307</v>
      </c>
      <c r="I51" s="1220" t="s">
        <v>593</v>
      </c>
    </row>
    <row r="52" spans="1:9">
      <c r="A52" s="322" t="s">
        <v>361</v>
      </c>
      <c r="B52" s="300"/>
      <c r="C52" s="403">
        <f>+C51*0.4*0.4</f>
        <v>21.760000000000005</v>
      </c>
      <c r="D52" s="321"/>
      <c r="E52" s="403">
        <f>+E51*0.4*0.4</f>
        <v>17.600000000000001</v>
      </c>
      <c r="F52" s="320"/>
      <c r="G52" s="403">
        <f>+G51*0.4*0.4</f>
        <v>49.120000000000005</v>
      </c>
    </row>
    <row r="53" spans="1:9" ht="26">
      <c r="A53" s="322" t="s">
        <v>594</v>
      </c>
      <c r="B53" s="300"/>
      <c r="C53" s="403">
        <v>4</v>
      </c>
      <c r="D53" s="321"/>
      <c r="E53" s="403">
        <v>3</v>
      </c>
      <c r="F53" s="320"/>
      <c r="G53" s="407">
        <v>8</v>
      </c>
    </row>
    <row r="54" spans="1:9" ht="26.5" thickBot="1">
      <c r="A54" s="326" t="s">
        <v>591</v>
      </c>
      <c r="B54" s="317"/>
      <c r="C54" s="403">
        <f>+C40</f>
        <v>1</v>
      </c>
      <c r="D54" s="321"/>
      <c r="E54" s="403">
        <f t="shared" ref="E54:G54" si="13">+E40</f>
        <v>1</v>
      </c>
      <c r="F54" s="320">
        <f t="shared" si="13"/>
        <v>0</v>
      </c>
      <c r="G54" s="407">
        <f t="shared" si="13"/>
        <v>1</v>
      </c>
    </row>
  </sheetData>
  <mergeCells count="7">
    <mergeCell ref="A1:G1"/>
    <mergeCell ref="A46:A47"/>
    <mergeCell ref="B46:G46"/>
    <mergeCell ref="A30:G30"/>
    <mergeCell ref="A32:A33"/>
    <mergeCell ref="B32:G32"/>
    <mergeCell ref="A44:G44"/>
  </mergeCells>
  <pageMargins left="0.7" right="0.7" top="0.75" bottom="0.75" header="0.3" footer="0.3"/>
  <pageSetup scale="64" orientation="portrait" r:id="rId1"/>
  <colBreaks count="1" manualBreakCount="1">
    <brk id="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0045F-F867-4E87-9E29-E033C20909A6}">
  <sheetPr>
    <pageSetUpPr fitToPage="1"/>
  </sheetPr>
  <dimension ref="A1:L1011"/>
  <sheetViews>
    <sheetView showGridLines="0" view="pageBreakPreview" topLeftCell="A31" zoomScale="70" zoomScaleNormal="60" zoomScaleSheetLayoutView="70" workbookViewId="0">
      <selection sqref="A1:P1"/>
    </sheetView>
  </sheetViews>
  <sheetFormatPr baseColWidth="10" defaultColWidth="14.453125" defaultRowHeight="14.5"/>
  <cols>
    <col min="1" max="1" width="11" style="738" customWidth="1"/>
    <col min="2" max="2" width="48.453125" style="738" customWidth="1"/>
    <col min="3" max="3" width="15.54296875" style="738" customWidth="1"/>
    <col min="4" max="4" width="15.453125" style="738" customWidth="1"/>
    <col min="5" max="5" width="19.453125" style="738" customWidth="1"/>
    <col min="6" max="6" width="17.453125" style="738" customWidth="1"/>
    <col min="7" max="7" width="28.453125" style="738" customWidth="1"/>
    <col min="8" max="8" width="12.453125" style="738" customWidth="1"/>
    <col min="9" max="9" width="14.453125" style="738"/>
    <col min="10" max="10" width="21.453125" style="738" customWidth="1"/>
    <col min="11" max="11" width="14.453125" style="738"/>
    <col min="12" max="12" width="19.453125" style="738" customWidth="1"/>
    <col min="13" max="16384" width="14.453125" style="738"/>
  </cols>
  <sheetData>
    <row r="1" spans="1:10" ht="43.5" customHeight="1" thickBot="1">
      <c r="A1" s="1491" t="str">
        <f>+'PRES GENERAL MR(OXI)'!A1</f>
        <v>IMPLEMENTACIÓN DE SOLUCIONES ENERGÉTICAS CON FUENTES NO CONVENCIONALES DE ENERGÍA PARA USUARIOS EN ZONAS RURALES DEL MUNICIPIO DE TEORAMA EN EL DEPARTAMENTO DE NORTE DE SANTANDER</v>
      </c>
      <c r="B1" s="1507"/>
      <c r="C1" s="1507"/>
      <c r="D1" s="1507"/>
      <c r="E1" s="1507"/>
      <c r="F1" s="1507"/>
      <c r="G1" s="1508"/>
      <c r="H1" s="851"/>
    </row>
    <row r="2" spans="1:10" ht="14.25" customHeight="1" thickBot="1">
      <c r="A2" s="1509" t="s">
        <v>595</v>
      </c>
      <c r="B2" s="1510"/>
      <c r="C2" s="1510"/>
      <c r="D2" s="1510"/>
      <c r="E2" s="1510"/>
      <c r="F2" s="1510"/>
      <c r="G2" s="1511"/>
      <c r="H2" s="851"/>
    </row>
    <row r="3" spans="1:10" ht="7.5" customHeight="1" thickBot="1">
      <c r="A3" s="1512"/>
      <c r="B3" s="1513"/>
      <c r="C3" s="1513"/>
      <c r="D3" s="1513"/>
      <c r="E3" s="1513"/>
      <c r="F3" s="1513"/>
      <c r="G3" s="1514"/>
      <c r="H3" s="851"/>
    </row>
    <row r="4" spans="1:10" ht="17.25" customHeight="1" thickBot="1">
      <c r="A4" s="1512" t="s">
        <v>596</v>
      </c>
      <c r="B4" s="1513"/>
      <c r="C4" s="1513"/>
      <c r="D4" s="1513"/>
      <c r="E4" s="1513"/>
      <c r="F4" s="1513"/>
      <c r="G4" s="1514"/>
      <c r="H4" s="851"/>
    </row>
    <row r="5" spans="1:10" ht="66.75" customHeight="1" thickBot="1">
      <c r="A5" s="852" t="s">
        <v>496</v>
      </c>
      <c r="B5" s="853" t="s">
        <v>497</v>
      </c>
      <c r="C5" s="853" t="s">
        <v>498</v>
      </c>
      <c r="D5" s="853" t="s">
        <v>597</v>
      </c>
      <c r="E5" s="853" t="s">
        <v>500</v>
      </c>
      <c r="F5" s="853" t="s">
        <v>501</v>
      </c>
      <c r="G5" s="854" t="s">
        <v>598</v>
      </c>
      <c r="H5" s="851"/>
    </row>
    <row r="6" spans="1:10" ht="3.75" customHeight="1" thickBot="1">
      <c r="A6" s="1515"/>
      <c r="B6" s="1516"/>
      <c r="C6" s="1516"/>
      <c r="D6" s="1516"/>
      <c r="E6" s="1516"/>
      <c r="F6" s="1516"/>
      <c r="G6" s="1506"/>
      <c r="H6" s="851"/>
    </row>
    <row r="7" spans="1:10" ht="32.15" customHeight="1" thickBot="1">
      <c r="A7" s="1491" t="s">
        <v>599</v>
      </c>
      <c r="B7" s="1492"/>
      <c r="C7" s="1492"/>
      <c r="D7" s="1492"/>
      <c r="E7" s="1492"/>
      <c r="F7" s="1493"/>
      <c r="G7" s="855">
        <f>SUM(G8:G12)</f>
        <v>96108688.453817606</v>
      </c>
      <c r="H7" s="851"/>
    </row>
    <row r="8" spans="1:10" ht="14.25" customHeight="1">
      <c r="A8" s="856">
        <v>1</v>
      </c>
      <c r="B8" s="857" t="s">
        <v>600</v>
      </c>
      <c r="C8" s="858">
        <f>+'MANO DE OBRA'!D30</f>
        <v>5275528</v>
      </c>
      <c r="D8" s="858">
        <f>+'[42]Mano de Obra'!H25</f>
        <v>0</v>
      </c>
      <c r="E8" s="859">
        <v>0.2</v>
      </c>
      <c r="F8" s="860">
        <v>11</v>
      </c>
      <c r="G8" s="861">
        <f>(A8*C8*E8*fmb+D8)*F8</f>
        <v>21244397.913986135</v>
      </c>
      <c r="H8" s="851"/>
    </row>
    <row r="9" spans="1:10" ht="14.25" customHeight="1">
      <c r="A9" s="862" cm="1">
        <f t="array" ref="A9">_xlfn.IFS(usuv&lt;=1000,1,usuv&lt;=2000,2)</f>
        <v>1</v>
      </c>
      <c r="B9" s="863" t="s">
        <v>601</v>
      </c>
      <c r="C9" s="858">
        <f>+'MANO DE OBRA'!D19</f>
        <v>2961448</v>
      </c>
      <c r="D9" s="858">
        <f>+'[42]Mano de Obra'!H26</f>
        <v>0</v>
      </c>
      <c r="E9" s="864">
        <v>0.8</v>
      </c>
      <c r="F9" s="865">
        <v>10</v>
      </c>
      <c r="G9" s="866">
        <f>(A9*C9*E9*fmb+D9)*F9</f>
        <v>43366054.60573867</v>
      </c>
      <c r="H9" s="851"/>
    </row>
    <row r="10" spans="1:10" ht="14.25" customHeight="1">
      <c r="A10" s="862" cm="1">
        <f t="array" ref="A10">_xlfn.IFS(usuv&lt;=1000,1,usuv&lt;=2000,2)</f>
        <v>1</v>
      </c>
      <c r="B10" s="863" t="s">
        <v>602</v>
      </c>
      <c r="C10" s="858">
        <f>+'MANO DE OBRA'!D24</f>
        <v>1534702</v>
      </c>
      <c r="D10" s="858">
        <f>+'MANO DE OBRA'!D6</f>
        <v>200000</v>
      </c>
      <c r="E10" s="864">
        <v>0.5</v>
      </c>
      <c r="F10" s="865">
        <v>6</v>
      </c>
      <c r="G10" s="866">
        <f>(A10*C10*E10*fmb+D10)*F10</f>
        <v>9627545.9254480004</v>
      </c>
      <c r="H10" s="851"/>
      <c r="J10" s="1030" t="e">
        <f>+int</f>
        <v>#DIV/0!</v>
      </c>
    </row>
    <row r="11" spans="1:10" ht="14.25" customHeight="1">
      <c r="A11" s="862" cm="1">
        <f t="array" ref="A11">_xlfn.IFS(usuv&lt;=1000,1,usuv&lt;=2000,2)</f>
        <v>1</v>
      </c>
      <c r="B11" s="867" t="s">
        <v>603</v>
      </c>
      <c r="C11" s="858">
        <f>+'MANO DE OBRA'!D23</f>
        <v>2451532</v>
      </c>
      <c r="D11" s="858">
        <f>+'MANO DE OBRA'!D6</f>
        <v>200000</v>
      </c>
      <c r="E11" s="864">
        <v>0.5</v>
      </c>
      <c r="F11" s="865">
        <v>6</v>
      </c>
      <c r="G11" s="866">
        <f>(A11*C11*E11*fmb+D11)*F11</f>
        <v>14662156.508368</v>
      </c>
      <c r="H11" s="851"/>
    </row>
    <row r="12" spans="1:10" ht="14.25" customHeight="1" thickBot="1">
      <c r="A12" s="868" cm="1">
        <f t="array" ref="A12">_xlfn.IFS(usuv&lt;=1000,1,usuv&lt;=2000,2)</f>
        <v>1</v>
      </c>
      <c r="B12" s="869" t="s">
        <v>604</v>
      </c>
      <c r="C12" s="858">
        <f>+'MANO DE OBRA'!D25</f>
        <v>3281783</v>
      </c>
      <c r="D12" s="858">
        <f>+'[42]Mano de Obra'!H29</f>
        <v>0</v>
      </c>
      <c r="E12" s="870">
        <v>0.4</v>
      </c>
      <c r="F12" s="871">
        <f>ins</f>
        <v>3</v>
      </c>
      <c r="G12" s="866">
        <f>(A12*C12*E12*fmb+D12)*F12</f>
        <v>7208533.5002768012</v>
      </c>
      <c r="H12" s="851"/>
    </row>
    <row r="13" spans="1:10" ht="24" customHeight="1" thickBot="1">
      <c r="A13" s="1491" t="s">
        <v>605</v>
      </c>
      <c r="B13" s="1492"/>
      <c r="C13" s="1492"/>
      <c r="D13" s="1492"/>
      <c r="E13" s="1492"/>
      <c r="F13" s="1493"/>
      <c r="G13" s="872">
        <f>SUM(G14:G15)</f>
        <v>24142205.031052001</v>
      </c>
      <c r="H13" s="851"/>
    </row>
    <row r="14" spans="1:10" ht="30" customHeight="1">
      <c r="A14" s="873" cm="1">
        <f t="array" ref="A14">_xlfn.IFS(usuv&lt;=1000,1,usuv&lt;=2000,2)</f>
        <v>1</v>
      </c>
      <c r="B14" s="874" t="s">
        <v>606</v>
      </c>
      <c r="C14" s="875">
        <f>+'MANO DE OBRA'!D32</f>
        <v>1901542.4999999998</v>
      </c>
      <c r="D14" s="875">
        <f>+'MANO DE OBRA'!D6</f>
        <v>200000</v>
      </c>
      <c r="E14" s="876">
        <v>1</v>
      </c>
      <c r="F14" s="877">
        <v>4</v>
      </c>
      <c r="G14" s="878">
        <f>(A14*C14*E14*fmb+D14)*F14</f>
        <v>14722647.956359999</v>
      </c>
      <c r="H14" s="851"/>
    </row>
    <row r="15" spans="1:10" ht="20.25" customHeight="1" thickBot="1">
      <c r="A15" s="879" cm="1">
        <f t="array" ref="A15">_xlfn.IFS(usuv&lt;=1000,1,usuv&lt;=2000,2)</f>
        <v>1</v>
      </c>
      <c r="B15" s="880" t="s">
        <v>448</v>
      </c>
      <c r="C15" s="881">
        <f>+'MANO DE OBRA'!D33</f>
        <v>1566383</v>
      </c>
      <c r="D15" s="881">
        <f>+'MANO DE OBRA'!D6</f>
        <v>200000</v>
      </c>
      <c r="E15" s="882">
        <v>1</v>
      </c>
      <c r="F15" s="883">
        <v>3</v>
      </c>
      <c r="G15" s="884">
        <f>(A15*C15*E15*fma+D15)*F15</f>
        <v>9419557.0746919997</v>
      </c>
      <c r="H15" s="851"/>
      <c r="I15" s="885"/>
    </row>
    <row r="16" spans="1:10" ht="18" customHeight="1">
      <c r="A16" s="1494" t="s">
        <v>607</v>
      </c>
      <c r="B16" s="1495"/>
      <c r="C16" s="1495"/>
      <c r="D16" s="1495"/>
      <c r="E16" s="1495"/>
      <c r="F16" s="1496"/>
      <c r="G16" s="886">
        <f>fmb</f>
        <v>1.8304413333333334</v>
      </c>
      <c r="H16" s="851"/>
      <c r="J16" s="887"/>
    </row>
    <row r="17" spans="1:9" ht="18" customHeight="1">
      <c r="A17" s="1494" t="s">
        <v>608</v>
      </c>
      <c r="B17" s="1495"/>
      <c r="C17" s="1495"/>
      <c r="D17" s="1495"/>
      <c r="E17" s="1495"/>
      <c r="F17" s="1496"/>
      <c r="G17" s="888">
        <f>fma</f>
        <v>1.8768413333333334</v>
      </c>
      <c r="H17" s="851"/>
    </row>
    <row r="18" spans="1:9" ht="18" customHeight="1" thickBot="1">
      <c r="A18" s="1497" t="s">
        <v>609</v>
      </c>
      <c r="B18" s="1498"/>
      <c r="C18" s="1498"/>
      <c r="D18" s="1498"/>
      <c r="E18" s="1498"/>
      <c r="F18" s="1499"/>
      <c r="G18" s="889">
        <f>SUM(G7,G13)</f>
        <v>120250893.4848696</v>
      </c>
      <c r="H18" s="890"/>
    </row>
    <row r="19" spans="1:9" ht="18" customHeight="1" thickBot="1">
      <c r="A19" s="1500"/>
      <c r="B19" s="1501"/>
      <c r="C19" s="1501"/>
      <c r="D19" s="1501"/>
      <c r="E19" s="1501"/>
      <c r="F19" s="1501"/>
      <c r="G19" s="1502"/>
      <c r="H19" s="851"/>
    </row>
    <row r="20" spans="1:9" ht="14.25" customHeight="1" thickBot="1">
      <c r="A20" s="1491" t="s">
        <v>510</v>
      </c>
      <c r="B20" s="1492"/>
      <c r="C20" s="1492"/>
      <c r="D20" s="1492"/>
      <c r="E20" s="1492"/>
      <c r="F20" s="1493"/>
      <c r="G20" s="891">
        <f>+G21</f>
        <v>13822576.371000001</v>
      </c>
      <c r="H20" s="851"/>
      <c r="I20" s="885"/>
    </row>
    <row r="21" spans="1:9" ht="19.5" customHeight="1" thickBot="1">
      <c r="A21" s="892">
        <v>1</v>
      </c>
      <c r="B21" s="893" t="s">
        <v>512</v>
      </c>
      <c r="C21" s="894">
        <f>+'MANO DE OBRA'!D5</f>
        <v>1423500</v>
      </c>
      <c r="D21" s="894">
        <f>+'MANO DE OBRA'!D6</f>
        <v>200000</v>
      </c>
      <c r="E21" s="895">
        <v>0.5</v>
      </c>
      <c r="F21" s="896">
        <v>9</v>
      </c>
      <c r="G21" s="897">
        <f>(A21*C21*E21*fma+D21)*F21</f>
        <v>13822576.371000001</v>
      </c>
      <c r="H21" s="851"/>
    </row>
    <row r="22" spans="1:9" ht="15.5">
      <c r="A22" s="1477" t="s">
        <v>610</v>
      </c>
      <c r="B22" s="1478"/>
      <c r="C22" s="1478"/>
      <c r="D22" s="1478"/>
      <c r="E22" s="1478"/>
      <c r="F22" s="1479"/>
      <c r="G22" s="898">
        <f>fma</f>
        <v>1.8768413333333334</v>
      </c>
      <c r="H22" s="851"/>
    </row>
    <row r="23" spans="1:9" ht="15.75" customHeight="1" thickBot="1">
      <c r="A23" s="1497" t="s">
        <v>611</v>
      </c>
      <c r="B23" s="1498"/>
      <c r="C23" s="1498"/>
      <c r="D23" s="1498"/>
      <c r="E23" s="1498"/>
      <c r="F23" s="1499"/>
      <c r="G23" s="899">
        <f>G20</f>
        <v>13822576.371000001</v>
      </c>
      <c r="H23" s="851"/>
    </row>
    <row r="24" spans="1:9" ht="16.5" customHeight="1" thickBot="1">
      <c r="A24" s="1480" t="s">
        <v>612</v>
      </c>
      <c r="B24" s="1481"/>
      <c r="C24" s="1481"/>
      <c r="D24" s="1481"/>
      <c r="E24" s="1481"/>
      <c r="F24" s="1482"/>
      <c r="G24" s="900">
        <f>SUM(G18,G23)</f>
        <v>134073469.85586961</v>
      </c>
      <c r="H24" s="851"/>
    </row>
    <row r="25" spans="1:9" ht="16.399999999999999" customHeight="1" thickBot="1">
      <c r="A25" s="1503"/>
      <c r="B25" s="1484"/>
      <c r="C25" s="1484"/>
      <c r="D25" s="1484"/>
      <c r="E25" s="1484"/>
      <c r="F25" s="1484"/>
      <c r="G25" s="1485"/>
      <c r="H25" s="851"/>
    </row>
    <row r="26" spans="1:9" ht="17.149999999999999" customHeight="1" thickBot="1">
      <c r="A26" s="1504" t="s">
        <v>613</v>
      </c>
      <c r="B26" s="1505"/>
      <c r="C26" s="1505"/>
      <c r="D26" s="1505"/>
      <c r="E26" s="1505"/>
      <c r="F26" s="1505"/>
      <c r="G26" s="1506"/>
      <c r="H26" s="851"/>
    </row>
    <row r="27" spans="1:9" ht="20.149999999999999" customHeight="1" thickBot="1">
      <c r="A27" s="1488"/>
      <c r="B27" s="1489"/>
      <c r="C27" s="1489"/>
      <c r="D27" s="1489"/>
      <c r="E27" s="1489"/>
      <c r="F27" s="1489"/>
      <c r="G27" s="1490"/>
      <c r="H27" s="851"/>
    </row>
    <row r="28" spans="1:9" ht="44" thickBot="1">
      <c r="A28" s="901" t="s">
        <v>614</v>
      </c>
      <c r="B28" s="902" t="s">
        <v>517</v>
      </c>
      <c r="C28" s="902" t="s">
        <v>259</v>
      </c>
      <c r="D28" s="902" t="s">
        <v>615</v>
      </c>
      <c r="E28" s="902" t="s">
        <v>616</v>
      </c>
      <c r="F28" s="903" t="s">
        <v>617</v>
      </c>
      <c r="G28" s="904" t="s">
        <v>618</v>
      </c>
      <c r="H28" s="851"/>
    </row>
    <row r="29" spans="1:9" ht="14.25" customHeight="1" thickBot="1">
      <c r="A29" s="1474" t="s">
        <v>619</v>
      </c>
      <c r="B29" s="1475"/>
      <c r="C29" s="1475"/>
      <c r="D29" s="1475"/>
      <c r="E29" s="1475"/>
      <c r="F29" s="1476"/>
      <c r="G29" s="855">
        <f>SUM(G30:G30)</f>
        <v>9075000</v>
      </c>
      <c r="H29" s="851"/>
    </row>
    <row r="30" spans="1:9" ht="33" customHeight="1" thickBot="1">
      <c r="A30" s="905">
        <v>1</v>
      </c>
      <c r="B30" s="906" t="s">
        <v>620</v>
      </c>
      <c r="C30" s="907" t="s">
        <v>528</v>
      </c>
      <c r="D30" s="908">
        <v>825000</v>
      </c>
      <c r="E30" s="909">
        <v>1</v>
      </c>
      <c r="F30" s="910">
        <f>+F8</f>
        <v>11</v>
      </c>
      <c r="G30" s="911">
        <f>A30*D30*E30*F30</f>
        <v>9075000</v>
      </c>
      <c r="H30" s="851"/>
    </row>
    <row r="31" spans="1:9" ht="14.25" customHeight="1" thickBot="1">
      <c r="A31" s="1474" t="s">
        <v>621</v>
      </c>
      <c r="B31" s="1475"/>
      <c r="C31" s="1475"/>
      <c r="D31" s="1475"/>
      <c r="E31" s="1475"/>
      <c r="F31" s="1476"/>
      <c r="G31" s="855">
        <f>SUM(G32:G34)</f>
        <v>27600000</v>
      </c>
      <c r="H31" s="851"/>
    </row>
    <row r="32" spans="1:9" ht="53.25" customHeight="1">
      <c r="A32" s="912">
        <v>1</v>
      </c>
      <c r="B32" s="863" t="s">
        <v>622</v>
      </c>
      <c r="C32" s="913" t="s">
        <v>528</v>
      </c>
      <c r="D32" s="914">
        <f>+TRANSPORTE!F10</f>
        <v>7500000</v>
      </c>
      <c r="E32" s="915">
        <v>0.5</v>
      </c>
      <c r="F32" s="916">
        <v>5</v>
      </c>
      <c r="G32" s="911">
        <f>A32*D32*E32*F32</f>
        <v>18750000</v>
      </c>
      <c r="H32" s="917" t="s">
        <v>623</v>
      </c>
    </row>
    <row r="33" spans="1:12" ht="30" customHeight="1">
      <c r="A33" s="912">
        <v>1</v>
      </c>
      <c r="B33" s="863" t="s">
        <v>624</v>
      </c>
      <c r="C33" s="913" t="s">
        <v>528</v>
      </c>
      <c r="D33" s="914">
        <f>+TRANSPORTE!F11</f>
        <v>2000000</v>
      </c>
      <c r="E33" s="915">
        <v>1</v>
      </c>
      <c r="F33" s="916">
        <f>ins</f>
        <v>3</v>
      </c>
      <c r="G33" s="911">
        <f>+A33*D33*E33*F33</f>
        <v>6000000</v>
      </c>
      <c r="H33" s="851"/>
    </row>
    <row r="34" spans="1:12" ht="35.25" customHeight="1" thickBot="1">
      <c r="A34" s="912">
        <v>1</v>
      </c>
      <c r="B34" s="863" t="s">
        <v>625</v>
      </c>
      <c r="C34" s="913" t="s">
        <v>528</v>
      </c>
      <c r="D34" s="914">
        <v>950000</v>
      </c>
      <c r="E34" s="915">
        <v>1</v>
      </c>
      <c r="F34" s="916">
        <f>ins</f>
        <v>3</v>
      </c>
      <c r="G34" s="911">
        <f>+A34*D34*E34*F34</f>
        <v>2850000</v>
      </c>
      <c r="H34" s="851"/>
    </row>
    <row r="35" spans="1:12" ht="14.25" customHeight="1" thickBot="1">
      <c r="A35" s="1474" t="s">
        <v>626</v>
      </c>
      <c r="B35" s="1475"/>
      <c r="C35" s="1475"/>
      <c r="D35" s="1475"/>
      <c r="E35" s="1475"/>
      <c r="F35" s="1476"/>
      <c r="G35" s="855">
        <f>SUM(G36:G37)</f>
        <v>7260000</v>
      </c>
      <c r="H35" s="851"/>
    </row>
    <row r="36" spans="1:12" ht="28.5" customHeight="1">
      <c r="A36" s="912">
        <v>1</v>
      </c>
      <c r="B36" s="863" t="s">
        <v>627</v>
      </c>
      <c r="C36" s="913" t="s">
        <v>528</v>
      </c>
      <c r="D36" s="914">
        <v>630000</v>
      </c>
      <c r="E36" s="918"/>
      <c r="F36" s="916">
        <f>+F30</f>
        <v>11</v>
      </c>
      <c r="G36" s="919">
        <f>A36*D36*F36</f>
        <v>6930000</v>
      </c>
      <c r="H36" s="851"/>
      <c r="J36" s="962">
        <f>+pgt</f>
        <v>4084737862</v>
      </c>
    </row>
    <row r="37" spans="1:12" ht="29.15" customHeight="1" thickBot="1">
      <c r="A37" s="920" cm="1">
        <f t="array" ref="A37">_xlfn.IFS(usuv&lt;=1000,1,usuv&lt;=2000,2)</f>
        <v>1</v>
      </c>
      <c r="B37" s="921" t="s">
        <v>543</v>
      </c>
      <c r="C37" s="922" t="s">
        <v>528</v>
      </c>
      <c r="D37" s="923">
        <v>30000</v>
      </c>
      <c r="E37" s="924"/>
      <c r="F37" s="925">
        <f>+F36</f>
        <v>11</v>
      </c>
      <c r="G37" s="926">
        <f>A37*D37*F37</f>
        <v>330000</v>
      </c>
      <c r="H37" s="851"/>
      <c r="I37" s="927"/>
    </row>
    <row r="38" spans="1:12" ht="15" thickBot="1">
      <c r="A38" s="1474" t="s">
        <v>628</v>
      </c>
      <c r="B38" s="1475"/>
      <c r="C38" s="1475"/>
      <c r="D38" s="1475"/>
      <c r="E38" s="1475"/>
      <c r="F38" s="1476"/>
      <c r="G38" s="855">
        <f>SUM(G39:G44)</f>
        <v>10308469.24</v>
      </c>
      <c r="H38" s="851"/>
      <c r="I38" s="927"/>
    </row>
    <row r="39" spans="1:12">
      <c r="A39" s="912"/>
      <c r="B39" s="863" t="s">
        <v>551</v>
      </c>
      <c r="C39" s="913" t="s">
        <v>629</v>
      </c>
      <c r="D39" s="914"/>
      <c r="E39" s="915"/>
      <c r="F39" s="1216">
        <v>0.01</v>
      </c>
      <c r="G39" s="911">
        <f>+F39*$L$41</f>
        <v>2577117.31</v>
      </c>
      <c r="H39" s="917"/>
    </row>
    <row r="40" spans="1:12" ht="30" customHeight="1">
      <c r="A40" s="912"/>
      <c r="B40" s="863" t="s">
        <v>555</v>
      </c>
      <c r="C40" s="913" t="s">
        <v>629</v>
      </c>
      <c r="D40" s="914"/>
      <c r="E40" s="915"/>
      <c r="F40" s="1216">
        <v>4.0000000000000001E-3</v>
      </c>
      <c r="G40" s="911">
        <f t="shared" ref="G40:G44" si="0">+F40*$L$41</f>
        <v>1030846.924</v>
      </c>
      <c r="H40" s="851"/>
    </row>
    <row r="41" spans="1:12">
      <c r="A41" s="912"/>
      <c r="B41" s="863" t="s">
        <v>630</v>
      </c>
      <c r="C41" s="913" t="s">
        <v>629</v>
      </c>
      <c r="D41" s="914"/>
      <c r="E41" s="915"/>
      <c r="F41" s="1216">
        <v>0.02</v>
      </c>
      <c r="G41" s="911">
        <f t="shared" si="0"/>
        <v>5154234.62</v>
      </c>
      <c r="H41" s="851"/>
      <c r="I41" s="927"/>
      <c r="K41" s="1153" t="s">
        <v>554</v>
      </c>
      <c r="L41" s="1154">
        <v>257711731</v>
      </c>
    </row>
    <row r="42" spans="1:12" ht="29.15" customHeight="1">
      <c r="A42" s="912"/>
      <c r="B42" s="863" t="s">
        <v>560</v>
      </c>
      <c r="C42" s="913" t="s">
        <v>545</v>
      </c>
      <c r="D42" s="914"/>
      <c r="E42" s="915"/>
      <c r="F42" s="1216">
        <v>2E-3</v>
      </c>
      <c r="G42" s="911">
        <f t="shared" si="0"/>
        <v>515423.462</v>
      </c>
      <c r="H42" s="851"/>
      <c r="I42" s="927"/>
      <c r="K42" s="1153"/>
      <c r="L42" s="1153"/>
    </row>
    <row r="43" spans="1:12" ht="29.15" customHeight="1">
      <c r="A43" s="912"/>
      <c r="B43" s="863" t="s">
        <v>631</v>
      </c>
      <c r="C43" s="913" t="s">
        <v>545</v>
      </c>
      <c r="D43" s="914"/>
      <c r="E43" s="915"/>
      <c r="F43" s="1216">
        <v>3.0000000000000001E-3</v>
      </c>
      <c r="G43" s="911">
        <f t="shared" si="0"/>
        <v>773135.19299999997</v>
      </c>
      <c r="H43" s="851"/>
      <c r="I43" s="927"/>
      <c r="K43" s="1155" t="s">
        <v>557</v>
      </c>
      <c r="L43" s="1154">
        <f>+$G$50</f>
        <v>257711731</v>
      </c>
    </row>
    <row r="44" spans="1:12" ht="29.15" customHeight="1" thickBot="1">
      <c r="A44" s="912"/>
      <c r="B44" s="863" t="s">
        <v>563</v>
      </c>
      <c r="C44" s="913" t="s">
        <v>545</v>
      </c>
      <c r="D44" s="914"/>
      <c r="E44" s="915"/>
      <c r="F44" s="1216">
        <v>1E-3</v>
      </c>
      <c r="G44" s="911">
        <f t="shared" si="0"/>
        <v>257711.731</v>
      </c>
      <c r="H44" s="851"/>
      <c r="I44" s="927"/>
      <c r="K44" s="1155"/>
      <c r="L44" s="1155"/>
    </row>
    <row r="45" spans="1:12" ht="15" thickBot="1">
      <c r="A45" s="1477" t="s">
        <v>632</v>
      </c>
      <c r="B45" s="1478"/>
      <c r="C45" s="1478"/>
      <c r="D45" s="1478"/>
      <c r="E45" s="1478"/>
      <c r="F45" s="1479"/>
      <c r="G45" s="900">
        <f>G29+G31+G35+G38</f>
        <v>54243469.240000002</v>
      </c>
      <c r="H45" s="851"/>
      <c r="I45" s="927"/>
      <c r="K45" s="1155"/>
      <c r="L45" s="1156" t="s">
        <v>559</v>
      </c>
    </row>
    <row r="46" spans="1:12" ht="15" thickBot="1">
      <c r="A46" s="1480" t="s">
        <v>633</v>
      </c>
      <c r="B46" s="1481"/>
      <c r="C46" s="1481"/>
      <c r="D46" s="1481"/>
      <c r="E46" s="1481"/>
      <c r="F46" s="1482"/>
      <c r="G46" s="900">
        <f>+G45+G24</f>
        <v>188316939.0958696</v>
      </c>
      <c r="H46" s="851"/>
      <c r="K46" s="1155"/>
      <c r="L46" s="1157" t="s">
        <v>561</v>
      </c>
    </row>
    <row r="47" spans="1:12" ht="16.5" customHeight="1" thickBot="1">
      <c r="A47" s="1483"/>
      <c r="B47" s="1484"/>
      <c r="C47" s="1484"/>
      <c r="D47" s="1484"/>
      <c r="E47" s="1484"/>
      <c r="F47" s="1484"/>
      <c r="G47" s="1485"/>
      <c r="H47" s="851"/>
    </row>
    <row r="48" spans="1:12" ht="15" customHeight="1" thickBot="1">
      <c r="A48" s="928"/>
      <c r="B48" s="1486" t="s">
        <v>634</v>
      </c>
      <c r="C48" s="1486"/>
      <c r="D48" s="1486"/>
      <c r="E48" s="1486"/>
      <c r="F48" s="929"/>
      <c r="G48" s="930">
        <f>+G46*0.15</f>
        <v>28247540.864380438</v>
      </c>
      <c r="H48" s="851"/>
    </row>
    <row r="49" spans="1:9" ht="14.25" customHeight="1" thickBot="1">
      <c r="A49" s="928"/>
      <c r="B49" s="1486" t="s">
        <v>635</v>
      </c>
      <c r="C49" s="1486"/>
      <c r="D49" s="1486"/>
      <c r="E49" s="1486"/>
      <c r="F49" s="931"/>
      <c r="G49" s="930">
        <f>(G48+G46)*19%</f>
        <v>41147251.192447513</v>
      </c>
      <c r="H49" s="851"/>
    </row>
    <row r="50" spans="1:9" ht="14.25" customHeight="1" thickBot="1">
      <c r="A50" s="932"/>
      <c r="B50" s="1486" t="s">
        <v>636</v>
      </c>
      <c r="C50" s="1486"/>
      <c r="D50" s="1486"/>
      <c r="E50" s="1486"/>
      <c r="F50" s="933" t="e">
        <f>G50/'PRES GENERAL MR(OXI)'!P44</f>
        <v>#DIV/0!</v>
      </c>
      <c r="G50" s="934">
        <f>ROUND(G48+G49+G46,0)</f>
        <v>257711731</v>
      </c>
      <c r="H50" s="851"/>
    </row>
    <row r="51" spans="1:9" ht="14.25" customHeight="1">
      <c r="A51" s="935"/>
      <c r="B51" s="936"/>
      <c r="C51" s="936"/>
      <c r="D51" s="936"/>
      <c r="E51" s="936"/>
      <c r="F51" s="937"/>
      <c r="G51" s="938"/>
      <c r="H51" s="851"/>
    </row>
    <row r="52" spans="1:9" ht="41.15" customHeight="1">
      <c r="A52" s="1487" t="s">
        <v>637</v>
      </c>
      <c r="B52" s="1487"/>
      <c r="C52" s="1487"/>
      <c r="D52" s="1487"/>
      <c r="E52" s="1487"/>
      <c r="F52" s="1487"/>
      <c r="G52" s="1487"/>
      <c r="H52" s="1487"/>
      <c r="I52" s="1487"/>
    </row>
    <row r="53" spans="1:9" ht="30" customHeight="1">
      <c r="A53" s="935"/>
      <c r="B53" s="939"/>
      <c r="C53" s="935"/>
      <c r="D53" s="935"/>
      <c r="E53" s="935"/>
      <c r="F53" s="937"/>
      <c r="G53" s="940"/>
      <c r="H53" s="851"/>
    </row>
    <row r="54" spans="1:9" ht="56.15" customHeight="1">
      <c r="A54" s="1473" t="s">
        <v>638</v>
      </c>
      <c r="B54" s="1473"/>
      <c r="C54" s="941"/>
      <c r="D54" s="941"/>
      <c r="E54" s="941"/>
      <c r="F54" s="941"/>
      <c r="G54" s="941"/>
      <c r="H54" s="851"/>
    </row>
    <row r="55" spans="1:9" ht="53.5" customHeight="1">
      <c r="A55" s="851"/>
      <c r="B55" s="851"/>
      <c r="C55" s="851"/>
      <c r="D55" s="851"/>
      <c r="E55" s="851"/>
      <c r="F55" s="851"/>
      <c r="G55" s="851"/>
      <c r="H55" s="851"/>
    </row>
    <row r="56" spans="1:9" ht="14.25" customHeight="1">
      <c r="A56" s="851"/>
      <c r="B56" s="851"/>
      <c r="C56" s="851"/>
      <c r="D56" s="851"/>
      <c r="E56" s="851"/>
      <c r="F56" s="851"/>
      <c r="G56" s="851"/>
      <c r="H56" s="851"/>
    </row>
    <row r="57" spans="1:9" ht="14.25" customHeight="1">
      <c r="A57" s="851"/>
      <c r="B57" s="851"/>
      <c r="C57" s="851"/>
      <c r="D57" s="851"/>
      <c r="E57" s="851"/>
      <c r="F57" s="851"/>
      <c r="G57" s="851"/>
      <c r="H57" s="851"/>
    </row>
    <row r="58" spans="1:9" ht="14.25" customHeight="1">
      <c r="A58" s="851"/>
      <c r="B58" s="851"/>
      <c r="C58" s="851"/>
      <c r="D58" s="851"/>
      <c r="E58" s="851"/>
      <c r="F58" s="851"/>
      <c r="G58" s="851"/>
      <c r="H58" s="851"/>
    </row>
    <row r="59" spans="1:9" ht="14.25" customHeight="1">
      <c r="A59" s="851"/>
      <c r="B59" s="851"/>
      <c r="C59" s="851"/>
      <c r="D59" s="851"/>
      <c r="E59" s="851"/>
      <c r="F59" s="851"/>
      <c r="G59" s="851"/>
      <c r="H59" s="851"/>
    </row>
    <row r="60" spans="1:9" ht="14.25" customHeight="1">
      <c r="A60" s="851"/>
      <c r="B60" s="851"/>
      <c r="C60" s="851"/>
      <c r="D60" s="851"/>
      <c r="E60" s="851"/>
      <c r="F60" s="851"/>
      <c r="G60" s="851"/>
      <c r="H60" s="851"/>
    </row>
    <row r="61" spans="1:9" ht="14.25" customHeight="1">
      <c r="A61" s="851"/>
      <c r="B61" s="851"/>
      <c r="C61" s="851"/>
      <c r="D61" s="851"/>
      <c r="E61" s="851"/>
      <c r="F61" s="851"/>
      <c r="G61" s="851"/>
      <c r="H61" s="851"/>
    </row>
    <row r="62" spans="1:9" ht="14.25" customHeight="1">
      <c r="A62" s="851"/>
      <c r="B62" s="851"/>
      <c r="C62" s="851"/>
      <c r="D62" s="851"/>
      <c r="E62" s="851"/>
      <c r="F62" s="851"/>
      <c r="G62" s="851"/>
      <c r="H62" s="851"/>
    </row>
    <row r="63" spans="1:9" ht="14.25" customHeight="1">
      <c r="A63" s="851"/>
      <c r="B63" s="851"/>
      <c r="C63" s="851"/>
      <c r="D63" s="851"/>
      <c r="E63" s="851"/>
      <c r="F63" s="851"/>
      <c r="G63" s="851"/>
      <c r="H63" s="851"/>
    </row>
    <row r="64" spans="1:9" ht="14.25" customHeight="1">
      <c r="A64" s="851"/>
      <c r="B64" s="851"/>
      <c r="C64" s="851"/>
      <c r="D64" s="851"/>
      <c r="E64" s="851"/>
      <c r="F64" s="851"/>
      <c r="G64" s="851"/>
      <c r="H64" s="851"/>
    </row>
    <row r="65" spans="1:8" ht="14.25" customHeight="1">
      <c r="A65" s="851"/>
      <c r="B65" s="851"/>
      <c r="C65" s="851"/>
      <c r="D65" s="851"/>
      <c r="E65" s="851"/>
      <c r="F65" s="851"/>
      <c r="G65" s="851"/>
      <c r="H65" s="851"/>
    </row>
    <row r="66" spans="1:8" ht="14.25" customHeight="1">
      <c r="A66" s="851"/>
      <c r="B66" s="851"/>
      <c r="C66" s="851"/>
      <c r="D66" s="851"/>
      <c r="E66" s="851"/>
      <c r="F66" s="851"/>
      <c r="G66" s="851"/>
      <c r="H66" s="851"/>
    </row>
    <row r="67" spans="1:8" ht="14.25" customHeight="1">
      <c r="A67" s="851"/>
      <c r="B67" s="851"/>
      <c r="C67" s="851"/>
      <c r="D67" s="851"/>
      <c r="E67" s="851"/>
      <c r="F67" s="851"/>
      <c r="G67" s="851"/>
      <c r="H67" s="851"/>
    </row>
    <row r="68" spans="1:8" ht="14.25" customHeight="1">
      <c r="A68" s="851"/>
      <c r="B68" s="851"/>
      <c r="C68" s="851"/>
      <c r="D68" s="851"/>
      <c r="E68" s="851"/>
      <c r="F68" s="851"/>
      <c r="G68" s="851"/>
      <c r="H68" s="851"/>
    </row>
    <row r="69" spans="1:8" ht="14.25" customHeight="1">
      <c r="A69" s="851"/>
      <c r="B69" s="851"/>
      <c r="C69" s="851"/>
      <c r="D69" s="851"/>
      <c r="E69" s="851"/>
      <c r="F69" s="851"/>
      <c r="G69" s="851"/>
      <c r="H69" s="851"/>
    </row>
    <row r="70" spans="1:8" ht="14.25" customHeight="1">
      <c r="A70" s="851"/>
      <c r="B70" s="851"/>
      <c r="C70" s="851"/>
      <c r="D70" s="851"/>
      <c r="E70" s="851"/>
      <c r="F70" s="851"/>
      <c r="G70" s="851"/>
      <c r="H70" s="851"/>
    </row>
    <row r="71" spans="1:8" ht="14.25" customHeight="1">
      <c r="A71" s="851"/>
      <c r="B71" s="851"/>
      <c r="C71" s="851"/>
      <c r="D71" s="851"/>
      <c r="E71" s="851"/>
      <c r="F71" s="851"/>
      <c r="G71" s="851"/>
      <c r="H71" s="851"/>
    </row>
    <row r="72" spans="1:8" ht="14.25" customHeight="1">
      <c r="A72" s="851"/>
      <c r="B72" s="851"/>
      <c r="C72" s="851"/>
      <c r="D72" s="851"/>
      <c r="E72" s="851"/>
      <c r="F72" s="851"/>
      <c r="G72" s="851"/>
      <c r="H72" s="851"/>
    </row>
    <row r="73" spans="1:8" ht="14.25" customHeight="1">
      <c r="A73" s="851"/>
      <c r="B73" s="851"/>
      <c r="C73" s="851"/>
      <c r="D73" s="851"/>
      <c r="E73" s="851"/>
      <c r="F73" s="851"/>
      <c r="G73" s="851"/>
      <c r="H73" s="851"/>
    </row>
    <row r="74" spans="1:8" ht="14.25" customHeight="1">
      <c r="A74" s="851"/>
      <c r="B74" s="851"/>
      <c r="C74" s="851"/>
      <c r="D74" s="851"/>
      <c r="E74" s="851"/>
      <c r="F74" s="851"/>
      <c r="G74" s="851"/>
      <c r="H74" s="851"/>
    </row>
    <row r="75" spans="1:8" ht="14.25" customHeight="1">
      <c r="A75" s="851"/>
      <c r="B75" s="851"/>
      <c r="C75" s="851"/>
      <c r="D75" s="851"/>
      <c r="E75" s="851"/>
      <c r="F75" s="851"/>
      <c r="G75" s="851"/>
      <c r="H75" s="851"/>
    </row>
    <row r="76" spans="1:8" ht="14.25" customHeight="1">
      <c r="A76" s="851"/>
      <c r="B76" s="851"/>
      <c r="C76" s="851"/>
      <c r="D76" s="851"/>
      <c r="E76" s="851"/>
      <c r="F76" s="851"/>
      <c r="G76" s="851"/>
      <c r="H76" s="851"/>
    </row>
    <row r="77" spans="1:8" ht="14.25" customHeight="1">
      <c r="A77" s="851"/>
      <c r="B77" s="851"/>
      <c r="C77" s="851"/>
      <c r="D77" s="851"/>
      <c r="E77" s="851"/>
      <c r="F77" s="851"/>
      <c r="G77" s="851"/>
      <c r="H77" s="851"/>
    </row>
    <row r="78" spans="1:8" ht="14.25" customHeight="1">
      <c r="A78" s="851"/>
      <c r="B78" s="851"/>
      <c r="C78" s="851"/>
      <c r="D78" s="851"/>
      <c r="E78" s="851"/>
      <c r="F78" s="851"/>
      <c r="G78" s="851"/>
      <c r="H78" s="851"/>
    </row>
    <row r="79" spans="1:8" ht="14.25" customHeight="1">
      <c r="A79" s="851"/>
      <c r="B79" s="851"/>
      <c r="C79" s="851"/>
      <c r="D79" s="851"/>
      <c r="E79" s="851"/>
      <c r="F79" s="851"/>
      <c r="G79" s="851"/>
      <c r="H79" s="851"/>
    </row>
    <row r="80" spans="1:8" ht="14.25" customHeight="1">
      <c r="A80" s="851"/>
      <c r="B80" s="851"/>
      <c r="C80" s="851"/>
      <c r="D80" s="851"/>
      <c r="E80" s="851"/>
      <c r="F80" s="851"/>
      <c r="G80" s="851"/>
      <c r="H80" s="851"/>
    </row>
    <row r="81" spans="1:8" ht="14.25" customHeight="1">
      <c r="A81" s="851"/>
      <c r="B81" s="851"/>
      <c r="C81" s="851"/>
      <c r="D81" s="851"/>
      <c r="E81" s="851"/>
      <c r="F81" s="851"/>
      <c r="G81" s="851"/>
      <c r="H81" s="851"/>
    </row>
    <row r="82" spans="1:8" ht="14.25" customHeight="1">
      <c r="A82" s="851"/>
      <c r="B82" s="851"/>
      <c r="C82" s="851"/>
      <c r="D82" s="851"/>
      <c r="E82" s="851"/>
      <c r="F82" s="851"/>
      <c r="G82" s="851"/>
      <c r="H82" s="851"/>
    </row>
    <row r="83" spans="1:8" ht="14.25" customHeight="1">
      <c r="A83" s="851"/>
      <c r="B83" s="851"/>
      <c r="C83" s="851"/>
      <c r="D83" s="851"/>
      <c r="E83" s="851"/>
      <c r="F83" s="851"/>
      <c r="G83" s="851"/>
      <c r="H83" s="851"/>
    </row>
    <row r="84" spans="1:8" ht="14.25" customHeight="1">
      <c r="A84" s="851"/>
      <c r="B84" s="851"/>
      <c r="C84" s="851"/>
      <c r="D84" s="851"/>
      <c r="E84" s="851"/>
      <c r="F84" s="851"/>
      <c r="G84" s="851"/>
      <c r="H84" s="851"/>
    </row>
    <row r="85" spans="1:8" ht="14.25" customHeight="1">
      <c r="A85" s="851"/>
      <c r="B85" s="851"/>
      <c r="C85" s="851"/>
      <c r="D85" s="851"/>
      <c r="E85" s="851"/>
      <c r="F85" s="851"/>
      <c r="G85" s="851"/>
      <c r="H85" s="851"/>
    </row>
    <row r="86" spans="1:8" ht="14.25" customHeight="1">
      <c r="A86" s="851"/>
      <c r="B86" s="851"/>
      <c r="C86" s="851"/>
      <c r="D86" s="851"/>
      <c r="E86" s="851"/>
      <c r="F86" s="851"/>
      <c r="G86" s="851"/>
      <c r="H86" s="851"/>
    </row>
    <row r="87" spans="1:8" ht="14.25" customHeight="1">
      <c r="A87" s="851"/>
      <c r="B87" s="851"/>
      <c r="C87" s="851"/>
      <c r="D87" s="851"/>
      <c r="E87" s="851"/>
      <c r="F87" s="851"/>
      <c r="G87" s="851"/>
      <c r="H87" s="851"/>
    </row>
    <row r="88" spans="1:8" ht="14.25" customHeight="1">
      <c r="A88" s="851"/>
      <c r="B88" s="851"/>
      <c r="C88" s="851"/>
      <c r="D88" s="851"/>
      <c r="E88" s="851"/>
      <c r="F88" s="851"/>
      <c r="G88" s="851"/>
      <c r="H88" s="851"/>
    </row>
    <row r="89" spans="1:8" ht="14.25" customHeight="1">
      <c r="A89" s="851"/>
      <c r="B89" s="851"/>
      <c r="C89" s="851"/>
      <c r="D89" s="851"/>
      <c r="E89" s="851"/>
      <c r="F89" s="851"/>
      <c r="G89" s="851"/>
      <c r="H89" s="851"/>
    </row>
    <row r="90" spans="1:8" ht="14.25" customHeight="1">
      <c r="A90" s="851"/>
      <c r="B90" s="851"/>
      <c r="C90" s="851"/>
      <c r="D90" s="851"/>
      <c r="E90" s="851"/>
      <c r="F90" s="851"/>
      <c r="G90" s="851"/>
      <c r="H90" s="851"/>
    </row>
    <row r="91" spans="1:8" ht="14.25" customHeight="1">
      <c r="A91" s="851"/>
      <c r="B91" s="851"/>
      <c r="C91" s="851"/>
      <c r="D91" s="851"/>
      <c r="E91" s="851"/>
      <c r="F91" s="851"/>
      <c r="G91" s="851"/>
      <c r="H91" s="851"/>
    </row>
    <row r="92" spans="1:8" ht="14.25" customHeight="1">
      <c r="A92" s="851"/>
      <c r="B92" s="851"/>
      <c r="C92" s="851"/>
      <c r="D92" s="851"/>
      <c r="E92" s="851"/>
      <c r="F92" s="851"/>
      <c r="G92" s="851"/>
      <c r="H92" s="851"/>
    </row>
    <row r="93" spans="1:8" ht="14.25" customHeight="1">
      <c r="A93" s="851"/>
      <c r="B93" s="851"/>
      <c r="C93" s="851"/>
      <c r="D93" s="851"/>
      <c r="E93" s="851"/>
      <c r="F93" s="851"/>
      <c r="G93" s="851"/>
      <c r="H93" s="851"/>
    </row>
    <row r="94" spans="1:8" ht="14.25" customHeight="1">
      <c r="A94" s="851"/>
      <c r="B94" s="851"/>
      <c r="C94" s="851"/>
      <c r="D94" s="851"/>
      <c r="E94" s="851"/>
      <c r="F94" s="851"/>
      <c r="G94" s="851"/>
      <c r="H94" s="851"/>
    </row>
    <row r="95" spans="1:8" ht="14.25" customHeight="1">
      <c r="A95" s="851"/>
      <c r="B95" s="851"/>
      <c r="C95" s="851"/>
      <c r="D95" s="851"/>
      <c r="E95" s="851"/>
      <c r="F95" s="851"/>
      <c r="G95" s="851"/>
      <c r="H95" s="851"/>
    </row>
    <row r="96" spans="1:8" ht="14.25" customHeight="1">
      <c r="A96" s="851"/>
      <c r="B96" s="851"/>
      <c r="C96" s="851"/>
      <c r="D96" s="851"/>
      <c r="E96" s="851"/>
      <c r="F96" s="851"/>
      <c r="G96" s="851"/>
      <c r="H96" s="851"/>
    </row>
    <row r="97" spans="1:8" ht="14.25" customHeight="1">
      <c r="A97" s="851"/>
      <c r="B97" s="851"/>
      <c r="C97" s="851"/>
      <c r="D97" s="851"/>
      <c r="E97" s="851"/>
      <c r="F97" s="851"/>
      <c r="G97" s="851"/>
      <c r="H97" s="851"/>
    </row>
    <row r="98" spans="1:8" ht="14.25" customHeight="1">
      <c r="A98" s="851"/>
      <c r="B98" s="851"/>
      <c r="C98" s="851"/>
      <c r="D98" s="851"/>
      <c r="E98" s="851"/>
      <c r="F98" s="851"/>
      <c r="G98" s="851"/>
      <c r="H98" s="851"/>
    </row>
    <row r="99" spans="1:8" ht="14.25" customHeight="1">
      <c r="A99" s="851"/>
      <c r="B99" s="851"/>
      <c r="C99" s="851"/>
      <c r="D99" s="851"/>
      <c r="E99" s="851"/>
      <c r="F99" s="851"/>
      <c r="G99" s="851"/>
      <c r="H99" s="851"/>
    </row>
    <row r="100" spans="1:8" ht="14.25" customHeight="1">
      <c r="A100" s="851"/>
      <c r="B100" s="851"/>
      <c r="C100" s="851"/>
      <c r="D100" s="851"/>
      <c r="E100" s="851"/>
      <c r="F100" s="851"/>
      <c r="G100" s="851"/>
      <c r="H100" s="851"/>
    </row>
    <row r="101" spans="1:8" ht="14.25" customHeight="1">
      <c r="A101" s="851"/>
      <c r="B101" s="851"/>
      <c r="C101" s="851"/>
      <c r="D101" s="851"/>
      <c r="E101" s="851"/>
      <c r="F101" s="851"/>
      <c r="G101" s="851"/>
      <c r="H101" s="851"/>
    </row>
    <row r="102" spans="1:8" ht="14.25" customHeight="1">
      <c r="A102" s="851"/>
      <c r="B102" s="851"/>
      <c r="C102" s="851"/>
      <c r="D102" s="851"/>
      <c r="E102" s="851"/>
      <c r="F102" s="851"/>
      <c r="G102" s="851"/>
      <c r="H102" s="851"/>
    </row>
    <row r="103" spans="1:8" ht="14.25" customHeight="1">
      <c r="A103" s="851"/>
      <c r="B103" s="851"/>
      <c r="C103" s="851"/>
      <c r="D103" s="851"/>
      <c r="E103" s="851"/>
      <c r="F103" s="851"/>
      <c r="G103" s="851"/>
      <c r="H103" s="851"/>
    </row>
    <row r="104" spans="1:8" ht="14.25" customHeight="1">
      <c r="A104" s="851"/>
      <c r="B104" s="851"/>
      <c r="C104" s="851"/>
      <c r="D104" s="851"/>
      <c r="E104" s="851"/>
      <c r="F104" s="851"/>
      <c r="G104" s="851"/>
      <c r="H104" s="851"/>
    </row>
    <row r="105" spans="1:8" ht="14.25" customHeight="1">
      <c r="A105" s="851"/>
      <c r="B105" s="851"/>
      <c r="C105" s="851"/>
      <c r="D105" s="851"/>
      <c r="E105" s="851"/>
      <c r="F105" s="851"/>
      <c r="G105" s="851"/>
      <c r="H105" s="851"/>
    </row>
    <row r="106" spans="1:8" ht="14.25" customHeight="1">
      <c r="A106" s="851"/>
      <c r="B106" s="851"/>
      <c r="C106" s="851"/>
      <c r="D106" s="851"/>
      <c r="E106" s="851"/>
      <c r="F106" s="851"/>
      <c r="G106" s="851"/>
      <c r="H106" s="851"/>
    </row>
    <row r="107" spans="1:8" ht="14.25" customHeight="1">
      <c r="A107" s="851"/>
      <c r="B107" s="851"/>
      <c r="C107" s="851"/>
      <c r="D107" s="851"/>
      <c r="E107" s="851"/>
      <c r="F107" s="851"/>
      <c r="G107" s="851"/>
      <c r="H107" s="851"/>
    </row>
    <row r="108" spans="1:8" ht="14.25" customHeight="1">
      <c r="A108" s="851"/>
      <c r="B108" s="851"/>
      <c r="C108" s="851"/>
      <c r="D108" s="851"/>
      <c r="E108" s="851"/>
      <c r="F108" s="851"/>
      <c r="G108" s="851"/>
      <c r="H108" s="851"/>
    </row>
    <row r="109" spans="1:8" ht="14.25" customHeight="1">
      <c r="A109" s="851"/>
      <c r="B109" s="851"/>
      <c r="C109" s="851"/>
      <c r="D109" s="851"/>
      <c r="E109" s="851"/>
      <c r="F109" s="851"/>
      <c r="G109" s="851"/>
      <c r="H109" s="851"/>
    </row>
    <row r="110" spans="1:8" ht="14.25" customHeight="1">
      <c r="A110" s="851"/>
      <c r="B110" s="851"/>
      <c r="C110" s="851"/>
      <c r="D110" s="851"/>
      <c r="E110" s="851"/>
      <c r="F110" s="851"/>
      <c r="G110" s="851"/>
      <c r="H110" s="851"/>
    </row>
    <row r="111" spans="1:8" ht="14.25" customHeight="1"/>
    <row r="112" spans="1:8"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30">
    <mergeCell ref="A7:F7"/>
    <mergeCell ref="A1:G1"/>
    <mergeCell ref="A2:G2"/>
    <mergeCell ref="A3:G3"/>
    <mergeCell ref="A4:G4"/>
    <mergeCell ref="A6:G6"/>
    <mergeCell ref="A27:G27"/>
    <mergeCell ref="A13:F13"/>
    <mergeCell ref="A16:F16"/>
    <mergeCell ref="A17:F17"/>
    <mergeCell ref="A18:F18"/>
    <mergeCell ref="A19:G19"/>
    <mergeCell ref="A20:F20"/>
    <mergeCell ref="A22:F22"/>
    <mergeCell ref="A23:F23"/>
    <mergeCell ref="A24:F24"/>
    <mergeCell ref="A25:G25"/>
    <mergeCell ref="A26:G26"/>
    <mergeCell ref="A54:B54"/>
    <mergeCell ref="A29:F29"/>
    <mergeCell ref="A31:F31"/>
    <mergeCell ref="A35:F35"/>
    <mergeCell ref="A45:F45"/>
    <mergeCell ref="A46:F46"/>
    <mergeCell ref="A47:G47"/>
    <mergeCell ref="B48:E48"/>
    <mergeCell ref="B49:E49"/>
    <mergeCell ref="B50:E50"/>
    <mergeCell ref="A52:I52"/>
    <mergeCell ref="A38:F38"/>
  </mergeCells>
  <conditionalFormatting sqref="L45">
    <cfRule type="expression" dxfId="4" priority="2">
      <formula>$L$41=$L$43</formula>
    </cfRule>
  </conditionalFormatting>
  <conditionalFormatting sqref="L46">
    <cfRule type="expression" dxfId="3" priority="1" stopIfTrue="1">
      <formula>$L$41&lt;&gt;$L$43</formula>
    </cfRule>
  </conditionalFormatting>
  <pageMargins left="0.38" right="0.27" top="0.74803149606299213" bottom="0.61" header="0.31496062992125984" footer="0.31496062992125984"/>
  <pageSetup scale="5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4A405-1201-4BFC-A228-90ADC9B51C21}">
  <dimension ref="A2:IV49"/>
  <sheetViews>
    <sheetView view="pageBreakPreview" zoomScale="60" zoomScaleNormal="100" workbookViewId="0">
      <selection sqref="A1:P1"/>
    </sheetView>
  </sheetViews>
  <sheetFormatPr baseColWidth="10" defaultColWidth="9.1796875" defaultRowHeight="12.5"/>
  <cols>
    <col min="1" max="2" width="3.453125" style="644" customWidth="1"/>
    <col min="3" max="3" width="2.453125" style="644" customWidth="1"/>
    <col min="4" max="4" width="12.453125" style="644" bestFit="1" customWidth="1"/>
    <col min="5" max="7" width="9.1796875" style="644" customWidth="1"/>
    <col min="8" max="8" width="4.54296875" style="644" customWidth="1"/>
    <col min="9" max="9" width="9.54296875" style="644" customWidth="1"/>
    <col min="10" max="10" width="9.453125" style="644" customWidth="1"/>
    <col min="11" max="11" width="15.1796875" style="644" customWidth="1"/>
    <col min="12" max="12" width="10.453125" style="644" customWidth="1"/>
    <col min="13" max="13" width="5.453125" style="643" customWidth="1"/>
    <col min="14" max="14" width="3.453125" style="644" customWidth="1"/>
    <col min="15" max="15" width="7.453125" style="644" customWidth="1"/>
    <col min="16" max="16" width="3.453125" style="644" customWidth="1"/>
    <col min="17" max="17" width="2.453125" style="644" customWidth="1"/>
    <col min="18" max="18" width="12.453125" style="644" bestFit="1" customWidth="1"/>
    <col min="19" max="21" width="9.1796875" style="644" customWidth="1"/>
    <col min="22" max="22" width="4.54296875" style="644" customWidth="1"/>
    <col min="23" max="23" width="9.54296875" style="644" customWidth="1"/>
    <col min="24" max="24" width="9.453125" style="644" customWidth="1"/>
    <col min="25" max="25" width="8.453125" style="644" customWidth="1"/>
    <col min="26" max="26" width="10.453125" style="644" customWidth="1"/>
    <col min="27" max="27" width="5.453125" style="643" customWidth="1"/>
    <col min="28" max="256" width="9.1796875" style="644"/>
    <col min="257" max="258" width="3.453125" style="644" customWidth="1"/>
    <col min="259" max="259" width="2.453125" style="644" customWidth="1"/>
    <col min="260" max="260" width="12.453125" style="644" bestFit="1" customWidth="1"/>
    <col min="261" max="263" width="9.1796875" style="644"/>
    <col min="264" max="264" width="4.54296875" style="644" customWidth="1"/>
    <col min="265" max="265" width="9.54296875" style="644" customWidth="1"/>
    <col min="266" max="266" width="9.453125" style="644" customWidth="1"/>
    <col min="267" max="267" width="15.1796875" style="644" customWidth="1"/>
    <col min="268" max="268" width="10.453125" style="644" customWidth="1"/>
    <col min="269" max="269" width="5.453125" style="644" customWidth="1"/>
    <col min="270" max="270" width="3.453125" style="644" customWidth="1"/>
    <col min="271" max="271" width="7.453125" style="644" customWidth="1"/>
    <col min="272" max="272" width="3.453125" style="644" customWidth="1"/>
    <col min="273" max="273" width="2.453125" style="644" customWidth="1"/>
    <col min="274" max="274" width="12.453125" style="644" bestFit="1" customWidth="1"/>
    <col min="275" max="277" width="9.1796875" style="644"/>
    <col min="278" max="278" width="4.54296875" style="644" customWidth="1"/>
    <col min="279" max="279" width="9.54296875" style="644" customWidth="1"/>
    <col min="280" max="280" width="9.453125" style="644" customWidth="1"/>
    <col min="281" max="281" width="8.453125" style="644" customWidth="1"/>
    <col min="282" max="282" width="10.453125" style="644" customWidth="1"/>
    <col min="283" max="283" width="5.453125" style="644" customWidth="1"/>
    <col min="284" max="512" width="9.1796875" style="644"/>
    <col min="513" max="514" width="3.453125" style="644" customWidth="1"/>
    <col min="515" max="515" width="2.453125" style="644" customWidth="1"/>
    <col min="516" max="516" width="12.453125" style="644" bestFit="1" customWidth="1"/>
    <col min="517" max="519" width="9.1796875" style="644"/>
    <col min="520" max="520" width="4.54296875" style="644" customWidth="1"/>
    <col min="521" max="521" width="9.54296875" style="644" customWidth="1"/>
    <col min="522" max="522" width="9.453125" style="644" customWidth="1"/>
    <col min="523" max="523" width="15.1796875" style="644" customWidth="1"/>
    <col min="524" max="524" width="10.453125" style="644" customWidth="1"/>
    <col min="525" max="525" width="5.453125" style="644" customWidth="1"/>
    <col min="526" max="526" width="3.453125" style="644" customWidth="1"/>
    <col min="527" max="527" width="7.453125" style="644" customWidth="1"/>
    <col min="528" max="528" width="3.453125" style="644" customWidth="1"/>
    <col min="529" max="529" width="2.453125" style="644" customWidth="1"/>
    <col min="530" max="530" width="12.453125" style="644" bestFit="1" customWidth="1"/>
    <col min="531" max="533" width="9.1796875" style="644"/>
    <col min="534" max="534" width="4.54296875" style="644" customWidth="1"/>
    <col min="535" max="535" width="9.54296875" style="644" customWidth="1"/>
    <col min="536" max="536" width="9.453125" style="644" customWidth="1"/>
    <col min="537" max="537" width="8.453125" style="644" customWidth="1"/>
    <col min="538" max="538" width="10.453125" style="644" customWidth="1"/>
    <col min="539" max="539" width="5.453125" style="644" customWidth="1"/>
    <col min="540" max="768" width="9.1796875" style="644"/>
    <col min="769" max="770" width="3.453125" style="644" customWidth="1"/>
    <col min="771" max="771" width="2.453125" style="644" customWidth="1"/>
    <col min="772" max="772" width="12.453125" style="644" bestFit="1" customWidth="1"/>
    <col min="773" max="775" width="9.1796875" style="644"/>
    <col min="776" max="776" width="4.54296875" style="644" customWidth="1"/>
    <col min="777" max="777" width="9.54296875" style="644" customWidth="1"/>
    <col min="778" max="778" width="9.453125" style="644" customWidth="1"/>
    <col min="779" max="779" width="15.1796875" style="644" customWidth="1"/>
    <col min="780" max="780" width="10.453125" style="644" customWidth="1"/>
    <col min="781" max="781" width="5.453125" style="644" customWidth="1"/>
    <col min="782" max="782" width="3.453125" style="644" customWidth="1"/>
    <col min="783" max="783" width="7.453125" style="644" customWidth="1"/>
    <col min="784" max="784" width="3.453125" style="644" customWidth="1"/>
    <col min="785" max="785" width="2.453125" style="644" customWidth="1"/>
    <col min="786" max="786" width="12.453125" style="644" bestFit="1" customWidth="1"/>
    <col min="787" max="789" width="9.1796875" style="644"/>
    <col min="790" max="790" width="4.54296875" style="644" customWidth="1"/>
    <col min="791" max="791" width="9.54296875" style="644" customWidth="1"/>
    <col min="792" max="792" width="9.453125" style="644" customWidth="1"/>
    <col min="793" max="793" width="8.453125" style="644" customWidth="1"/>
    <col min="794" max="794" width="10.453125" style="644" customWidth="1"/>
    <col min="795" max="795" width="5.453125" style="644" customWidth="1"/>
    <col min="796" max="1024" width="9.1796875" style="644"/>
    <col min="1025" max="1026" width="3.453125" style="644" customWidth="1"/>
    <col min="1027" max="1027" width="2.453125" style="644" customWidth="1"/>
    <col min="1028" max="1028" width="12.453125" style="644" bestFit="1" customWidth="1"/>
    <col min="1029" max="1031" width="9.1796875" style="644"/>
    <col min="1032" max="1032" width="4.54296875" style="644" customWidth="1"/>
    <col min="1033" max="1033" width="9.54296875" style="644" customWidth="1"/>
    <col min="1034" max="1034" width="9.453125" style="644" customWidth="1"/>
    <col min="1035" max="1035" width="15.1796875" style="644" customWidth="1"/>
    <col min="1036" max="1036" width="10.453125" style="644" customWidth="1"/>
    <col min="1037" max="1037" width="5.453125" style="644" customWidth="1"/>
    <col min="1038" max="1038" width="3.453125" style="644" customWidth="1"/>
    <col min="1039" max="1039" width="7.453125" style="644" customWidth="1"/>
    <col min="1040" max="1040" width="3.453125" style="644" customWidth="1"/>
    <col min="1041" max="1041" width="2.453125" style="644" customWidth="1"/>
    <col min="1042" max="1042" width="12.453125" style="644" bestFit="1" customWidth="1"/>
    <col min="1043" max="1045" width="9.1796875" style="644"/>
    <col min="1046" max="1046" width="4.54296875" style="644" customWidth="1"/>
    <col min="1047" max="1047" width="9.54296875" style="644" customWidth="1"/>
    <col min="1048" max="1048" width="9.453125" style="644" customWidth="1"/>
    <col min="1049" max="1049" width="8.453125" style="644" customWidth="1"/>
    <col min="1050" max="1050" width="10.453125" style="644" customWidth="1"/>
    <col min="1051" max="1051" width="5.453125" style="644" customWidth="1"/>
    <col min="1052" max="1280" width="9.1796875" style="644"/>
    <col min="1281" max="1282" width="3.453125" style="644" customWidth="1"/>
    <col min="1283" max="1283" width="2.453125" style="644" customWidth="1"/>
    <col min="1284" max="1284" width="12.453125" style="644" bestFit="1" customWidth="1"/>
    <col min="1285" max="1287" width="9.1796875" style="644"/>
    <col min="1288" max="1288" width="4.54296875" style="644" customWidth="1"/>
    <col min="1289" max="1289" width="9.54296875" style="644" customWidth="1"/>
    <col min="1290" max="1290" width="9.453125" style="644" customWidth="1"/>
    <col min="1291" max="1291" width="15.1796875" style="644" customWidth="1"/>
    <col min="1292" max="1292" width="10.453125" style="644" customWidth="1"/>
    <col min="1293" max="1293" width="5.453125" style="644" customWidth="1"/>
    <col min="1294" max="1294" width="3.453125" style="644" customWidth="1"/>
    <col min="1295" max="1295" width="7.453125" style="644" customWidth="1"/>
    <col min="1296" max="1296" width="3.453125" style="644" customWidth="1"/>
    <col min="1297" max="1297" width="2.453125" style="644" customWidth="1"/>
    <col min="1298" max="1298" width="12.453125" style="644" bestFit="1" customWidth="1"/>
    <col min="1299" max="1301" width="9.1796875" style="644"/>
    <col min="1302" max="1302" width="4.54296875" style="644" customWidth="1"/>
    <col min="1303" max="1303" width="9.54296875" style="644" customWidth="1"/>
    <col min="1304" max="1304" width="9.453125" style="644" customWidth="1"/>
    <col min="1305" max="1305" width="8.453125" style="644" customWidth="1"/>
    <col min="1306" max="1306" width="10.453125" style="644" customWidth="1"/>
    <col min="1307" max="1307" width="5.453125" style="644" customWidth="1"/>
    <col min="1308" max="1536" width="9.1796875" style="644"/>
    <col min="1537" max="1538" width="3.453125" style="644" customWidth="1"/>
    <col min="1539" max="1539" width="2.453125" style="644" customWidth="1"/>
    <col min="1540" max="1540" width="12.453125" style="644" bestFit="1" customWidth="1"/>
    <col min="1541" max="1543" width="9.1796875" style="644"/>
    <col min="1544" max="1544" width="4.54296875" style="644" customWidth="1"/>
    <col min="1545" max="1545" width="9.54296875" style="644" customWidth="1"/>
    <col min="1546" max="1546" width="9.453125" style="644" customWidth="1"/>
    <col min="1547" max="1547" width="15.1796875" style="644" customWidth="1"/>
    <col min="1548" max="1548" width="10.453125" style="644" customWidth="1"/>
    <col min="1549" max="1549" width="5.453125" style="644" customWidth="1"/>
    <col min="1550" max="1550" width="3.453125" style="644" customWidth="1"/>
    <col min="1551" max="1551" width="7.453125" style="644" customWidth="1"/>
    <col min="1552" max="1552" width="3.453125" style="644" customWidth="1"/>
    <col min="1553" max="1553" width="2.453125" style="644" customWidth="1"/>
    <col min="1554" max="1554" width="12.453125" style="644" bestFit="1" customWidth="1"/>
    <col min="1555" max="1557" width="9.1796875" style="644"/>
    <col min="1558" max="1558" width="4.54296875" style="644" customWidth="1"/>
    <col min="1559" max="1559" width="9.54296875" style="644" customWidth="1"/>
    <col min="1560" max="1560" width="9.453125" style="644" customWidth="1"/>
    <col min="1561" max="1561" width="8.453125" style="644" customWidth="1"/>
    <col min="1562" max="1562" width="10.453125" style="644" customWidth="1"/>
    <col min="1563" max="1563" width="5.453125" style="644" customWidth="1"/>
    <col min="1564" max="1792" width="9.1796875" style="644"/>
    <col min="1793" max="1794" width="3.453125" style="644" customWidth="1"/>
    <col min="1795" max="1795" width="2.453125" style="644" customWidth="1"/>
    <col min="1796" max="1796" width="12.453125" style="644" bestFit="1" customWidth="1"/>
    <col min="1797" max="1799" width="9.1796875" style="644"/>
    <col min="1800" max="1800" width="4.54296875" style="644" customWidth="1"/>
    <col min="1801" max="1801" width="9.54296875" style="644" customWidth="1"/>
    <col min="1802" max="1802" width="9.453125" style="644" customWidth="1"/>
    <col min="1803" max="1803" width="15.1796875" style="644" customWidth="1"/>
    <col min="1804" max="1804" width="10.453125" style="644" customWidth="1"/>
    <col min="1805" max="1805" width="5.453125" style="644" customWidth="1"/>
    <col min="1806" max="1806" width="3.453125" style="644" customWidth="1"/>
    <col min="1807" max="1807" width="7.453125" style="644" customWidth="1"/>
    <col min="1808" max="1808" width="3.453125" style="644" customWidth="1"/>
    <col min="1809" max="1809" width="2.453125" style="644" customWidth="1"/>
    <col min="1810" max="1810" width="12.453125" style="644" bestFit="1" customWidth="1"/>
    <col min="1811" max="1813" width="9.1796875" style="644"/>
    <col min="1814" max="1814" width="4.54296875" style="644" customWidth="1"/>
    <col min="1815" max="1815" width="9.54296875" style="644" customWidth="1"/>
    <col min="1816" max="1816" width="9.453125" style="644" customWidth="1"/>
    <col min="1817" max="1817" width="8.453125" style="644" customWidth="1"/>
    <col min="1818" max="1818" width="10.453125" style="644" customWidth="1"/>
    <col min="1819" max="1819" width="5.453125" style="644" customWidth="1"/>
    <col min="1820" max="2048" width="9.1796875" style="644"/>
    <col min="2049" max="2050" width="3.453125" style="644" customWidth="1"/>
    <col min="2051" max="2051" width="2.453125" style="644" customWidth="1"/>
    <col min="2052" max="2052" width="12.453125" style="644" bestFit="1" customWidth="1"/>
    <col min="2053" max="2055" width="9.1796875" style="644"/>
    <col min="2056" max="2056" width="4.54296875" style="644" customWidth="1"/>
    <col min="2057" max="2057" width="9.54296875" style="644" customWidth="1"/>
    <col min="2058" max="2058" width="9.453125" style="644" customWidth="1"/>
    <col min="2059" max="2059" width="15.1796875" style="644" customWidth="1"/>
    <col min="2060" max="2060" width="10.453125" style="644" customWidth="1"/>
    <col min="2061" max="2061" width="5.453125" style="644" customWidth="1"/>
    <col min="2062" max="2062" width="3.453125" style="644" customWidth="1"/>
    <col min="2063" max="2063" width="7.453125" style="644" customWidth="1"/>
    <col min="2064" max="2064" width="3.453125" style="644" customWidth="1"/>
    <col min="2065" max="2065" width="2.453125" style="644" customWidth="1"/>
    <col min="2066" max="2066" width="12.453125" style="644" bestFit="1" customWidth="1"/>
    <col min="2067" max="2069" width="9.1796875" style="644"/>
    <col min="2070" max="2070" width="4.54296875" style="644" customWidth="1"/>
    <col min="2071" max="2071" width="9.54296875" style="644" customWidth="1"/>
    <col min="2072" max="2072" width="9.453125" style="644" customWidth="1"/>
    <col min="2073" max="2073" width="8.453125" style="644" customWidth="1"/>
    <col min="2074" max="2074" width="10.453125" style="644" customWidth="1"/>
    <col min="2075" max="2075" width="5.453125" style="644" customWidth="1"/>
    <col min="2076" max="2304" width="9.1796875" style="644"/>
    <col min="2305" max="2306" width="3.453125" style="644" customWidth="1"/>
    <col min="2307" max="2307" width="2.453125" style="644" customWidth="1"/>
    <col min="2308" max="2308" width="12.453125" style="644" bestFit="1" customWidth="1"/>
    <col min="2309" max="2311" width="9.1796875" style="644"/>
    <col min="2312" max="2312" width="4.54296875" style="644" customWidth="1"/>
    <col min="2313" max="2313" width="9.54296875" style="644" customWidth="1"/>
    <col min="2314" max="2314" width="9.453125" style="644" customWidth="1"/>
    <col min="2315" max="2315" width="15.1796875" style="644" customWidth="1"/>
    <col min="2316" max="2316" width="10.453125" style="644" customWidth="1"/>
    <col min="2317" max="2317" width="5.453125" style="644" customWidth="1"/>
    <col min="2318" max="2318" width="3.453125" style="644" customWidth="1"/>
    <col min="2319" max="2319" width="7.453125" style="644" customWidth="1"/>
    <col min="2320" max="2320" width="3.453125" style="644" customWidth="1"/>
    <col min="2321" max="2321" width="2.453125" style="644" customWidth="1"/>
    <col min="2322" max="2322" width="12.453125" style="644" bestFit="1" customWidth="1"/>
    <col min="2323" max="2325" width="9.1796875" style="644"/>
    <col min="2326" max="2326" width="4.54296875" style="644" customWidth="1"/>
    <col min="2327" max="2327" width="9.54296875" style="644" customWidth="1"/>
    <col min="2328" max="2328" width="9.453125" style="644" customWidth="1"/>
    <col min="2329" max="2329" width="8.453125" style="644" customWidth="1"/>
    <col min="2330" max="2330" width="10.453125" style="644" customWidth="1"/>
    <col min="2331" max="2331" width="5.453125" style="644" customWidth="1"/>
    <col min="2332" max="2560" width="9.1796875" style="644"/>
    <col min="2561" max="2562" width="3.453125" style="644" customWidth="1"/>
    <col min="2563" max="2563" width="2.453125" style="644" customWidth="1"/>
    <col min="2564" max="2564" width="12.453125" style="644" bestFit="1" customWidth="1"/>
    <col min="2565" max="2567" width="9.1796875" style="644"/>
    <col min="2568" max="2568" width="4.54296875" style="644" customWidth="1"/>
    <col min="2569" max="2569" width="9.54296875" style="644" customWidth="1"/>
    <col min="2570" max="2570" width="9.453125" style="644" customWidth="1"/>
    <col min="2571" max="2571" width="15.1796875" style="644" customWidth="1"/>
    <col min="2572" max="2572" width="10.453125" style="644" customWidth="1"/>
    <col min="2573" max="2573" width="5.453125" style="644" customWidth="1"/>
    <col min="2574" max="2574" width="3.453125" style="644" customWidth="1"/>
    <col min="2575" max="2575" width="7.453125" style="644" customWidth="1"/>
    <col min="2576" max="2576" width="3.453125" style="644" customWidth="1"/>
    <col min="2577" max="2577" width="2.453125" style="644" customWidth="1"/>
    <col min="2578" max="2578" width="12.453125" style="644" bestFit="1" customWidth="1"/>
    <col min="2579" max="2581" width="9.1796875" style="644"/>
    <col min="2582" max="2582" width="4.54296875" style="644" customWidth="1"/>
    <col min="2583" max="2583" width="9.54296875" style="644" customWidth="1"/>
    <col min="2584" max="2584" width="9.453125" style="644" customWidth="1"/>
    <col min="2585" max="2585" width="8.453125" style="644" customWidth="1"/>
    <col min="2586" max="2586" width="10.453125" style="644" customWidth="1"/>
    <col min="2587" max="2587" width="5.453125" style="644" customWidth="1"/>
    <col min="2588" max="2816" width="9.1796875" style="644"/>
    <col min="2817" max="2818" width="3.453125" style="644" customWidth="1"/>
    <col min="2819" max="2819" width="2.453125" style="644" customWidth="1"/>
    <col min="2820" max="2820" width="12.453125" style="644" bestFit="1" customWidth="1"/>
    <col min="2821" max="2823" width="9.1796875" style="644"/>
    <col min="2824" max="2824" width="4.54296875" style="644" customWidth="1"/>
    <col min="2825" max="2825" width="9.54296875" style="644" customWidth="1"/>
    <col min="2826" max="2826" width="9.453125" style="644" customWidth="1"/>
    <col min="2827" max="2827" width="15.1796875" style="644" customWidth="1"/>
    <col min="2828" max="2828" width="10.453125" style="644" customWidth="1"/>
    <col min="2829" max="2829" width="5.453125" style="644" customWidth="1"/>
    <col min="2830" max="2830" width="3.453125" style="644" customWidth="1"/>
    <col min="2831" max="2831" width="7.453125" style="644" customWidth="1"/>
    <col min="2832" max="2832" width="3.453125" style="644" customWidth="1"/>
    <col min="2833" max="2833" width="2.453125" style="644" customWidth="1"/>
    <col min="2834" max="2834" width="12.453125" style="644" bestFit="1" customWidth="1"/>
    <col min="2835" max="2837" width="9.1796875" style="644"/>
    <col min="2838" max="2838" width="4.54296875" style="644" customWidth="1"/>
    <col min="2839" max="2839" width="9.54296875" style="644" customWidth="1"/>
    <col min="2840" max="2840" width="9.453125" style="644" customWidth="1"/>
    <col min="2841" max="2841" width="8.453125" style="644" customWidth="1"/>
    <col min="2842" max="2842" width="10.453125" style="644" customWidth="1"/>
    <col min="2843" max="2843" width="5.453125" style="644" customWidth="1"/>
    <col min="2844" max="3072" width="9.1796875" style="644"/>
    <col min="3073" max="3074" width="3.453125" style="644" customWidth="1"/>
    <col min="3075" max="3075" width="2.453125" style="644" customWidth="1"/>
    <col min="3076" max="3076" width="12.453125" style="644" bestFit="1" customWidth="1"/>
    <col min="3077" max="3079" width="9.1796875" style="644"/>
    <col min="3080" max="3080" width="4.54296875" style="644" customWidth="1"/>
    <col min="3081" max="3081" width="9.54296875" style="644" customWidth="1"/>
    <col min="3082" max="3082" width="9.453125" style="644" customWidth="1"/>
    <col min="3083" max="3083" width="15.1796875" style="644" customWidth="1"/>
    <col min="3084" max="3084" width="10.453125" style="644" customWidth="1"/>
    <col min="3085" max="3085" width="5.453125" style="644" customWidth="1"/>
    <col min="3086" max="3086" width="3.453125" style="644" customWidth="1"/>
    <col min="3087" max="3087" width="7.453125" style="644" customWidth="1"/>
    <col min="3088" max="3088" width="3.453125" style="644" customWidth="1"/>
    <col min="3089" max="3089" width="2.453125" style="644" customWidth="1"/>
    <col min="3090" max="3090" width="12.453125" style="644" bestFit="1" customWidth="1"/>
    <col min="3091" max="3093" width="9.1796875" style="644"/>
    <col min="3094" max="3094" width="4.54296875" style="644" customWidth="1"/>
    <col min="3095" max="3095" width="9.54296875" style="644" customWidth="1"/>
    <col min="3096" max="3096" width="9.453125" style="644" customWidth="1"/>
    <col min="3097" max="3097" width="8.453125" style="644" customWidth="1"/>
    <col min="3098" max="3098" width="10.453125" style="644" customWidth="1"/>
    <col min="3099" max="3099" width="5.453125" style="644" customWidth="1"/>
    <col min="3100" max="3328" width="9.1796875" style="644"/>
    <col min="3329" max="3330" width="3.453125" style="644" customWidth="1"/>
    <col min="3331" max="3331" width="2.453125" style="644" customWidth="1"/>
    <col min="3332" max="3332" width="12.453125" style="644" bestFit="1" customWidth="1"/>
    <col min="3333" max="3335" width="9.1796875" style="644"/>
    <col min="3336" max="3336" width="4.54296875" style="644" customWidth="1"/>
    <col min="3337" max="3337" width="9.54296875" style="644" customWidth="1"/>
    <col min="3338" max="3338" width="9.453125" style="644" customWidth="1"/>
    <col min="3339" max="3339" width="15.1796875" style="644" customWidth="1"/>
    <col min="3340" max="3340" width="10.453125" style="644" customWidth="1"/>
    <col min="3341" max="3341" width="5.453125" style="644" customWidth="1"/>
    <col min="3342" max="3342" width="3.453125" style="644" customWidth="1"/>
    <col min="3343" max="3343" width="7.453125" style="644" customWidth="1"/>
    <col min="3344" max="3344" width="3.453125" style="644" customWidth="1"/>
    <col min="3345" max="3345" width="2.453125" style="644" customWidth="1"/>
    <col min="3346" max="3346" width="12.453125" style="644" bestFit="1" customWidth="1"/>
    <col min="3347" max="3349" width="9.1796875" style="644"/>
    <col min="3350" max="3350" width="4.54296875" style="644" customWidth="1"/>
    <col min="3351" max="3351" width="9.54296875" style="644" customWidth="1"/>
    <col min="3352" max="3352" width="9.453125" style="644" customWidth="1"/>
    <col min="3353" max="3353" width="8.453125" style="644" customWidth="1"/>
    <col min="3354" max="3354" width="10.453125" style="644" customWidth="1"/>
    <col min="3355" max="3355" width="5.453125" style="644" customWidth="1"/>
    <col min="3356" max="3584" width="9.1796875" style="644"/>
    <col min="3585" max="3586" width="3.453125" style="644" customWidth="1"/>
    <col min="3587" max="3587" width="2.453125" style="644" customWidth="1"/>
    <col min="3588" max="3588" width="12.453125" style="644" bestFit="1" customWidth="1"/>
    <col min="3589" max="3591" width="9.1796875" style="644"/>
    <col min="3592" max="3592" width="4.54296875" style="644" customWidth="1"/>
    <col min="3593" max="3593" width="9.54296875" style="644" customWidth="1"/>
    <col min="3594" max="3594" width="9.453125" style="644" customWidth="1"/>
    <col min="3595" max="3595" width="15.1796875" style="644" customWidth="1"/>
    <col min="3596" max="3596" width="10.453125" style="644" customWidth="1"/>
    <col min="3597" max="3597" width="5.453125" style="644" customWidth="1"/>
    <col min="3598" max="3598" width="3.453125" style="644" customWidth="1"/>
    <col min="3599" max="3599" width="7.453125" style="644" customWidth="1"/>
    <col min="3600" max="3600" width="3.453125" style="644" customWidth="1"/>
    <col min="3601" max="3601" width="2.453125" style="644" customWidth="1"/>
    <col min="3602" max="3602" width="12.453125" style="644" bestFit="1" customWidth="1"/>
    <col min="3603" max="3605" width="9.1796875" style="644"/>
    <col min="3606" max="3606" width="4.54296875" style="644" customWidth="1"/>
    <col min="3607" max="3607" width="9.54296875" style="644" customWidth="1"/>
    <col min="3608" max="3608" width="9.453125" style="644" customWidth="1"/>
    <col min="3609" max="3609" width="8.453125" style="644" customWidth="1"/>
    <col min="3610" max="3610" width="10.453125" style="644" customWidth="1"/>
    <col min="3611" max="3611" width="5.453125" style="644" customWidth="1"/>
    <col min="3612" max="3840" width="9.1796875" style="644"/>
    <col min="3841" max="3842" width="3.453125" style="644" customWidth="1"/>
    <col min="3843" max="3843" width="2.453125" style="644" customWidth="1"/>
    <col min="3844" max="3844" width="12.453125" style="644" bestFit="1" customWidth="1"/>
    <col min="3845" max="3847" width="9.1796875" style="644"/>
    <col min="3848" max="3848" width="4.54296875" style="644" customWidth="1"/>
    <col min="3849" max="3849" width="9.54296875" style="644" customWidth="1"/>
    <col min="3850" max="3850" width="9.453125" style="644" customWidth="1"/>
    <col min="3851" max="3851" width="15.1796875" style="644" customWidth="1"/>
    <col min="3852" max="3852" width="10.453125" style="644" customWidth="1"/>
    <col min="3853" max="3853" width="5.453125" style="644" customWidth="1"/>
    <col min="3854" max="3854" width="3.453125" style="644" customWidth="1"/>
    <col min="3855" max="3855" width="7.453125" style="644" customWidth="1"/>
    <col min="3856" max="3856" width="3.453125" style="644" customWidth="1"/>
    <col min="3857" max="3857" width="2.453125" style="644" customWidth="1"/>
    <col min="3858" max="3858" width="12.453125" style="644" bestFit="1" customWidth="1"/>
    <col min="3859" max="3861" width="9.1796875" style="644"/>
    <col min="3862" max="3862" width="4.54296875" style="644" customWidth="1"/>
    <col min="3863" max="3863" width="9.54296875" style="644" customWidth="1"/>
    <col min="3864" max="3864" width="9.453125" style="644" customWidth="1"/>
    <col min="3865" max="3865" width="8.453125" style="644" customWidth="1"/>
    <col min="3866" max="3866" width="10.453125" style="644" customWidth="1"/>
    <col min="3867" max="3867" width="5.453125" style="644" customWidth="1"/>
    <col min="3868" max="4096" width="9.1796875" style="644"/>
    <col min="4097" max="4098" width="3.453125" style="644" customWidth="1"/>
    <col min="4099" max="4099" width="2.453125" style="644" customWidth="1"/>
    <col min="4100" max="4100" width="12.453125" style="644" bestFit="1" customWidth="1"/>
    <col min="4101" max="4103" width="9.1796875" style="644"/>
    <col min="4104" max="4104" width="4.54296875" style="644" customWidth="1"/>
    <col min="4105" max="4105" width="9.54296875" style="644" customWidth="1"/>
    <col min="4106" max="4106" width="9.453125" style="644" customWidth="1"/>
    <col min="4107" max="4107" width="15.1796875" style="644" customWidth="1"/>
    <col min="4108" max="4108" width="10.453125" style="644" customWidth="1"/>
    <col min="4109" max="4109" width="5.453125" style="644" customWidth="1"/>
    <col min="4110" max="4110" width="3.453125" style="644" customWidth="1"/>
    <col min="4111" max="4111" width="7.453125" style="644" customWidth="1"/>
    <col min="4112" max="4112" width="3.453125" style="644" customWidth="1"/>
    <col min="4113" max="4113" width="2.453125" style="644" customWidth="1"/>
    <col min="4114" max="4114" width="12.453125" style="644" bestFit="1" customWidth="1"/>
    <col min="4115" max="4117" width="9.1796875" style="644"/>
    <col min="4118" max="4118" width="4.54296875" style="644" customWidth="1"/>
    <col min="4119" max="4119" width="9.54296875" style="644" customWidth="1"/>
    <col min="4120" max="4120" width="9.453125" style="644" customWidth="1"/>
    <col min="4121" max="4121" width="8.453125" style="644" customWidth="1"/>
    <col min="4122" max="4122" width="10.453125" style="644" customWidth="1"/>
    <col min="4123" max="4123" width="5.453125" style="644" customWidth="1"/>
    <col min="4124" max="4352" width="9.1796875" style="644"/>
    <col min="4353" max="4354" width="3.453125" style="644" customWidth="1"/>
    <col min="4355" max="4355" width="2.453125" style="644" customWidth="1"/>
    <col min="4356" max="4356" width="12.453125" style="644" bestFit="1" customWidth="1"/>
    <col min="4357" max="4359" width="9.1796875" style="644"/>
    <col min="4360" max="4360" width="4.54296875" style="644" customWidth="1"/>
    <col min="4361" max="4361" width="9.54296875" style="644" customWidth="1"/>
    <col min="4362" max="4362" width="9.453125" style="644" customWidth="1"/>
    <col min="4363" max="4363" width="15.1796875" style="644" customWidth="1"/>
    <col min="4364" max="4364" width="10.453125" style="644" customWidth="1"/>
    <col min="4365" max="4365" width="5.453125" style="644" customWidth="1"/>
    <col min="4366" max="4366" width="3.453125" style="644" customWidth="1"/>
    <col min="4367" max="4367" width="7.453125" style="644" customWidth="1"/>
    <col min="4368" max="4368" width="3.453125" style="644" customWidth="1"/>
    <col min="4369" max="4369" width="2.453125" style="644" customWidth="1"/>
    <col min="4370" max="4370" width="12.453125" style="644" bestFit="1" customWidth="1"/>
    <col min="4371" max="4373" width="9.1796875" style="644"/>
    <col min="4374" max="4374" width="4.54296875" style="644" customWidth="1"/>
    <col min="4375" max="4375" width="9.54296875" style="644" customWidth="1"/>
    <col min="4376" max="4376" width="9.453125" style="644" customWidth="1"/>
    <col min="4377" max="4377" width="8.453125" style="644" customWidth="1"/>
    <col min="4378" max="4378" width="10.453125" style="644" customWidth="1"/>
    <col min="4379" max="4379" width="5.453125" style="644" customWidth="1"/>
    <col min="4380" max="4608" width="9.1796875" style="644"/>
    <col min="4609" max="4610" width="3.453125" style="644" customWidth="1"/>
    <col min="4611" max="4611" width="2.453125" style="644" customWidth="1"/>
    <col min="4612" max="4612" width="12.453125" style="644" bestFit="1" customWidth="1"/>
    <col min="4613" max="4615" width="9.1796875" style="644"/>
    <col min="4616" max="4616" width="4.54296875" style="644" customWidth="1"/>
    <col min="4617" max="4617" width="9.54296875" style="644" customWidth="1"/>
    <col min="4618" max="4618" width="9.453125" style="644" customWidth="1"/>
    <col min="4619" max="4619" width="15.1796875" style="644" customWidth="1"/>
    <col min="4620" max="4620" width="10.453125" style="644" customWidth="1"/>
    <col min="4621" max="4621" width="5.453125" style="644" customWidth="1"/>
    <col min="4622" max="4622" width="3.453125" style="644" customWidth="1"/>
    <col min="4623" max="4623" width="7.453125" style="644" customWidth="1"/>
    <col min="4624" max="4624" width="3.453125" style="644" customWidth="1"/>
    <col min="4625" max="4625" width="2.453125" style="644" customWidth="1"/>
    <col min="4626" max="4626" width="12.453125" style="644" bestFit="1" customWidth="1"/>
    <col min="4627" max="4629" width="9.1796875" style="644"/>
    <col min="4630" max="4630" width="4.54296875" style="644" customWidth="1"/>
    <col min="4631" max="4631" width="9.54296875" style="644" customWidth="1"/>
    <col min="4632" max="4632" width="9.453125" style="644" customWidth="1"/>
    <col min="4633" max="4633" width="8.453125" style="644" customWidth="1"/>
    <col min="4634" max="4634" width="10.453125" style="644" customWidth="1"/>
    <col min="4635" max="4635" width="5.453125" style="644" customWidth="1"/>
    <col min="4636" max="4864" width="9.1796875" style="644"/>
    <col min="4865" max="4866" width="3.453125" style="644" customWidth="1"/>
    <col min="4867" max="4867" width="2.453125" style="644" customWidth="1"/>
    <col min="4868" max="4868" width="12.453125" style="644" bestFit="1" customWidth="1"/>
    <col min="4869" max="4871" width="9.1796875" style="644"/>
    <col min="4872" max="4872" width="4.54296875" style="644" customWidth="1"/>
    <col min="4873" max="4873" width="9.54296875" style="644" customWidth="1"/>
    <col min="4874" max="4874" width="9.453125" style="644" customWidth="1"/>
    <col min="4875" max="4875" width="15.1796875" style="644" customWidth="1"/>
    <col min="4876" max="4876" width="10.453125" style="644" customWidth="1"/>
    <col min="4877" max="4877" width="5.453125" style="644" customWidth="1"/>
    <col min="4878" max="4878" width="3.453125" style="644" customWidth="1"/>
    <col min="4879" max="4879" width="7.453125" style="644" customWidth="1"/>
    <col min="4880" max="4880" width="3.453125" style="644" customWidth="1"/>
    <col min="4881" max="4881" width="2.453125" style="644" customWidth="1"/>
    <col min="4882" max="4882" width="12.453125" style="644" bestFit="1" customWidth="1"/>
    <col min="4883" max="4885" width="9.1796875" style="644"/>
    <col min="4886" max="4886" width="4.54296875" style="644" customWidth="1"/>
    <col min="4887" max="4887" width="9.54296875" style="644" customWidth="1"/>
    <col min="4888" max="4888" width="9.453125" style="644" customWidth="1"/>
    <col min="4889" max="4889" width="8.453125" style="644" customWidth="1"/>
    <col min="4890" max="4890" width="10.453125" style="644" customWidth="1"/>
    <col min="4891" max="4891" width="5.453125" style="644" customWidth="1"/>
    <col min="4892" max="5120" width="9.1796875" style="644"/>
    <col min="5121" max="5122" width="3.453125" style="644" customWidth="1"/>
    <col min="5123" max="5123" width="2.453125" style="644" customWidth="1"/>
    <col min="5124" max="5124" width="12.453125" style="644" bestFit="1" customWidth="1"/>
    <col min="5125" max="5127" width="9.1796875" style="644"/>
    <col min="5128" max="5128" width="4.54296875" style="644" customWidth="1"/>
    <col min="5129" max="5129" width="9.54296875" style="644" customWidth="1"/>
    <col min="5130" max="5130" width="9.453125" style="644" customWidth="1"/>
    <col min="5131" max="5131" width="15.1796875" style="644" customWidth="1"/>
    <col min="5132" max="5132" width="10.453125" style="644" customWidth="1"/>
    <col min="5133" max="5133" width="5.453125" style="644" customWidth="1"/>
    <col min="5134" max="5134" width="3.453125" style="644" customWidth="1"/>
    <col min="5135" max="5135" width="7.453125" style="644" customWidth="1"/>
    <col min="5136" max="5136" width="3.453125" style="644" customWidth="1"/>
    <col min="5137" max="5137" width="2.453125" style="644" customWidth="1"/>
    <col min="5138" max="5138" width="12.453125" style="644" bestFit="1" customWidth="1"/>
    <col min="5139" max="5141" width="9.1796875" style="644"/>
    <col min="5142" max="5142" width="4.54296875" style="644" customWidth="1"/>
    <col min="5143" max="5143" width="9.54296875" style="644" customWidth="1"/>
    <col min="5144" max="5144" width="9.453125" style="644" customWidth="1"/>
    <col min="5145" max="5145" width="8.453125" style="644" customWidth="1"/>
    <col min="5146" max="5146" width="10.453125" style="644" customWidth="1"/>
    <col min="5147" max="5147" width="5.453125" style="644" customWidth="1"/>
    <col min="5148" max="5376" width="9.1796875" style="644"/>
    <col min="5377" max="5378" width="3.453125" style="644" customWidth="1"/>
    <col min="5379" max="5379" width="2.453125" style="644" customWidth="1"/>
    <col min="5380" max="5380" width="12.453125" style="644" bestFit="1" customWidth="1"/>
    <col min="5381" max="5383" width="9.1796875" style="644"/>
    <col min="5384" max="5384" width="4.54296875" style="644" customWidth="1"/>
    <col min="5385" max="5385" width="9.54296875" style="644" customWidth="1"/>
    <col min="5386" max="5386" width="9.453125" style="644" customWidth="1"/>
    <col min="5387" max="5387" width="15.1796875" style="644" customWidth="1"/>
    <col min="5388" max="5388" width="10.453125" style="644" customWidth="1"/>
    <col min="5389" max="5389" width="5.453125" style="644" customWidth="1"/>
    <col min="5390" max="5390" width="3.453125" style="644" customWidth="1"/>
    <col min="5391" max="5391" width="7.453125" style="644" customWidth="1"/>
    <col min="5392" max="5392" width="3.453125" style="644" customWidth="1"/>
    <col min="5393" max="5393" width="2.453125" style="644" customWidth="1"/>
    <col min="5394" max="5394" width="12.453125" style="644" bestFit="1" customWidth="1"/>
    <col min="5395" max="5397" width="9.1796875" style="644"/>
    <col min="5398" max="5398" width="4.54296875" style="644" customWidth="1"/>
    <col min="5399" max="5399" width="9.54296875" style="644" customWidth="1"/>
    <col min="5400" max="5400" width="9.453125" style="644" customWidth="1"/>
    <col min="5401" max="5401" width="8.453125" style="644" customWidth="1"/>
    <col min="5402" max="5402" width="10.453125" style="644" customWidth="1"/>
    <col min="5403" max="5403" width="5.453125" style="644" customWidth="1"/>
    <col min="5404" max="5632" width="9.1796875" style="644"/>
    <col min="5633" max="5634" width="3.453125" style="644" customWidth="1"/>
    <col min="5635" max="5635" width="2.453125" style="644" customWidth="1"/>
    <col min="5636" max="5636" width="12.453125" style="644" bestFit="1" customWidth="1"/>
    <col min="5637" max="5639" width="9.1796875" style="644"/>
    <col min="5640" max="5640" width="4.54296875" style="644" customWidth="1"/>
    <col min="5641" max="5641" width="9.54296875" style="644" customWidth="1"/>
    <col min="5642" max="5642" width="9.453125" style="644" customWidth="1"/>
    <col min="5643" max="5643" width="15.1796875" style="644" customWidth="1"/>
    <col min="5644" max="5644" width="10.453125" style="644" customWidth="1"/>
    <col min="5645" max="5645" width="5.453125" style="644" customWidth="1"/>
    <col min="5646" max="5646" width="3.453125" style="644" customWidth="1"/>
    <col min="5647" max="5647" width="7.453125" style="644" customWidth="1"/>
    <col min="5648" max="5648" width="3.453125" style="644" customWidth="1"/>
    <col min="5649" max="5649" width="2.453125" style="644" customWidth="1"/>
    <col min="5650" max="5650" width="12.453125" style="644" bestFit="1" customWidth="1"/>
    <col min="5651" max="5653" width="9.1796875" style="644"/>
    <col min="5654" max="5654" width="4.54296875" style="644" customWidth="1"/>
    <col min="5655" max="5655" width="9.54296875" style="644" customWidth="1"/>
    <col min="5656" max="5656" width="9.453125" style="644" customWidth="1"/>
    <col min="5657" max="5657" width="8.453125" style="644" customWidth="1"/>
    <col min="5658" max="5658" width="10.453125" style="644" customWidth="1"/>
    <col min="5659" max="5659" width="5.453125" style="644" customWidth="1"/>
    <col min="5660" max="5888" width="9.1796875" style="644"/>
    <col min="5889" max="5890" width="3.453125" style="644" customWidth="1"/>
    <col min="5891" max="5891" width="2.453125" style="644" customWidth="1"/>
    <col min="5892" max="5892" width="12.453125" style="644" bestFit="1" customWidth="1"/>
    <col min="5893" max="5895" width="9.1796875" style="644"/>
    <col min="5896" max="5896" width="4.54296875" style="644" customWidth="1"/>
    <col min="5897" max="5897" width="9.54296875" style="644" customWidth="1"/>
    <col min="5898" max="5898" width="9.453125" style="644" customWidth="1"/>
    <col min="5899" max="5899" width="15.1796875" style="644" customWidth="1"/>
    <col min="5900" max="5900" width="10.453125" style="644" customWidth="1"/>
    <col min="5901" max="5901" width="5.453125" style="644" customWidth="1"/>
    <col min="5902" max="5902" width="3.453125" style="644" customWidth="1"/>
    <col min="5903" max="5903" width="7.453125" style="644" customWidth="1"/>
    <col min="5904" max="5904" width="3.453125" style="644" customWidth="1"/>
    <col min="5905" max="5905" width="2.453125" style="644" customWidth="1"/>
    <col min="5906" max="5906" width="12.453125" style="644" bestFit="1" customWidth="1"/>
    <col min="5907" max="5909" width="9.1796875" style="644"/>
    <col min="5910" max="5910" width="4.54296875" style="644" customWidth="1"/>
    <col min="5911" max="5911" width="9.54296875" style="644" customWidth="1"/>
    <col min="5912" max="5912" width="9.453125" style="644" customWidth="1"/>
    <col min="5913" max="5913" width="8.453125" style="644" customWidth="1"/>
    <col min="5914" max="5914" width="10.453125" style="644" customWidth="1"/>
    <col min="5915" max="5915" width="5.453125" style="644" customWidth="1"/>
    <col min="5916" max="6144" width="9.1796875" style="644"/>
    <col min="6145" max="6146" width="3.453125" style="644" customWidth="1"/>
    <col min="6147" max="6147" width="2.453125" style="644" customWidth="1"/>
    <col min="6148" max="6148" width="12.453125" style="644" bestFit="1" customWidth="1"/>
    <col min="6149" max="6151" width="9.1796875" style="644"/>
    <col min="6152" max="6152" width="4.54296875" style="644" customWidth="1"/>
    <col min="6153" max="6153" width="9.54296875" style="644" customWidth="1"/>
    <col min="6154" max="6154" width="9.453125" style="644" customWidth="1"/>
    <col min="6155" max="6155" width="15.1796875" style="644" customWidth="1"/>
    <col min="6156" max="6156" width="10.453125" style="644" customWidth="1"/>
    <col min="6157" max="6157" width="5.453125" style="644" customWidth="1"/>
    <col min="6158" max="6158" width="3.453125" style="644" customWidth="1"/>
    <col min="6159" max="6159" width="7.453125" style="644" customWidth="1"/>
    <col min="6160" max="6160" width="3.453125" style="644" customWidth="1"/>
    <col min="6161" max="6161" width="2.453125" style="644" customWidth="1"/>
    <col min="6162" max="6162" width="12.453125" style="644" bestFit="1" customWidth="1"/>
    <col min="6163" max="6165" width="9.1796875" style="644"/>
    <col min="6166" max="6166" width="4.54296875" style="644" customWidth="1"/>
    <col min="6167" max="6167" width="9.54296875" style="644" customWidth="1"/>
    <col min="6168" max="6168" width="9.453125" style="644" customWidth="1"/>
    <col min="6169" max="6169" width="8.453125" style="644" customWidth="1"/>
    <col min="6170" max="6170" width="10.453125" style="644" customWidth="1"/>
    <col min="6171" max="6171" width="5.453125" style="644" customWidth="1"/>
    <col min="6172" max="6400" width="9.1796875" style="644"/>
    <col min="6401" max="6402" width="3.453125" style="644" customWidth="1"/>
    <col min="6403" max="6403" width="2.453125" style="644" customWidth="1"/>
    <col min="6404" max="6404" width="12.453125" style="644" bestFit="1" customWidth="1"/>
    <col min="6405" max="6407" width="9.1796875" style="644"/>
    <col min="6408" max="6408" width="4.54296875" style="644" customWidth="1"/>
    <col min="6409" max="6409" width="9.54296875" style="644" customWidth="1"/>
    <col min="6410" max="6410" width="9.453125" style="644" customWidth="1"/>
    <col min="6411" max="6411" width="15.1796875" style="644" customWidth="1"/>
    <col min="6412" max="6412" width="10.453125" style="644" customWidth="1"/>
    <col min="6413" max="6413" width="5.453125" style="644" customWidth="1"/>
    <col min="6414" max="6414" width="3.453125" style="644" customWidth="1"/>
    <col min="6415" max="6415" width="7.453125" style="644" customWidth="1"/>
    <col min="6416" max="6416" width="3.453125" style="644" customWidth="1"/>
    <col min="6417" max="6417" width="2.453125" style="644" customWidth="1"/>
    <col min="6418" max="6418" width="12.453125" style="644" bestFit="1" customWidth="1"/>
    <col min="6419" max="6421" width="9.1796875" style="644"/>
    <col min="6422" max="6422" width="4.54296875" style="644" customWidth="1"/>
    <col min="6423" max="6423" width="9.54296875" style="644" customWidth="1"/>
    <col min="6424" max="6424" width="9.453125" style="644" customWidth="1"/>
    <col min="6425" max="6425" width="8.453125" style="644" customWidth="1"/>
    <col min="6426" max="6426" width="10.453125" style="644" customWidth="1"/>
    <col min="6427" max="6427" width="5.453125" style="644" customWidth="1"/>
    <col min="6428" max="6656" width="9.1796875" style="644"/>
    <col min="6657" max="6658" width="3.453125" style="644" customWidth="1"/>
    <col min="6659" max="6659" width="2.453125" style="644" customWidth="1"/>
    <col min="6660" max="6660" width="12.453125" style="644" bestFit="1" customWidth="1"/>
    <col min="6661" max="6663" width="9.1796875" style="644"/>
    <col min="6664" max="6664" width="4.54296875" style="644" customWidth="1"/>
    <col min="6665" max="6665" width="9.54296875" style="644" customWidth="1"/>
    <col min="6666" max="6666" width="9.453125" style="644" customWidth="1"/>
    <col min="6667" max="6667" width="15.1796875" style="644" customWidth="1"/>
    <col min="6668" max="6668" width="10.453125" style="644" customWidth="1"/>
    <col min="6669" max="6669" width="5.453125" style="644" customWidth="1"/>
    <col min="6670" max="6670" width="3.453125" style="644" customWidth="1"/>
    <col min="6671" max="6671" width="7.453125" style="644" customWidth="1"/>
    <col min="6672" max="6672" width="3.453125" style="644" customWidth="1"/>
    <col min="6673" max="6673" width="2.453125" style="644" customWidth="1"/>
    <col min="6674" max="6674" width="12.453125" style="644" bestFit="1" customWidth="1"/>
    <col min="6675" max="6677" width="9.1796875" style="644"/>
    <col min="6678" max="6678" width="4.54296875" style="644" customWidth="1"/>
    <col min="6679" max="6679" width="9.54296875" style="644" customWidth="1"/>
    <col min="6680" max="6680" width="9.453125" style="644" customWidth="1"/>
    <col min="6681" max="6681" width="8.453125" style="644" customWidth="1"/>
    <col min="6682" max="6682" width="10.453125" style="644" customWidth="1"/>
    <col min="6683" max="6683" width="5.453125" style="644" customWidth="1"/>
    <col min="6684" max="6912" width="9.1796875" style="644"/>
    <col min="6913" max="6914" width="3.453125" style="644" customWidth="1"/>
    <col min="6915" max="6915" width="2.453125" style="644" customWidth="1"/>
    <col min="6916" max="6916" width="12.453125" style="644" bestFit="1" customWidth="1"/>
    <col min="6917" max="6919" width="9.1796875" style="644"/>
    <col min="6920" max="6920" width="4.54296875" style="644" customWidth="1"/>
    <col min="6921" max="6921" width="9.54296875" style="644" customWidth="1"/>
    <col min="6922" max="6922" width="9.453125" style="644" customWidth="1"/>
    <col min="6923" max="6923" width="15.1796875" style="644" customWidth="1"/>
    <col min="6924" max="6924" width="10.453125" style="644" customWidth="1"/>
    <col min="6925" max="6925" width="5.453125" style="644" customWidth="1"/>
    <col min="6926" max="6926" width="3.453125" style="644" customWidth="1"/>
    <col min="6927" max="6927" width="7.453125" style="644" customWidth="1"/>
    <col min="6928" max="6928" width="3.453125" style="644" customWidth="1"/>
    <col min="6929" max="6929" width="2.453125" style="644" customWidth="1"/>
    <col min="6930" max="6930" width="12.453125" style="644" bestFit="1" customWidth="1"/>
    <col min="6931" max="6933" width="9.1796875" style="644"/>
    <col min="6934" max="6934" width="4.54296875" style="644" customWidth="1"/>
    <col min="6935" max="6935" width="9.54296875" style="644" customWidth="1"/>
    <col min="6936" max="6936" width="9.453125" style="644" customWidth="1"/>
    <col min="6937" max="6937" width="8.453125" style="644" customWidth="1"/>
    <col min="6938" max="6938" width="10.453125" style="644" customWidth="1"/>
    <col min="6939" max="6939" width="5.453125" style="644" customWidth="1"/>
    <col min="6940" max="7168" width="9.1796875" style="644"/>
    <col min="7169" max="7170" width="3.453125" style="644" customWidth="1"/>
    <col min="7171" max="7171" width="2.453125" style="644" customWidth="1"/>
    <col min="7172" max="7172" width="12.453125" style="644" bestFit="1" customWidth="1"/>
    <col min="7173" max="7175" width="9.1796875" style="644"/>
    <col min="7176" max="7176" width="4.54296875" style="644" customWidth="1"/>
    <col min="7177" max="7177" width="9.54296875" style="644" customWidth="1"/>
    <col min="7178" max="7178" width="9.453125" style="644" customWidth="1"/>
    <col min="7179" max="7179" width="15.1796875" style="644" customWidth="1"/>
    <col min="7180" max="7180" width="10.453125" style="644" customWidth="1"/>
    <col min="7181" max="7181" width="5.453125" style="644" customWidth="1"/>
    <col min="7182" max="7182" width="3.453125" style="644" customWidth="1"/>
    <col min="7183" max="7183" width="7.453125" style="644" customWidth="1"/>
    <col min="7184" max="7184" width="3.453125" style="644" customWidth="1"/>
    <col min="7185" max="7185" width="2.453125" style="644" customWidth="1"/>
    <col min="7186" max="7186" width="12.453125" style="644" bestFit="1" customWidth="1"/>
    <col min="7187" max="7189" width="9.1796875" style="644"/>
    <col min="7190" max="7190" width="4.54296875" style="644" customWidth="1"/>
    <col min="7191" max="7191" width="9.54296875" style="644" customWidth="1"/>
    <col min="7192" max="7192" width="9.453125" style="644" customWidth="1"/>
    <col min="7193" max="7193" width="8.453125" style="644" customWidth="1"/>
    <col min="7194" max="7194" width="10.453125" style="644" customWidth="1"/>
    <col min="7195" max="7195" width="5.453125" style="644" customWidth="1"/>
    <col min="7196" max="7424" width="9.1796875" style="644"/>
    <col min="7425" max="7426" width="3.453125" style="644" customWidth="1"/>
    <col min="7427" max="7427" width="2.453125" style="644" customWidth="1"/>
    <col min="7428" max="7428" width="12.453125" style="644" bestFit="1" customWidth="1"/>
    <col min="7429" max="7431" width="9.1796875" style="644"/>
    <col min="7432" max="7432" width="4.54296875" style="644" customWidth="1"/>
    <col min="7433" max="7433" width="9.54296875" style="644" customWidth="1"/>
    <col min="7434" max="7434" width="9.453125" style="644" customWidth="1"/>
    <col min="7435" max="7435" width="15.1796875" style="644" customWidth="1"/>
    <col min="7436" max="7436" width="10.453125" style="644" customWidth="1"/>
    <col min="7437" max="7437" width="5.453125" style="644" customWidth="1"/>
    <col min="7438" max="7438" width="3.453125" style="644" customWidth="1"/>
    <col min="7439" max="7439" width="7.453125" style="644" customWidth="1"/>
    <col min="7440" max="7440" width="3.453125" style="644" customWidth="1"/>
    <col min="7441" max="7441" width="2.453125" style="644" customWidth="1"/>
    <col min="7442" max="7442" width="12.453125" style="644" bestFit="1" customWidth="1"/>
    <col min="7443" max="7445" width="9.1796875" style="644"/>
    <col min="7446" max="7446" width="4.54296875" style="644" customWidth="1"/>
    <col min="7447" max="7447" width="9.54296875" style="644" customWidth="1"/>
    <col min="7448" max="7448" width="9.453125" style="644" customWidth="1"/>
    <col min="7449" max="7449" width="8.453125" style="644" customWidth="1"/>
    <col min="7450" max="7450" width="10.453125" style="644" customWidth="1"/>
    <col min="7451" max="7451" width="5.453125" style="644" customWidth="1"/>
    <col min="7452" max="7680" width="9.1796875" style="644"/>
    <col min="7681" max="7682" width="3.453125" style="644" customWidth="1"/>
    <col min="7683" max="7683" width="2.453125" style="644" customWidth="1"/>
    <col min="7684" max="7684" width="12.453125" style="644" bestFit="1" customWidth="1"/>
    <col min="7685" max="7687" width="9.1796875" style="644"/>
    <col min="7688" max="7688" width="4.54296875" style="644" customWidth="1"/>
    <col min="7689" max="7689" width="9.54296875" style="644" customWidth="1"/>
    <col min="7690" max="7690" width="9.453125" style="644" customWidth="1"/>
    <col min="7691" max="7691" width="15.1796875" style="644" customWidth="1"/>
    <col min="7692" max="7692" width="10.453125" style="644" customWidth="1"/>
    <col min="7693" max="7693" width="5.453125" style="644" customWidth="1"/>
    <col min="7694" max="7694" width="3.453125" style="644" customWidth="1"/>
    <col min="7695" max="7695" width="7.453125" style="644" customWidth="1"/>
    <col min="7696" max="7696" width="3.453125" style="644" customWidth="1"/>
    <col min="7697" max="7697" width="2.453125" style="644" customWidth="1"/>
    <col min="7698" max="7698" width="12.453125" style="644" bestFit="1" customWidth="1"/>
    <col min="7699" max="7701" width="9.1796875" style="644"/>
    <col min="7702" max="7702" width="4.54296875" style="644" customWidth="1"/>
    <col min="7703" max="7703" width="9.54296875" style="644" customWidth="1"/>
    <col min="7704" max="7704" width="9.453125" style="644" customWidth="1"/>
    <col min="7705" max="7705" width="8.453125" style="644" customWidth="1"/>
    <col min="7706" max="7706" width="10.453125" style="644" customWidth="1"/>
    <col min="7707" max="7707" width="5.453125" style="644" customWidth="1"/>
    <col min="7708" max="7936" width="9.1796875" style="644"/>
    <col min="7937" max="7938" width="3.453125" style="644" customWidth="1"/>
    <col min="7939" max="7939" width="2.453125" style="644" customWidth="1"/>
    <col min="7940" max="7940" width="12.453125" style="644" bestFit="1" customWidth="1"/>
    <col min="7941" max="7943" width="9.1796875" style="644"/>
    <col min="7944" max="7944" width="4.54296875" style="644" customWidth="1"/>
    <col min="7945" max="7945" width="9.54296875" style="644" customWidth="1"/>
    <col min="7946" max="7946" width="9.453125" style="644" customWidth="1"/>
    <col min="7947" max="7947" width="15.1796875" style="644" customWidth="1"/>
    <col min="7948" max="7948" width="10.453125" style="644" customWidth="1"/>
    <col min="7949" max="7949" width="5.453125" style="644" customWidth="1"/>
    <col min="7950" max="7950" width="3.453125" style="644" customWidth="1"/>
    <col min="7951" max="7951" width="7.453125" style="644" customWidth="1"/>
    <col min="7952" max="7952" width="3.453125" style="644" customWidth="1"/>
    <col min="7953" max="7953" width="2.453125" style="644" customWidth="1"/>
    <col min="7954" max="7954" width="12.453125" style="644" bestFit="1" customWidth="1"/>
    <col min="7955" max="7957" width="9.1796875" style="644"/>
    <col min="7958" max="7958" width="4.54296875" style="644" customWidth="1"/>
    <col min="7959" max="7959" width="9.54296875" style="644" customWidth="1"/>
    <col min="7960" max="7960" width="9.453125" style="644" customWidth="1"/>
    <col min="7961" max="7961" width="8.453125" style="644" customWidth="1"/>
    <col min="7962" max="7962" width="10.453125" style="644" customWidth="1"/>
    <col min="7963" max="7963" width="5.453125" style="644" customWidth="1"/>
    <col min="7964" max="8192" width="9.1796875" style="644"/>
    <col min="8193" max="8194" width="3.453125" style="644" customWidth="1"/>
    <col min="8195" max="8195" width="2.453125" style="644" customWidth="1"/>
    <col min="8196" max="8196" width="12.453125" style="644" bestFit="1" customWidth="1"/>
    <col min="8197" max="8199" width="9.1796875" style="644"/>
    <col min="8200" max="8200" width="4.54296875" style="644" customWidth="1"/>
    <col min="8201" max="8201" width="9.54296875" style="644" customWidth="1"/>
    <col min="8202" max="8202" width="9.453125" style="644" customWidth="1"/>
    <col min="8203" max="8203" width="15.1796875" style="644" customWidth="1"/>
    <col min="8204" max="8204" width="10.453125" style="644" customWidth="1"/>
    <col min="8205" max="8205" width="5.453125" style="644" customWidth="1"/>
    <col min="8206" max="8206" width="3.453125" style="644" customWidth="1"/>
    <col min="8207" max="8207" width="7.453125" style="644" customWidth="1"/>
    <col min="8208" max="8208" width="3.453125" style="644" customWidth="1"/>
    <col min="8209" max="8209" width="2.453125" style="644" customWidth="1"/>
    <col min="8210" max="8210" width="12.453125" style="644" bestFit="1" customWidth="1"/>
    <col min="8211" max="8213" width="9.1796875" style="644"/>
    <col min="8214" max="8214" width="4.54296875" style="644" customWidth="1"/>
    <col min="8215" max="8215" width="9.54296875" style="644" customWidth="1"/>
    <col min="8216" max="8216" width="9.453125" style="644" customWidth="1"/>
    <col min="8217" max="8217" width="8.453125" style="644" customWidth="1"/>
    <col min="8218" max="8218" width="10.453125" style="644" customWidth="1"/>
    <col min="8219" max="8219" width="5.453125" style="644" customWidth="1"/>
    <col min="8220" max="8448" width="9.1796875" style="644"/>
    <col min="8449" max="8450" width="3.453125" style="644" customWidth="1"/>
    <col min="8451" max="8451" width="2.453125" style="644" customWidth="1"/>
    <col min="8452" max="8452" width="12.453125" style="644" bestFit="1" customWidth="1"/>
    <col min="8453" max="8455" width="9.1796875" style="644"/>
    <col min="8456" max="8456" width="4.54296875" style="644" customWidth="1"/>
    <col min="8457" max="8457" width="9.54296875" style="644" customWidth="1"/>
    <col min="8458" max="8458" width="9.453125" style="644" customWidth="1"/>
    <col min="8459" max="8459" width="15.1796875" style="644" customWidth="1"/>
    <col min="8460" max="8460" width="10.453125" style="644" customWidth="1"/>
    <col min="8461" max="8461" width="5.453125" style="644" customWidth="1"/>
    <col min="8462" max="8462" width="3.453125" style="644" customWidth="1"/>
    <col min="8463" max="8463" width="7.453125" style="644" customWidth="1"/>
    <col min="8464" max="8464" width="3.453125" style="644" customWidth="1"/>
    <col min="8465" max="8465" width="2.453125" style="644" customWidth="1"/>
    <col min="8466" max="8466" width="12.453125" style="644" bestFit="1" customWidth="1"/>
    <col min="8467" max="8469" width="9.1796875" style="644"/>
    <col min="8470" max="8470" width="4.54296875" style="644" customWidth="1"/>
    <col min="8471" max="8471" width="9.54296875" style="644" customWidth="1"/>
    <col min="8472" max="8472" width="9.453125" style="644" customWidth="1"/>
    <col min="8473" max="8473" width="8.453125" style="644" customWidth="1"/>
    <col min="8474" max="8474" width="10.453125" style="644" customWidth="1"/>
    <col min="8475" max="8475" width="5.453125" style="644" customWidth="1"/>
    <col min="8476" max="8704" width="9.1796875" style="644"/>
    <col min="8705" max="8706" width="3.453125" style="644" customWidth="1"/>
    <col min="8707" max="8707" width="2.453125" style="644" customWidth="1"/>
    <col min="8708" max="8708" width="12.453125" style="644" bestFit="1" customWidth="1"/>
    <col min="8709" max="8711" width="9.1796875" style="644"/>
    <col min="8712" max="8712" width="4.54296875" style="644" customWidth="1"/>
    <col min="8713" max="8713" width="9.54296875" style="644" customWidth="1"/>
    <col min="8714" max="8714" width="9.453125" style="644" customWidth="1"/>
    <col min="8715" max="8715" width="15.1796875" style="644" customWidth="1"/>
    <col min="8716" max="8716" width="10.453125" style="644" customWidth="1"/>
    <col min="8717" max="8717" width="5.453125" style="644" customWidth="1"/>
    <col min="8718" max="8718" width="3.453125" style="644" customWidth="1"/>
    <col min="8719" max="8719" width="7.453125" style="644" customWidth="1"/>
    <col min="8720" max="8720" width="3.453125" style="644" customWidth="1"/>
    <col min="8721" max="8721" width="2.453125" style="644" customWidth="1"/>
    <col min="8722" max="8722" width="12.453125" style="644" bestFit="1" customWidth="1"/>
    <col min="8723" max="8725" width="9.1796875" style="644"/>
    <col min="8726" max="8726" width="4.54296875" style="644" customWidth="1"/>
    <col min="8727" max="8727" width="9.54296875" style="644" customWidth="1"/>
    <col min="8728" max="8728" width="9.453125" style="644" customWidth="1"/>
    <col min="8729" max="8729" width="8.453125" style="644" customWidth="1"/>
    <col min="8730" max="8730" width="10.453125" style="644" customWidth="1"/>
    <col min="8731" max="8731" width="5.453125" style="644" customWidth="1"/>
    <col min="8732" max="8960" width="9.1796875" style="644"/>
    <col min="8961" max="8962" width="3.453125" style="644" customWidth="1"/>
    <col min="8963" max="8963" width="2.453125" style="644" customWidth="1"/>
    <col min="8964" max="8964" width="12.453125" style="644" bestFit="1" customWidth="1"/>
    <col min="8965" max="8967" width="9.1796875" style="644"/>
    <col min="8968" max="8968" width="4.54296875" style="644" customWidth="1"/>
    <col min="8969" max="8969" width="9.54296875" style="644" customWidth="1"/>
    <col min="8970" max="8970" width="9.453125" style="644" customWidth="1"/>
    <col min="8971" max="8971" width="15.1796875" style="644" customWidth="1"/>
    <col min="8972" max="8972" width="10.453125" style="644" customWidth="1"/>
    <col min="8973" max="8973" width="5.453125" style="644" customWidth="1"/>
    <col min="8974" max="8974" width="3.453125" style="644" customWidth="1"/>
    <col min="8975" max="8975" width="7.453125" style="644" customWidth="1"/>
    <col min="8976" max="8976" width="3.453125" style="644" customWidth="1"/>
    <col min="8977" max="8977" width="2.453125" style="644" customWidth="1"/>
    <col min="8978" max="8978" width="12.453125" style="644" bestFit="1" customWidth="1"/>
    <col min="8979" max="8981" width="9.1796875" style="644"/>
    <col min="8982" max="8982" width="4.54296875" style="644" customWidth="1"/>
    <col min="8983" max="8983" width="9.54296875" style="644" customWidth="1"/>
    <col min="8984" max="8984" width="9.453125" style="644" customWidth="1"/>
    <col min="8985" max="8985" width="8.453125" style="644" customWidth="1"/>
    <col min="8986" max="8986" width="10.453125" style="644" customWidth="1"/>
    <col min="8987" max="8987" width="5.453125" style="644" customWidth="1"/>
    <col min="8988" max="9216" width="9.1796875" style="644"/>
    <col min="9217" max="9218" width="3.453125" style="644" customWidth="1"/>
    <col min="9219" max="9219" width="2.453125" style="644" customWidth="1"/>
    <col min="9220" max="9220" width="12.453125" style="644" bestFit="1" customWidth="1"/>
    <col min="9221" max="9223" width="9.1796875" style="644"/>
    <col min="9224" max="9224" width="4.54296875" style="644" customWidth="1"/>
    <col min="9225" max="9225" width="9.54296875" style="644" customWidth="1"/>
    <col min="9226" max="9226" width="9.453125" style="644" customWidth="1"/>
    <col min="9227" max="9227" width="15.1796875" style="644" customWidth="1"/>
    <col min="9228" max="9228" width="10.453125" style="644" customWidth="1"/>
    <col min="9229" max="9229" width="5.453125" style="644" customWidth="1"/>
    <col min="9230" max="9230" width="3.453125" style="644" customWidth="1"/>
    <col min="9231" max="9231" width="7.453125" style="644" customWidth="1"/>
    <col min="9232" max="9232" width="3.453125" style="644" customWidth="1"/>
    <col min="9233" max="9233" width="2.453125" style="644" customWidth="1"/>
    <col min="9234" max="9234" width="12.453125" style="644" bestFit="1" customWidth="1"/>
    <col min="9235" max="9237" width="9.1796875" style="644"/>
    <col min="9238" max="9238" width="4.54296875" style="644" customWidth="1"/>
    <col min="9239" max="9239" width="9.54296875" style="644" customWidth="1"/>
    <col min="9240" max="9240" width="9.453125" style="644" customWidth="1"/>
    <col min="9241" max="9241" width="8.453125" style="644" customWidth="1"/>
    <col min="9242" max="9242" width="10.453125" style="644" customWidth="1"/>
    <col min="9243" max="9243" width="5.453125" style="644" customWidth="1"/>
    <col min="9244" max="9472" width="9.1796875" style="644"/>
    <col min="9473" max="9474" width="3.453125" style="644" customWidth="1"/>
    <col min="9475" max="9475" width="2.453125" style="644" customWidth="1"/>
    <col min="9476" max="9476" width="12.453125" style="644" bestFit="1" customWidth="1"/>
    <col min="9477" max="9479" width="9.1796875" style="644"/>
    <col min="9480" max="9480" width="4.54296875" style="644" customWidth="1"/>
    <col min="9481" max="9481" width="9.54296875" style="644" customWidth="1"/>
    <col min="9482" max="9482" width="9.453125" style="644" customWidth="1"/>
    <col min="9483" max="9483" width="15.1796875" style="644" customWidth="1"/>
    <col min="9484" max="9484" width="10.453125" style="644" customWidth="1"/>
    <col min="9485" max="9485" width="5.453125" style="644" customWidth="1"/>
    <col min="9486" max="9486" width="3.453125" style="644" customWidth="1"/>
    <col min="9487" max="9487" width="7.453125" style="644" customWidth="1"/>
    <col min="9488" max="9488" width="3.453125" style="644" customWidth="1"/>
    <col min="9489" max="9489" width="2.453125" style="644" customWidth="1"/>
    <col min="9490" max="9490" width="12.453125" style="644" bestFit="1" customWidth="1"/>
    <col min="9491" max="9493" width="9.1796875" style="644"/>
    <col min="9494" max="9494" width="4.54296875" style="644" customWidth="1"/>
    <col min="9495" max="9495" width="9.54296875" style="644" customWidth="1"/>
    <col min="9496" max="9496" width="9.453125" style="644" customWidth="1"/>
    <col min="9497" max="9497" width="8.453125" style="644" customWidth="1"/>
    <col min="9498" max="9498" width="10.453125" style="644" customWidth="1"/>
    <col min="9499" max="9499" width="5.453125" style="644" customWidth="1"/>
    <col min="9500" max="9728" width="9.1796875" style="644"/>
    <col min="9729" max="9730" width="3.453125" style="644" customWidth="1"/>
    <col min="9731" max="9731" width="2.453125" style="644" customWidth="1"/>
    <col min="9732" max="9732" width="12.453125" style="644" bestFit="1" customWidth="1"/>
    <col min="9733" max="9735" width="9.1796875" style="644"/>
    <col min="9736" max="9736" width="4.54296875" style="644" customWidth="1"/>
    <col min="9737" max="9737" width="9.54296875" style="644" customWidth="1"/>
    <col min="9738" max="9738" width="9.453125" style="644" customWidth="1"/>
    <col min="9739" max="9739" width="15.1796875" style="644" customWidth="1"/>
    <col min="9740" max="9740" width="10.453125" style="644" customWidth="1"/>
    <col min="9741" max="9741" width="5.453125" style="644" customWidth="1"/>
    <col min="9742" max="9742" width="3.453125" style="644" customWidth="1"/>
    <col min="9743" max="9743" width="7.453125" style="644" customWidth="1"/>
    <col min="9744" max="9744" width="3.453125" style="644" customWidth="1"/>
    <col min="9745" max="9745" width="2.453125" style="644" customWidth="1"/>
    <col min="9746" max="9746" width="12.453125" style="644" bestFit="1" customWidth="1"/>
    <col min="9747" max="9749" width="9.1796875" style="644"/>
    <col min="9750" max="9750" width="4.54296875" style="644" customWidth="1"/>
    <col min="9751" max="9751" width="9.54296875" style="644" customWidth="1"/>
    <col min="9752" max="9752" width="9.453125" style="644" customWidth="1"/>
    <col min="9753" max="9753" width="8.453125" style="644" customWidth="1"/>
    <col min="9754" max="9754" width="10.453125" style="644" customWidth="1"/>
    <col min="9755" max="9755" width="5.453125" style="644" customWidth="1"/>
    <col min="9756" max="9984" width="9.1796875" style="644"/>
    <col min="9985" max="9986" width="3.453125" style="644" customWidth="1"/>
    <col min="9987" max="9987" width="2.453125" style="644" customWidth="1"/>
    <col min="9988" max="9988" width="12.453125" style="644" bestFit="1" customWidth="1"/>
    <col min="9989" max="9991" width="9.1796875" style="644"/>
    <col min="9992" max="9992" width="4.54296875" style="644" customWidth="1"/>
    <col min="9993" max="9993" width="9.54296875" style="644" customWidth="1"/>
    <col min="9994" max="9994" width="9.453125" style="644" customWidth="1"/>
    <col min="9995" max="9995" width="15.1796875" style="644" customWidth="1"/>
    <col min="9996" max="9996" width="10.453125" style="644" customWidth="1"/>
    <col min="9997" max="9997" width="5.453125" style="644" customWidth="1"/>
    <col min="9998" max="9998" width="3.453125" style="644" customWidth="1"/>
    <col min="9999" max="9999" width="7.453125" style="644" customWidth="1"/>
    <col min="10000" max="10000" width="3.453125" style="644" customWidth="1"/>
    <col min="10001" max="10001" width="2.453125" style="644" customWidth="1"/>
    <col min="10002" max="10002" width="12.453125" style="644" bestFit="1" customWidth="1"/>
    <col min="10003" max="10005" width="9.1796875" style="644"/>
    <col min="10006" max="10006" width="4.54296875" style="644" customWidth="1"/>
    <col min="10007" max="10007" width="9.54296875" style="644" customWidth="1"/>
    <col min="10008" max="10008" width="9.453125" style="644" customWidth="1"/>
    <col min="10009" max="10009" width="8.453125" style="644" customWidth="1"/>
    <col min="10010" max="10010" width="10.453125" style="644" customWidth="1"/>
    <col min="10011" max="10011" width="5.453125" style="644" customWidth="1"/>
    <col min="10012" max="10240" width="9.1796875" style="644"/>
    <col min="10241" max="10242" width="3.453125" style="644" customWidth="1"/>
    <col min="10243" max="10243" width="2.453125" style="644" customWidth="1"/>
    <col min="10244" max="10244" width="12.453125" style="644" bestFit="1" customWidth="1"/>
    <col min="10245" max="10247" width="9.1796875" style="644"/>
    <col min="10248" max="10248" width="4.54296875" style="644" customWidth="1"/>
    <col min="10249" max="10249" width="9.54296875" style="644" customWidth="1"/>
    <col min="10250" max="10250" width="9.453125" style="644" customWidth="1"/>
    <col min="10251" max="10251" width="15.1796875" style="644" customWidth="1"/>
    <col min="10252" max="10252" width="10.453125" style="644" customWidth="1"/>
    <col min="10253" max="10253" width="5.453125" style="644" customWidth="1"/>
    <col min="10254" max="10254" width="3.453125" style="644" customWidth="1"/>
    <col min="10255" max="10255" width="7.453125" style="644" customWidth="1"/>
    <col min="10256" max="10256" width="3.453125" style="644" customWidth="1"/>
    <col min="10257" max="10257" width="2.453125" style="644" customWidth="1"/>
    <col min="10258" max="10258" width="12.453125" style="644" bestFit="1" customWidth="1"/>
    <col min="10259" max="10261" width="9.1796875" style="644"/>
    <col min="10262" max="10262" width="4.54296875" style="644" customWidth="1"/>
    <col min="10263" max="10263" width="9.54296875" style="644" customWidth="1"/>
    <col min="10264" max="10264" width="9.453125" style="644" customWidth="1"/>
    <col min="10265" max="10265" width="8.453125" style="644" customWidth="1"/>
    <col min="10266" max="10266" width="10.453125" style="644" customWidth="1"/>
    <col min="10267" max="10267" width="5.453125" style="644" customWidth="1"/>
    <col min="10268" max="10496" width="9.1796875" style="644"/>
    <col min="10497" max="10498" width="3.453125" style="644" customWidth="1"/>
    <col min="10499" max="10499" width="2.453125" style="644" customWidth="1"/>
    <col min="10500" max="10500" width="12.453125" style="644" bestFit="1" customWidth="1"/>
    <col min="10501" max="10503" width="9.1796875" style="644"/>
    <col min="10504" max="10504" width="4.54296875" style="644" customWidth="1"/>
    <col min="10505" max="10505" width="9.54296875" style="644" customWidth="1"/>
    <col min="10506" max="10506" width="9.453125" style="644" customWidth="1"/>
    <col min="10507" max="10507" width="15.1796875" style="644" customWidth="1"/>
    <col min="10508" max="10508" width="10.453125" style="644" customWidth="1"/>
    <col min="10509" max="10509" width="5.453125" style="644" customWidth="1"/>
    <col min="10510" max="10510" width="3.453125" style="644" customWidth="1"/>
    <col min="10511" max="10511" width="7.453125" style="644" customWidth="1"/>
    <col min="10512" max="10512" width="3.453125" style="644" customWidth="1"/>
    <col min="10513" max="10513" width="2.453125" style="644" customWidth="1"/>
    <col min="10514" max="10514" width="12.453125" style="644" bestFit="1" customWidth="1"/>
    <col min="10515" max="10517" width="9.1796875" style="644"/>
    <col min="10518" max="10518" width="4.54296875" style="644" customWidth="1"/>
    <col min="10519" max="10519" width="9.54296875" style="644" customWidth="1"/>
    <col min="10520" max="10520" width="9.453125" style="644" customWidth="1"/>
    <col min="10521" max="10521" width="8.453125" style="644" customWidth="1"/>
    <col min="10522" max="10522" width="10.453125" style="644" customWidth="1"/>
    <col min="10523" max="10523" width="5.453125" style="644" customWidth="1"/>
    <col min="10524" max="10752" width="9.1796875" style="644"/>
    <col min="10753" max="10754" width="3.453125" style="644" customWidth="1"/>
    <col min="10755" max="10755" width="2.453125" style="644" customWidth="1"/>
    <col min="10756" max="10756" width="12.453125" style="644" bestFit="1" customWidth="1"/>
    <col min="10757" max="10759" width="9.1796875" style="644"/>
    <col min="10760" max="10760" width="4.54296875" style="644" customWidth="1"/>
    <col min="10761" max="10761" width="9.54296875" style="644" customWidth="1"/>
    <col min="10762" max="10762" width="9.453125" style="644" customWidth="1"/>
    <col min="10763" max="10763" width="15.1796875" style="644" customWidth="1"/>
    <col min="10764" max="10764" width="10.453125" style="644" customWidth="1"/>
    <col min="10765" max="10765" width="5.453125" style="644" customWidth="1"/>
    <col min="10766" max="10766" width="3.453125" style="644" customWidth="1"/>
    <col min="10767" max="10767" width="7.453125" style="644" customWidth="1"/>
    <col min="10768" max="10768" width="3.453125" style="644" customWidth="1"/>
    <col min="10769" max="10769" width="2.453125" style="644" customWidth="1"/>
    <col min="10770" max="10770" width="12.453125" style="644" bestFit="1" customWidth="1"/>
    <col min="10771" max="10773" width="9.1796875" style="644"/>
    <col min="10774" max="10774" width="4.54296875" style="644" customWidth="1"/>
    <col min="10775" max="10775" width="9.54296875" style="644" customWidth="1"/>
    <col min="10776" max="10776" width="9.453125" style="644" customWidth="1"/>
    <col min="10777" max="10777" width="8.453125" style="644" customWidth="1"/>
    <col min="10778" max="10778" width="10.453125" style="644" customWidth="1"/>
    <col min="10779" max="10779" width="5.453125" style="644" customWidth="1"/>
    <col min="10780" max="11008" width="9.1796875" style="644"/>
    <col min="11009" max="11010" width="3.453125" style="644" customWidth="1"/>
    <col min="11011" max="11011" width="2.453125" style="644" customWidth="1"/>
    <col min="11012" max="11012" width="12.453125" style="644" bestFit="1" customWidth="1"/>
    <col min="11013" max="11015" width="9.1796875" style="644"/>
    <col min="11016" max="11016" width="4.54296875" style="644" customWidth="1"/>
    <col min="11017" max="11017" width="9.54296875" style="644" customWidth="1"/>
    <col min="11018" max="11018" width="9.453125" style="644" customWidth="1"/>
    <col min="11019" max="11019" width="15.1796875" style="644" customWidth="1"/>
    <col min="11020" max="11020" width="10.453125" style="644" customWidth="1"/>
    <col min="11021" max="11021" width="5.453125" style="644" customWidth="1"/>
    <col min="11022" max="11022" width="3.453125" style="644" customWidth="1"/>
    <col min="11023" max="11023" width="7.453125" style="644" customWidth="1"/>
    <col min="11024" max="11024" width="3.453125" style="644" customWidth="1"/>
    <col min="11025" max="11025" width="2.453125" style="644" customWidth="1"/>
    <col min="11026" max="11026" width="12.453125" style="644" bestFit="1" customWidth="1"/>
    <col min="11027" max="11029" width="9.1796875" style="644"/>
    <col min="11030" max="11030" width="4.54296875" style="644" customWidth="1"/>
    <col min="11031" max="11031" width="9.54296875" style="644" customWidth="1"/>
    <col min="11032" max="11032" width="9.453125" style="644" customWidth="1"/>
    <col min="11033" max="11033" width="8.453125" style="644" customWidth="1"/>
    <col min="11034" max="11034" width="10.453125" style="644" customWidth="1"/>
    <col min="11035" max="11035" width="5.453125" style="644" customWidth="1"/>
    <col min="11036" max="11264" width="9.1796875" style="644"/>
    <col min="11265" max="11266" width="3.453125" style="644" customWidth="1"/>
    <col min="11267" max="11267" width="2.453125" style="644" customWidth="1"/>
    <col min="11268" max="11268" width="12.453125" style="644" bestFit="1" customWidth="1"/>
    <col min="11269" max="11271" width="9.1796875" style="644"/>
    <col min="11272" max="11272" width="4.54296875" style="644" customWidth="1"/>
    <col min="11273" max="11273" width="9.54296875" style="644" customWidth="1"/>
    <col min="11274" max="11274" width="9.453125" style="644" customWidth="1"/>
    <col min="11275" max="11275" width="15.1796875" style="644" customWidth="1"/>
    <col min="11276" max="11276" width="10.453125" style="644" customWidth="1"/>
    <col min="11277" max="11277" width="5.453125" style="644" customWidth="1"/>
    <col min="11278" max="11278" width="3.453125" style="644" customWidth="1"/>
    <col min="11279" max="11279" width="7.453125" style="644" customWidth="1"/>
    <col min="11280" max="11280" width="3.453125" style="644" customWidth="1"/>
    <col min="11281" max="11281" width="2.453125" style="644" customWidth="1"/>
    <col min="11282" max="11282" width="12.453125" style="644" bestFit="1" customWidth="1"/>
    <col min="11283" max="11285" width="9.1796875" style="644"/>
    <col min="11286" max="11286" width="4.54296875" style="644" customWidth="1"/>
    <col min="11287" max="11287" width="9.54296875" style="644" customWidth="1"/>
    <col min="11288" max="11288" width="9.453125" style="644" customWidth="1"/>
    <col min="11289" max="11289" width="8.453125" style="644" customWidth="1"/>
    <col min="11290" max="11290" width="10.453125" style="644" customWidth="1"/>
    <col min="11291" max="11291" width="5.453125" style="644" customWidth="1"/>
    <col min="11292" max="11520" width="9.1796875" style="644"/>
    <col min="11521" max="11522" width="3.453125" style="644" customWidth="1"/>
    <col min="11523" max="11523" width="2.453125" style="644" customWidth="1"/>
    <col min="11524" max="11524" width="12.453125" style="644" bestFit="1" customWidth="1"/>
    <col min="11525" max="11527" width="9.1796875" style="644"/>
    <col min="11528" max="11528" width="4.54296875" style="644" customWidth="1"/>
    <col min="11529" max="11529" width="9.54296875" style="644" customWidth="1"/>
    <col min="11530" max="11530" width="9.453125" style="644" customWidth="1"/>
    <col min="11531" max="11531" width="15.1796875" style="644" customWidth="1"/>
    <col min="11532" max="11532" width="10.453125" style="644" customWidth="1"/>
    <col min="11533" max="11533" width="5.453125" style="644" customWidth="1"/>
    <col min="11534" max="11534" width="3.453125" style="644" customWidth="1"/>
    <col min="11535" max="11535" width="7.453125" style="644" customWidth="1"/>
    <col min="11536" max="11536" width="3.453125" style="644" customWidth="1"/>
    <col min="11537" max="11537" width="2.453125" style="644" customWidth="1"/>
    <col min="11538" max="11538" width="12.453125" style="644" bestFit="1" customWidth="1"/>
    <col min="11539" max="11541" width="9.1796875" style="644"/>
    <col min="11542" max="11542" width="4.54296875" style="644" customWidth="1"/>
    <col min="11543" max="11543" width="9.54296875" style="644" customWidth="1"/>
    <col min="11544" max="11544" width="9.453125" style="644" customWidth="1"/>
    <col min="11545" max="11545" width="8.453125" style="644" customWidth="1"/>
    <col min="11546" max="11546" width="10.453125" style="644" customWidth="1"/>
    <col min="11547" max="11547" width="5.453125" style="644" customWidth="1"/>
    <col min="11548" max="11776" width="9.1796875" style="644"/>
    <col min="11777" max="11778" width="3.453125" style="644" customWidth="1"/>
    <col min="11779" max="11779" width="2.453125" style="644" customWidth="1"/>
    <col min="11780" max="11780" width="12.453125" style="644" bestFit="1" customWidth="1"/>
    <col min="11781" max="11783" width="9.1796875" style="644"/>
    <col min="11784" max="11784" width="4.54296875" style="644" customWidth="1"/>
    <col min="11785" max="11785" width="9.54296875" style="644" customWidth="1"/>
    <col min="11786" max="11786" width="9.453125" style="644" customWidth="1"/>
    <col min="11787" max="11787" width="15.1796875" style="644" customWidth="1"/>
    <col min="11788" max="11788" width="10.453125" style="644" customWidth="1"/>
    <col min="11789" max="11789" width="5.453125" style="644" customWidth="1"/>
    <col min="11790" max="11790" width="3.453125" style="644" customWidth="1"/>
    <col min="11791" max="11791" width="7.453125" style="644" customWidth="1"/>
    <col min="11792" max="11792" width="3.453125" style="644" customWidth="1"/>
    <col min="11793" max="11793" width="2.453125" style="644" customWidth="1"/>
    <col min="11794" max="11794" width="12.453125" style="644" bestFit="1" customWidth="1"/>
    <col min="11795" max="11797" width="9.1796875" style="644"/>
    <col min="11798" max="11798" width="4.54296875" style="644" customWidth="1"/>
    <col min="11799" max="11799" width="9.54296875" style="644" customWidth="1"/>
    <col min="11800" max="11800" width="9.453125" style="644" customWidth="1"/>
    <col min="11801" max="11801" width="8.453125" style="644" customWidth="1"/>
    <col min="11802" max="11802" width="10.453125" style="644" customWidth="1"/>
    <col min="11803" max="11803" width="5.453125" style="644" customWidth="1"/>
    <col min="11804" max="12032" width="9.1796875" style="644"/>
    <col min="12033" max="12034" width="3.453125" style="644" customWidth="1"/>
    <col min="12035" max="12035" width="2.453125" style="644" customWidth="1"/>
    <col min="12036" max="12036" width="12.453125" style="644" bestFit="1" customWidth="1"/>
    <col min="12037" max="12039" width="9.1796875" style="644"/>
    <col min="12040" max="12040" width="4.54296875" style="644" customWidth="1"/>
    <col min="12041" max="12041" width="9.54296875" style="644" customWidth="1"/>
    <col min="12042" max="12042" width="9.453125" style="644" customWidth="1"/>
    <col min="12043" max="12043" width="15.1796875" style="644" customWidth="1"/>
    <col min="12044" max="12044" width="10.453125" style="644" customWidth="1"/>
    <col min="12045" max="12045" width="5.453125" style="644" customWidth="1"/>
    <col min="12046" max="12046" width="3.453125" style="644" customWidth="1"/>
    <col min="12047" max="12047" width="7.453125" style="644" customWidth="1"/>
    <col min="12048" max="12048" width="3.453125" style="644" customWidth="1"/>
    <col min="12049" max="12049" width="2.453125" style="644" customWidth="1"/>
    <col min="12050" max="12050" width="12.453125" style="644" bestFit="1" customWidth="1"/>
    <col min="12051" max="12053" width="9.1796875" style="644"/>
    <col min="12054" max="12054" width="4.54296875" style="644" customWidth="1"/>
    <col min="12055" max="12055" width="9.54296875" style="644" customWidth="1"/>
    <col min="12056" max="12056" width="9.453125" style="644" customWidth="1"/>
    <col min="12057" max="12057" width="8.453125" style="644" customWidth="1"/>
    <col min="12058" max="12058" width="10.453125" style="644" customWidth="1"/>
    <col min="12059" max="12059" width="5.453125" style="644" customWidth="1"/>
    <col min="12060" max="12288" width="9.1796875" style="644"/>
    <col min="12289" max="12290" width="3.453125" style="644" customWidth="1"/>
    <col min="12291" max="12291" width="2.453125" style="644" customWidth="1"/>
    <col min="12292" max="12292" width="12.453125" style="644" bestFit="1" customWidth="1"/>
    <col min="12293" max="12295" width="9.1796875" style="644"/>
    <col min="12296" max="12296" width="4.54296875" style="644" customWidth="1"/>
    <col min="12297" max="12297" width="9.54296875" style="644" customWidth="1"/>
    <col min="12298" max="12298" width="9.453125" style="644" customWidth="1"/>
    <col min="12299" max="12299" width="15.1796875" style="644" customWidth="1"/>
    <col min="12300" max="12300" width="10.453125" style="644" customWidth="1"/>
    <col min="12301" max="12301" width="5.453125" style="644" customWidth="1"/>
    <col min="12302" max="12302" width="3.453125" style="644" customWidth="1"/>
    <col min="12303" max="12303" width="7.453125" style="644" customWidth="1"/>
    <col min="12304" max="12304" width="3.453125" style="644" customWidth="1"/>
    <col min="12305" max="12305" width="2.453125" style="644" customWidth="1"/>
    <col min="12306" max="12306" width="12.453125" style="644" bestFit="1" customWidth="1"/>
    <col min="12307" max="12309" width="9.1796875" style="644"/>
    <col min="12310" max="12310" width="4.54296875" style="644" customWidth="1"/>
    <col min="12311" max="12311" width="9.54296875" style="644" customWidth="1"/>
    <col min="12312" max="12312" width="9.453125" style="644" customWidth="1"/>
    <col min="12313" max="12313" width="8.453125" style="644" customWidth="1"/>
    <col min="12314" max="12314" width="10.453125" style="644" customWidth="1"/>
    <col min="12315" max="12315" width="5.453125" style="644" customWidth="1"/>
    <col min="12316" max="12544" width="9.1796875" style="644"/>
    <col min="12545" max="12546" width="3.453125" style="644" customWidth="1"/>
    <col min="12547" max="12547" width="2.453125" style="644" customWidth="1"/>
    <col min="12548" max="12548" width="12.453125" style="644" bestFit="1" customWidth="1"/>
    <col min="12549" max="12551" width="9.1796875" style="644"/>
    <col min="12552" max="12552" width="4.54296875" style="644" customWidth="1"/>
    <col min="12553" max="12553" width="9.54296875" style="644" customWidth="1"/>
    <col min="12554" max="12554" width="9.453125" style="644" customWidth="1"/>
    <col min="12555" max="12555" width="15.1796875" style="644" customWidth="1"/>
    <col min="12556" max="12556" width="10.453125" style="644" customWidth="1"/>
    <col min="12557" max="12557" width="5.453125" style="644" customWidth="1"/>
    <col min="12558" max="12558" width="3.453125" style="644" customWidth="1"/>
    <col min="12559" max="12559" width="7.453125" style="644" customWidth="1"/>
    <col min="12560" max="12560" width="3.453125" style="644" customWidth="1"/>
    <col min="12561" max="12561" width="2.453125" style="644" customWidth="1"/>
    <col min="12562" max="12562" width="12.453125" style="644" bestFit="1" customWidth="1"/>
    <col min="12563" max="12565" width="9.1796875" style="644"/>
    <col min="12566" max="12566" width="4.54296875" style="644" customWidth="1"/>
    <col min="12567" max="12567" width="9.54296875" style="644" customWidth="1"/>
    <col min="12568" max="12568" width="9.453125" style="644" customWidth="1"/>
    <col min="12569" max="12569" width="8.453125" style="644" customWidth="1"/>
    <col min="12570" max="12570" width="10.453125" style="644" customWidth="1"/>
    <col min="12571" max="12571" width="5.453125" style="644" customWidth="1"/>
    <col min="12572" max="12800" width="9.1796875" style="644"/>
    <col min="12801" max="12802" width="3.453125" style="644" customWidth="1"/>
    <col min="12803" max="12803" width="2.453125" style="644" customWidth="1"/>
    <col min="12804" max="12804" width="12.453125" style="644" bestFit="1" customWidth="1"/>
    <col min="12805" max="12807" width="9.1796875" style="644"/>
    <col min="12808" max="12808" width="4.54296875" style="644" customWidth="1"/>
    <col min="12809" max="12809" width="9.54296875" style="644" customWidth="1"/>
    <col min="12810" max="12810" width="9.453125" style="644" customWidth="1"/>
    <col min="12811" max="12811" width="15.1796875" style="644" customWidth="1"/>
    <col min="12812" max="12812" width="10.453125" style="644" customWidth="1"/>
    <col min="12813" max="12813" width="5.453125" style="644" customWidth="1"/>
    <col min="12814" max="12814" width="3.453125" style="644" customWidth="1"/>
    <col min="12815" max="12815" width="7.453125" style="644" customWidth="1"/>
    <col min="12816" max="12816" width="3.453125" style="644" customWidth="1"/>
    <col min="12817" max="12817" width="2.453125" style="644" customWidth="1"/>
    <col min="12818" max="12818" width="12.453125" style="644" bestFit="1" customWidth="1"/>
    <col min="12819" max="12821" width="9.1796875" style="644"/>
    <col min="12822" max="12822" width="4.54296875" style="644" customWidth="1"/>
    <col min="12823" max="12823" width="9.54296875" style="644" customWidth="1"/>
    <col min="12824" max="12824" width="9.453125" style="644" customWidth="1"/>
    <col min="12825" max="12825" width="8.453125" style="644" customWidth="1"/>
    <col min="12826" max="12826" width="10.453125" style="644" customWidth="1"/>
    <col min="12827" max="12827" width="5.453125" style="644" customWidth="1"/>
    <col min="12828" max="13056" width="9.1796875" style="644"/>
    <col min="13057" max="13058" width="3.453125" style="644" customWidth="1"/>
    <col min="13059" max="13059" width="2.453125" style="644" customWidth="1"/>
    <col min="13060" max="13060" width="12.453125" style="644" bestFit="1" customWidth="1"/>
    <col min="13061" max="13063" width="9.1796875" style="644"/>
    <col min="13064" max="13064" width="4.54296875" style="644" customWidth="1"/>
    <col min="13065" max="13065" width="9.54296875" style="644" customWidth="1"/>
    <col min="13066" max="13066" width="9.453125" style="644" customWidth="1"/>
    <col min="13067" max="13067" width="15.1796875" style="644" customWidth="1"/>
    <col min="13068" max="13068" width="10.453125" style="644" customWidth="1"/>
    <col min="13069" max="13069" width="5.453125" style="644" customWidth="1"/>
    <col min="13070" max="13070" width="3.453125" style="644" customWidth="1"/>
    <col min="13071" max="13071" width="7.453125" style="644" customWidth="1"/>
    <col min="13072" max="13072" width="3.453125" style="644" customWidth="1"/>
    <col min="13073" max="13073" width="2.453125" style="644" customWidth="1"/>
    <col min="13074" max="13074" width="12.453125" style="644" bestFit="1" customWidth="1"/>
    <col min="13075" max="13077" width="9.1796875" style="644"/>
    <col min="13078" max="13078" width="4.54296875" style="644" customWidth="1"/>
    <col min="13079" max="13079" width="9.54296875" style="644" customWidth="1"/>
    <col min="13080" max="13080" width="9.453125" style="644" customWidth="1"/>
    <col min="13081" max="13081" width="8.453125" style="644" customWidth="1"/>
    <col min="13082" max="13082" width="10.453125" style="644" customWidth="1"/>
    <col min="13083" max="13083" width="5.453125" style="644" customWidth="1"/>
    <col min="13084" max="13312" width="9.1796875" style="644"/>
    <col min="13313" max="13314" width="3.453125" style="644" customWidth="1"/>
    <col min="13315" max="13315" width="2.453125" style="644" customWidth="1"/>
    <col min="13316" max="13316" width="12.453125" style="644" bestFit="1" customWidth="1"/>
    <col min="13317" max="13319" width="9.1796875" style="644"/>
    <col min="13320" max="13320" width="4.54296875" style="644" customWidth="1"/>
    <col min="13321" max="13321" width="9.54296875" style="644" customWidth="1"/>
    <col min="13322" max="13322" width="9.453125" style="644" customWidth="1"/>
    <col min="13323" max="13323" width="15.1796875" style="644" customWidth="1"/>
    <col min="13324" max="13324" width="10.453125" style="644" customWidth="1"/>
    <col min="13325" max="13325" width="5.453125" style="644" customWidth="1"/>
    <col min="13326" max="13326" width="3.453125" style="644" customWidth="1"/>
    <col min="13327" max="13327" width="7.453125" style="644" customWidth="1"/>
    <col min="13328" max="13328" width="3.453125" style="644" customWidth="1"/>
    <col min="13329" max="13329" width="2.453125" style="644" customWidth="1"/>
    <col min="13330" max="13330" width="12.453125" style="644" bestFit="1" customWidth="1"/>
    <col min="13331" max="13333" width="9.1796875" style="644"/>
    <col min="13334" max="13334" width="4.54296875" style="644" customWidth="1"/>
    <col min="13335" max="13335" width="9.54296875" style="644" customWidth="1"/>
    <col min="13336" max="13336" width="9.453125" style="644" customWidth="1"/>
    <col min="13337" max="13337" width="8.453125" style="644" customWidth="1"/>
    <col min="13338" max="13338" width="10.453125" style="644" customWidth="1"/>
    <col min="13339" max="13339" width="5.453125" style="644" customWidth="1"/>
    <col min="13340" max="13568" width="9.1796875" style="644"/>
    <col min="13569" max="13570" width="3.453125" style="644" customWidth="1"/>
    <col min="13571" max="13571" width="2.453125" style="644" customWidth="1"/>
    <col min="13572" max="13572" width="12.453125" style="644" bestFit="1" customWidth="1"/>
    <col min="13573" max="13575" width="9.1796875" style="644"/>
    <col min="13576" max="13576" width="4.54296875" style="644" customWidth="1"/>
    <col min="13577" max="13577" width="9.54296875" style="644" customWidth="1"/>
    <col min="13578" max="13578" width="9.453125" style="644" customWidth="1"/>
    <col min="13579" max="13579" width="15.1796875" style="644" customWidth="1"/>
    <col min="13580" max="13580" width="10.453125" style="644" customWidth="1"/>
    <col min="13581" max="13581" width="5.453125" style="644" customWidth="1"/>
    <col min="13582" max="13582" width="3.453125" style="644" customWidth="1"/>
    <col min="13583" max="13583" width="7.453125" style="644" customWidth="1"/>
    <col min="13584" max="13584" width="3.453125" style="644" customWidth="1"/>
    <col min="13585" max="13585" width="2.453125" style="644" customWidth="1"/>
    <col min="13586" max="13586" width="12.453125" style="644" bestFit="1" customWidth="1"/>
    <col min="13587" max="13589" width="9.1796875" style="644"/>
    <col min="13590" max="13590" width="4.54296875" style="644" customWidth="1"/>
    <col min="13591" max="13591" width="9.54296875" style="644" customWidth="1"/>
    <col min="13592" max="13592" width="9.453125" style="644" customWidth="1"/>
    <col min="13593" max="13593" width="8.453125" style="644" customWidth="1"/>
    <col min="13594" max="13594" width="10.453125" style="644" customWidth="1"/>
    <col min="13595" max="13595" width="5.453125" style="644" customWidth="1"/>
    <col min="13596" max="13824" width="9.1796875" style="644"/>
    <col min="13825" max="13826" width="3.453125" style="644" customWidth="1"/>
    <col min="13827" max="13827" width="2.453125" style="644" customWidth="1"/>
    <col min="13828" max="13828" width="12.453125" style="644" bestFit="1" customWidth="1"/>
    <col min="13829" max="13831" width="9.1796875" style="644"/>
    <col min="13832" max="13832" width="4.54296875" style="644" customWidth="1"/>
    <col min="13833" max="13833" width="9.54296875" style="644" customWidth="1"/>
    <col min="13834" max="13834" width="9.453125" style="644" customWidth="1"/>
    <col min="13835" max="13835" width="15.1796875" style="644" customWidth="1"/>
    <col min="13836" max="13836" width="10.453125" style="644" customWidth="1"/>
    <col min="13837" max="13837" width="5.453125" style="644" customWidth="1"/>
    <col min="13838" max="13838" width="3.453125" style="644" customWidth="1"/>
    <col min="13839" max="13839" width="7.453125" style="644" customWidth="1"/>
    <col min="13840" max="13840" width="3.453125" style="644" customWidth="1"/>
    <col min="13841" max="13841" width="2.453125" style="644" customWidth="1"/>
    <col min="13842" max="13842" width="12.453125" style="644" bestFit="1" customWidth="1"/>
    <col min="13843" max="13845" width="9.1796875" style="644"/>
    <col min="13846" max="13846" width="4.54296875" style="644" customWidth="1"/>
    <col min="13847" max="13847" width="9.54296875" style="644" customWidth="1"/>
    <col min="13848" max="13848" width="9.453125" style="644" customWidth="1"/>
    <col min="13849" max="13849" width="8.453125" style="644" customWidth="1"/>
    <col min="13850" max="13850" width="10.453125" style="644" customWidth="1"/>
    <col min="13851" max="13851" width="5.453125" style="644" customWidth="1"/>
    <col min="13852" max="14080" width="9.1796875" style="644"/>
    <col min="14081" max="14082" width="3.453125" style="644" customWidth="1"/>
    <col min="14083" max="14083" width="2.453125" style="644" customWidth="1"/>
    <col min="14084" max="14084" width="12.453125" style="644" bestFit="1" customWidth="1"/>
    <col min="14085" max="14087" width="9.1796875" style="644"/>
    <col min="14088" max="14088" width="4.54296875" style="644" customWidth="1"/>
    <col min="14089" max="14089" width="9.54296875" style="644" customWidth="1"/>
    <col min="14090" max="14090" width="9.453125" style="644" customWidth="1"/>
    <col min="14091" max="14091" width="15.1796875" style="644" customWidth="1"/>
    <col min="14092" max="14092" width="10.453125" style="644" customWidth="1"/>
    <col min="14093" max="14093" width="5.453125" style="644" customWidth="1"/>
    <col min="14094" max="14094" width="3.453125" style="644" customWidth="1"/>
    <col min="14095" max="14095" width="7.453125" style="644" customWidth="1"/>
    <col min="14096" max="14096" width="3.453125" style="644" customWidth="1"/>
    <col min="14097" max="14097" width="2.453125" style="644" customWidth="1"/>
    <col min="14098" max="14098" width="12.453125" style="644" bestFit="1" customWidth="1"/>
    <col min="14099" max="14101" width="9.1796875" style="644"/>
    <col min="14102" max="14102" width="4.54296875" style="644" customWidth="1"/>
    <col min="14103" max="14103" width="9.54296875" style="644" customWidth="1"/>
    <col min="14104" max="14104" width="9.453125" style="644" customWidth="1"/>
    <col min="14105" max="14105" width="8.453125" style="644" customWidth="1"/>
    <col min="14106" max="14106" width="10.453125" style="644" customWidth="1"/>
    <col min="14107" max="14107" width="5.453125" style="644" customWidth="1"/>
    <col min="14108" max="14336" width="9.1796875" style="644"/>
    <col min="14337" max="14338" width="3.453125" style="644" customWidth="1"/>
    <col min="14339" max="14339" width="2.453125" style="644" customWidth="1"/>
    <col min="14340" max="14340" width="12.453125" style="644" bestFit="1" customWidth="1"/>
    <col min="14341" max="14343" width="9.1796875" style="644"/>
    <col min="14344" max="14344" width="4.54296875" style="644" customWidth="1"/>
    <col min="14345" max="14345" width="9.54296875" style="644" customWidth="1"/>
    <col min="14346" max="14346" width="9.453125" style="644" customWidth="1"/>
    <col min="14347" max="14347" width="15.1796875" style="644" customWidth="1"/>
    <col min="14348" max="14348" width="10.453125" style="644" customWidth="1"/>
    <col min="14349" max="14349" width="5.453125" style="644" customWidth="1"/>
    <col min="14350" max="14350" width="3.453125" style="644" customWidth="1"/>
    <col min="14351" max="14351" width="7.453125" style="644" customWidth="1"/>
    <col min="14352" max="14352" width="3.453125" style="644" customWidth="1"/>
    <col min="14353" max="14353" width="2.453125" style="644" customWidth="1"/>
    <col min="14354" max="14354" width="12.453125" style="644" bestFit="1" customWidth="1"/>
    <col min="14355" max="14357" width="9.1796875" style="644"/>
    <col min="14358" max="14358" width="4.54296875" style="644" customWidth="1"/>
    <col min="14359" max="14359" width="9.54296875" style="644" customWidth="1"/>
    <col min="14360" max="14360" width="9.453125" style="644" customWidth="1"/>
    <col min="14361" max="14361" width="8.453125" style="644" customWidth="1"/>
    <col min="14362" max="14362" width="10.453125" style="644" customWidth="1"/>
    <col min="14363" max="14363" width="5.453125" style="644" customWidth="1"/>
    <col min="14364" max="14592" width="9.1796875" style="644"/>
    <col min="14593" max="14594" width="3.453125" style="644" customWidth="1"/>
    <col min="14595" max="14595" width="2.453125" style="644" customWidth="1"/>
    <col min="14596" max="14596" width="12.453125" style="644" bestFit="1" customWidth="1"/>
    <col min="14597" max="14599" width="9.1796875" style="644"/>
    <col min="14600" max="14600" width="4.54296875" style="644" customWidth="1"/>
    <col min="14601" max="14601" width="9.54296875" style="644" customWidth="1"/>
    <col min="14602" max="14602" width="9.453125" style="644" customWidth="1"/>
    <col min="14603" max="14603" width="15.1796875" style="644" customWidth="1"/>
    <col min="14604" max="14604" width="10.453125" style="644" customWidth="1"/>
    <col min="14605" max="14605" width="5.453125" style="644" customWidth="1"/>
    <col min="14606" max="14606" width="3.453125" style="644" customWidth="1"/>
    <col min="14607" max="14607" width="7.453125" style="644" customWidth="1"/>
    <col min="14608" max="14608" width="3.453125" style="644" customWidth="1"/>
    <col min="14609" max="14609" width="2.453125" style="644" customWidth="1"/>
    <col min="14610" max="14610" width="12.453125" style="644" bestFit="1" customWidth="1"/>
    <col min="14611" max="14613" width="9.1796875" style="644"/>
    <col min="14614" max="14614" width="4.54296875" style="644" customWidth="1"/>
    <col min="14615" max="14615" width="9.54296875" style="644" customWidth="1"/>
    <col min="14616" max="14616" width="9.453125" style="644" customWidth="1"/>
    <col min="14617" max="14617" width="8.453125" style="644" customWidth="1"/>
    <col min="14618" max="14618" width="10.453125" style="644" customWidth="1"/>
    <col min="14619" max="14619" width="5.453125" style="644" customWidth="1"/>
    <col min="14620" max="14848" width="9.1796875" style="644"/>
    <col min="14849" max="14850" width="3.453125" style="644" customWidth="1"/>
    <col min="14851" max="14851" width="2.453125" style="644" customWidth="1"/>
    <col min="14852" max="14852" width="12.453125" style="644" bestFit="1" customWidth="1"/>
    <col min="14853" max="14855" width="9.1796875" style="644"/>
    <col min="14856" max="14856" width="4.54296875" style="644" customWidth="1"/>
    <col min="14857" max="14857" width="9.54296875" style="644" customWidth="1"/>
    <col min="14858" max="14858" width="9.453125" style="644" customWidth="1"/>
    <col min="14859" max="14859" width="15.1796875" style="644" customWidth="1"/>
    <col min="14860" max="14860" width="10.453125" style="644" customWidth="1"/>
    <col min="14861" max="14861" width="5.453125" style="644" customWidth="1"/>
    <col min="14862" max="14862" width="3.453125" style="644" customWidth="1"/>
    <col min="14863" max="14863" width="7.453125" style="644" customWidth="1"/>
    <col min="14864" max="14864" width="3.453125" style="644" customWidth="1"/>
    <col min="14865" max="14865" width="2.453125" style="644" customWidth="1"/>
    <col min="14866" max="14866" width="12.453125" style="644" bestFit="1" customWidth="1"/>
    <col min="14867" max="14869" width="9.1796875" style="644"/>
    <col min="14870" max="14870" width="4.54296875" style="644" customWidth="1"/>
    <col min="14871" max="14871" width="9.54296875" style="644" customWidth="1"/>
    <col min="14872" max="14872" width="9.453125" style="644" customWidth="1"/>
    <col min="14873" max="14873" width="8.453125" style="644" customWidth="1"/>
    <col min="14874" max="14874" width="10.453125" style="644" customWidth="1"/>
    <col min="14875" max="14875" width="5.453125" style="644" customWidth="1"/>
    <col min="14876" max="15104" width="9.1796875" style="644"/>
    <col min="15105" max="15106" width="3.453125" style="644" customWidth="1"/>
    <col min="15107" max="15107" width="2.453125" style="644" customWidth="1"/>
    <col min="15108" max="15108" width="12.453125" style="644" bestFit="1" customWidth="1"/>
    <col min="15109" max="15111" width="9.1796875" style="644"/>
    <col min="15112" max="15112" width="4.54296875" style="644" customWidth="1"/>
    <col min="15113" max="15113" width="9.54296875" style="644" customWidth="1"/>
    <col min="15114" max="15114" width="9.453125" style="644" customWidth="1"/>
    <col min="15115" max="15115" width="15.1796875" style="644" customWidth="1"/>
    <col min="15116" max="15116" width="10.453125" style="644" customWidth="1"/>
    <col min="15117" max="15117" width="5.453125" style="644" customWidth="1"/>
    <col min="15118" max="15118" width="3.453125" style="644" customWidth="1"/>
    <col min="15119" max="15119" width="7.453125" style="644" customWidth="1"/>
    <col min="15120" max="15120" width="3.453125" style="644" customWidth="1"/>
    <col min="15121" max="15121" width="2.453125" style="644" customWidth="1"/>
    <col min="15122" max="15122" width="12.453125" style="644" bestFit="1" customWidth="1"/>
    <col min="15123" max="15125" width="9.1796875" style="644"/>
    <col min="15126" max="15126" width="4.54296875" style="644" customWidth="1"/>
    <col min="15127" max="15127" width="9.54296875" style="644" customWidth="1"/>
    <col min="15128" max="15128" width="9.453125" style="644" customWidth="1"/>
    <col min="15129" max="15129" width="8.453125" style="644" customWidth="1"/>
    <col min="15130" max="15130" width="10.453125" style="644" customWidth="1"/>
    <col min="15131" max="15131" width="5.453125" style="644" customWidth="1"/>
    <col min="15132" max="15360" width="9.1796875" style="644"/>
    <col min="15361" max="15362" width="3.453125" style="644" customWidth="1"/>
    <col min="15363" max="15363" width="2.453125" style="644" customWidth="1"/>
    <col min="15364" max="15364" width="12.453125" style="644" bestFit="1" customWidth="1"/>
    <col min="15365" max="15367" width="9.1796875" style="644"/>
    <col min="15368" max="15368" width="4.54296875" style="644" customWidth="1"/>
    <col min="15369" max="15369" width="9.54296875" style="644" customWidth="1"/>
    <col min="15370" max="15370" width="9.453125" style="644" customWidth="1"/>
    <col min="15371" max="15371" width="15.1796875" style="644" customWidth="1"/>
    <col min="15372" max="15372" width="10.453125" style="644" customWidth="1"/>
    <col min="15373" max="15373" width="5.453125" style="644" customWidth="1"/>
    <col min="15374" max="15374" width="3.453125" style="644" customWidth="1"/>
    <col min="15375" max="15375" width="7.453125" style="644" customWidth="1"/>
    <col min="15376" max="15376" width="3.453125" style="644" customWidth="1"/>
    <col min="15377" max="15377" width="2.453125" style="644" customWidth="1"/>
    <col min="15378" max="15378" width="12.453125" style="644" bestFit="1" customWidth="1"/>
    <col min="15379" max="15381" width="9.1796875" style="644"/>
    <col min="15382" max="15382" width="4.54296875" style="644" customWidth="1"/>
    <col min="15383" max="15383" width="9.54296875" style="644" customWidth="1"/>
    <col min="15384" max="15384" width="9.453125" style="644" customWidth="1"/>
    <col min="15385" max="15385" width="8.453125" style="644" customWidth="1"/>
    <col min="15386" max="15386" width="10.453125" style="644" customWidth="1"/>
    <col min="15387" max="15387" width="5.453125" style="644" customWidth="1"/>
    <col min="15388" max="15616" width="9.1796875" style="644"/>
    <col min="15617" max="15618" width="3.453125" style="644" customWidth="1"/>
    <col min="15619" max="15619" width="2.453125" style="644" customWidth="1"/>
    <col min="15620" max="15620" width="12.453125" style="644" bestFit="1" customWidth="1"/>
    <col min="15621" max="15623" width="9.1796875" style="644"/>
    <col min="15624" max="15624" width="4.54296875" style="644" customWidth="1"/>
    <col min="15625" max="15625" width="9.54296875" style="644" customWidth="1"/>
    <col min="15626" max="15626" width="9.453125" style="644" customWidth="1"/>
    <col min="15627" max="15627" width="15.1796875" style="644" customWidth="1"/>
    <col min="15628" max="15628" width="10.453125" style="644" customWidth="1"/>
    <col min="15629" max="15629" width="5.453125" style="644" customWidth="1"/>
    <col min="15630" max="15630" width="3.453125" style="644" customWidth="1"/>
    <col min="15631" max="15631" width="7.453125" style="644" customWidth="1"/>
    <col min="15632" max="15632" width="3.453125" style="644" customWidth="1"/>
    <col min="15633" max="15633" width="2.453125" style="644" customWidth="1"/>
    <col min="15634" max="15634" width="12.453125" style="644" bestFit="1" customWidth="1"/>
    <col min="15635" max="15637" width="9.1796875" style="644"/>
    <col min="15638" max="15638" width="4.54296875" style="644" customWidth="1"/>
    <col min="15639" max="15639" width="9.54296875" style="644" customWidth="1"/>
    <col min="15640" max="15640" width="9.453125" style="644" customWidth="1"/>
    <col min="15641" max="15641" width="8.453125" style="644" customWidth="1"/>
    <col min="15642" max="15642" width="10.453125" style="644" customWidth="1"/>
    <col min="15643" max="15643" width="5.453125" style="644" customWidth="1"/>
    <col min="15644" max="15872" width="9.1796875" style="644"/>
    <col min="15873" max="15874" width="3.453125" style="644" customWidth="1"/>
    <col min="15875" max="15875" width="2.453125" style="644" customWidth="1"/>
    <col min="15876" max="15876" width="12.453125" style="644" bestFit="1" customWidth="1"/>
    <col min="15877" max="15879" width="9.1796875" style="644"/>
    <col min="15880" max="15880" width="4.54296875" style="644" customWidth="1"/>
    <col min="15881" max="15881" width="9.54296875" style="644" customWidth="1"/>
    <col min="15882" max="15882" width="9.453125" style="644" customWidth="1"/>
    <col min="15883" max="15883" width="15.1796875" style="644" customWidth="1"/>
    <col min="15884" max="15884" width="10.453125" style="644" customWidth="1"/>
    <col min="15885" max="15885" width="5.453125" style="644" customWidth="1"/>
    <col min="15886" max="15886" width="3.453125" style="644" customWidth="1"/>
    <col min="15887" max="15887" width="7.453125" style="644" customWidth="1"/>
    <col min="15888" max="15888" width="3.453125" style="644" customWidth="1"/>
    <col min="15889" max="15889" width="2.453125" style="644" customWidth="1"/>
    <col min="15890" max="15890" width="12.453125" style="644" bestFit="1" customWidth="1"/>
    <col min="15891" max="15893" width="9.1796875" style="644"/>
    <col min="15894" max="15894" width="4.54296875" style="644" customWidth="1"/>
    <col min="15895" max="15895" width="9.54296875" style="644" customWidth="1"/>
    <col min="15896" max="15896" width="9.453125" style="644" customWidth="1"/>
    <col min="15897" max="15897" width="8.453125" style="644" customWidth="1"/>
    <col min="15898" max="15898" width="10.453125" style="644" customWidth="1"/>
    <col min="15899" max="15899" width="5.453125" style="644" customWidth="1"/>
    <col min="15900" max="16128" width="9.1796875" style="644"/>
    <col min="16129" max="16130" width="3.453125" style="644" customWidth="1"/>
    <col min="16131" max="16131" width="2.453125" style="644" customWidth="1"/>
    <col min="16132" max="16132" width="12.453125" style="644" bestFit="1" customWidth="1"/>
    <col min="16133" max="16135" width="9.1796875" style="644"/>
    <col min="16136" max="16136" width="4.54296875" style="644" customWidth="1"/>
    <col min="16137" max="16137" width="9.54296875" style="644" customWidth="1"/>
    <col min="16138" max="16138" width="9.453125" style="644" customWidth="1"/>
    <col min="16139" max="16139" width="15.1796875" style="644" customWidth="1"/>
    <col min="16140" max="16140" width="10.453125" style="644" customWidth="1"/>
    <col min="16141" max="16141" width="5.453125" style="644" customWidth="1"/>
    <col min="16142" max="16142" width="3.453125" style="644" customWidth="1"/>
    <col min="16143" max="16143" width="7.453125" style="644" customWidth="1"/>
    <col min="16144" max="16144" width="3.453125" style="644" customWidth="1"/>
    <col min="16145" max="16145" width="2.453125" style="644" customWidth="1"/>
    <col min="16146" max="16146" width="12.453125" style="644" bestFit="1" customWidth="1"/>
    <col min="16147" max="16149" width="9.1796875" style="644"/>
    <col min="16150" max="16150" width="4.54296875" style="644" customWidth="1"/>
    <col min="16151" max="16151" width="9.54296875" style="644" customWidth="1"/>
    <col min="16152" max="16152" width="9.453125" style="644" customWidth="1"/>
    <col min="16153" max="16153" width="8.453125" style="644" customWidth="1"/>
    <col min="16154" max="16154" width="10.453125" style="644" customWidth="1"/>
    <col min="16155" max="16155" width="5.453125" style="644" customWidth="1"/>
    <col min="16156" max="16384" width="9.1796875" style="644"/>
  </cols>
  <sheetData>
    <row r="2" spans="2:27" ht="42.75" customHeight="1">
      <c r="B2" s="1520"/>
      <c r="C2" s="1521"/>
      <c r="D2" s="1521"/>
      <c r="E2" s="1521"/>
      <c r="F2" s="1521"/>
      <c r="G2" s="1521"/>
      <c r="H2" s="1521"/>
      <c r="I2" s="1521"/>
      <c r="J2" s="1521"/>
      <c r="K2" s="1521"/>
      <c r="L2" s="1522"/>
      <c r="P2" s="1520"/>
      <c r="Q2" s="1521"/>
      <c r="R2" s="1521"/>
      <c r="S2" s="1521"/>
      <c r="T2" s="1521"/>
      <c r="U2" s="1521"/>
      <c r="V2" s="1521"/>
      <c r="W2" s="1521"/>
      <c r="X2" s="1521"/>
      <c r="Y2" s="1521"/>
      <c r="Z2" s="1522"/>
    </row>
    <row r="3" spans="2:27" ht="14">
      <c r="B3" s="1523" t="s">
        <v>610</v>
      </c>
      <c r="C3" s="1524"/>
      <c r="D3" s="1524"/>
      <c r="E3" s="1524"/>
      <c r="F3" s="1524"/>
      <c r="G3" s="1524"/>
      <c r="H3" s="1524"/>
      <c r="I3" s="1524"/>
      <c r="J3" s="1524"/>
      <c r="K3" s="1524"/>
      <c r="L3" s="1525"/>
      <c r="P3" s="1523" t="s">
        <v>607</v>
      </c>
      <c r="Q3" s="1524"/>
      <c r="R3" s="1524"/>
      <c r="S3" s="1524"/>
      <c r="T3" s="1524"/>
      <c r="U3" s="1524"/>
      <c r="V3" s="1524"/>
      <c r="W3" s="1524"/>
      <c r="X3" s="1524"/>
      <c r="Y3" s="1524"/>
      <c r="Z3" s="1525"/>
    </row>
    <row r="4" spans="2:27" ht="14">
      <c r="B4" s="1526" t="s">
        <v>639</v>
      </c>
      <c r="C4" s="1527"/>
      <c r="D4" s="1527"/>
      <c r="E4" s="1527"/>
      <c r="F4" s="1527"/>
      <c r="G4" s="1527"/>
      <c r="H4" s="1527"/>
      <c r="I4" s="1527"/>
      <c r="J4" s="645"/>
      <c r="L4" s="646"/>
      <c r="P4" s="1526" t="s">
        <v>639</v>
      </c>
      <c r="Q4" s="1527"/>
      <c r="R4" s="1527"/>
      <c r="S4" s="1527"/>
      <c r="T4" s="1527"/>
      <c r="U4" s="1527"/>
      <c r="V4" s="1527"/>
      <c r="W4" s="1527"/>
      <c r="X4" s="645"/>
      <c r="Z4" s="646"/>
    </row>
    <row r="5" spans="2:27">
      <c r="B5" s="647"/>
      <c r="J5" s="645"/>
      <c r="L5" s="646"/>
      <c r="P5" s="647"/>
      <c r="X5" s="645"/>
      <c r="Z5" s="646"/>
    </row>
    <row r="6" spans="2:27" s="653" customFormat="1" ht="15.5">
      <c r="B6" s="648" t="s">
        <v>640</v>
      </c>
      <c r="C6" s="649"/>
      <c r="D6" s="649"/>
      <c r="E6" s="649"/>
      <c r="F6" s="649"/>
      <c r="G6" s="649"/>
      <c r="H6" s="649"/>
      <c r="I6" s="649"/>
      <c r="J6" s="650"/>
      <c r="K6" s="649"/>
      <c r="L6" s="651">
        <v>1</v>
      </c>
      <c r="M6" s="652"/>
      <c r="P6" s="648" t="s">
        <v>641</v>
      </c>
      <c r="Q6" s="649"/>
      <c r="R6" s="649"/>
      <c r="S6" s="649"/>
      <c r="T6" s="649"/>
      <c r="U6" s="649"/>
      <c r="V6" s="649"/>
      <c r="W6" s="649"/>
      <c r="X6" s="650"/>
      <c r="Y6" s="649"/>
      <c r="Z6" s="651">
        <v>1</v>
      </c>
      <c r="AA6" s="652"/>
    </row>
    <row r="7" spans="2:27" ht="14">
      <c r="B7" s="654"/>
      <c r="J7" s="645"/>
      <c r="L7" s="655"/>
      <c r="P7" s="654"/>
      <c r="X7" s="645"/>
      <c r="Z7" s="655"/>
    </row>
    <row r="8" spans="2:27" ht="14">
      <c r="B8" s="648" t="s">
        <v>642</v>
      </c>
      <c r="C8" s="656"/>
      <c r="D8" s="656"/>
      <c r="E8" s="656"/>
      <c r="F8" s="656"/>
      <c r="G8" s="656"/>
      <c r="H8" s="656"/>
      <c r="I8" s="656"/>
      <c r="J8" s="657"/>
      <c r="K8" s="656"/>
      <c r="L8" s="658">
        <f>SUM(L10:L24)</f>
        <v>0.60286666666666666</v>
      </c>
      <c r="P8" s="648" t="s">
        <v>642</v>
      </c>
      <c r="Q8" s="656"/>
      <c r="R8" s="656"/>
      <c r="S8" s="656"/>
      <c r="T8" s="656"/>
      <c r="U8" s="656"/>
      <c r="V8" s="656"/>
      <c r="W8" s="656"/>
      <c r="X8" s="657"/>
      <c r="Y8" s="656"/>
      <c r="Z8" s="658">
        <f>SUM(Z10:Z24)</f>
        <v>0.55286666666666662</v>
      </c>
    </row>
    <row r="9" spans="2:27">
      <c r="B9" s="647"/>
      <c r="J9" s="645"/>
      <c r="L9" s="655"/>
      <c r="P9" s="647"/>
      <c r="X9" s="645"/>
      <c r="Z9" s="655"/>
    </row>
    <row r="10" spans="2:27" ht="14.25" customHeight="1">
      <c r="B10" s="647"/>
      <c r="C10" s="659"/>
      <c r="D10" s="1528" t="s">
        <v>643</v>
      </c>
      <c r="E10" s="1528"/>
      <c r="J10" s="645"/>
      <c r="L10" s="660">
        <v>0</v>
      </c>
      <c r="P10" s="647"/>
      <c r="Q10" s="659"/>
      <c r="R10" s="644" t="s">
        <v>643</v>
      </c>
      <c r="X10" s="645"/>
      <c r="Z10" s="660">
        <v>0</v>
      </c>
    </row>
    <row r="11" spans="2:27">
      <c r="B11" s="647"/>
      <c r="C11" s="659"/>
      <c r="D11" s="661" t="s">
        <v>644</v>
      </c>
      <c r="J11" s="645"/>
      <c r="L11" s="660">
        <f>1/12</f>
        <v>8.3333333333333329E-2</v>
      </c>
      <c r="P11" s="647"/>
      <c r="Q11" s="659"/>
      <c r="R11" s="644" t="s">
        <v>644</v>
      </c>
      <c r="X11" s="645"/>
      <c r="Z11" s="660">
        <f>1/12</f>
        <v>8.3333333333333329E-2</v>
      </c>
    </row>
    <row r="12" spans="2:27" ht="16.5" customHeight="1">
      <c r="B12" s="647"/>
      <c r="C12" s="659"/>
      <c r="D12" s="1528" t="s">
        <v>645</v>
      </c>
      <c r="E12" s="1528"/>
      <c r="J12" s="645"/>
      <c r="L12" s="660">
        <v>0.01</v>
      </c>
      <c r="P12" s="647"/>
      <c r="Q12" s="659"/>
      <c r="R12" s="644" t="s">
        <v>645</v>
      </c>
      <c r="X12" s="645"/>
      <c r="Z12" s="660">
        <v>0.01</v>
      </c>
    </row>
    <row r="13" spans="2:27">
      <c r="B13" s="647"/>
      <c r="C13" s="659"/>
      <c r="D13" s="661" t="s">
        <v>646</v>
      </c>
      <c r="J13" s="645"/>
      <c r="L13" s="660">
        <f>1/12</f>
        <v>8.3333333333333329E-2</v>
      </c>
      <c r="M13" s="662">
        <f>30/360</f>
        <v>8.3333333333333329E-2</v>
      </c>
      <c r="P13" s="647"/>
      <c r="Q13" s="659"/>
      <c r="R13" s="644" t="s">
        <v>646</v>
      </c>
      <c r="X13" s="645"/>
      <c r="Z13" s="660">
        <f>1/12</f>
        <v>8.3333333333333329E-2</v>
      </c>
      <c r="AA13" s="662"/>
    </row>
    <row r="14" spans="2:27">
      <c r="B14" s="647"/>
      <c r="C14" s="659"/>
      <c r="D14" s="661" t="s">
        <v>647</v>
      </c>
      <c r="J14" s="645"/>
      <c r="L14" s="660">
        <v>4.1599999999999998E-2</v>
      </c>
      <c r="M14" s="662">
        <f>15/365</f>
        <v>4.1095890410958902E-2</v>
      </c>
      <c r="P14" s="647"/>
      <c r="Q14" s="659"/>
      <c r="R14" s="644" t="s">
        <v>647</v>
      </c>
      <c r="X14" s="645"/>
      <c r="Z14" s="660">
        <v>4.1599999999999998E-2</v>
      </c>
      <c r="AA14" s="662"/>
    </row>
    <row r="15" spans="2:27">
      <c r="B15" s="647"/>
      <c r="C15" s="659"/>
      <c r="D15" s="661" t="s">
        <v>648</v>
      </c>
      <c r="J15" s="645"/>
      <c r="L15" s="660">
        <v>8.5000000000000006E-2</v>
      </c>
      <c r="P15" s="647"/>
      <c r="Q15" s="659"/>
      <c r="R15" s="644" t="s">
        <v>648</v>
      </c>
      <c r="X15" s="645"/>
      <c r="Z15" s="660">
        <v>8.5000000000000006E-2</v>
      </c>
    </row>
    <row r="16" spans="2:27">
      <c r="B16" s="647"/>
      <c r="C16" s="659"/>
      <c r="D16" s="661" t="s">
        <v>649</v>
      </c>
      <c r="I16" s="663"/>
      <c r="L16" s="660">
        <v>0.12</v>
      </c>
      <c r="P16" s="647"/>
      <c r="Q16" s="659"/>
      <c r="R16" s="644" t="s">
        <v>649</v>
      </c>
      <c r="X16" s="645"/>
      <c r="Z16" s="660">
        <v>0.12</v>
      </c>
    </row>
    <row r="17" spans="1:256" s="643" customFormat="1" ht="15" customHeight="1">
      <c r="A17" s="644"/>
      <c r="B17" s="647"/>
      <c r="C17" s="659"/>
      <c r="D17" s="1528" t="s">
        <v>650</v>
      </c>
      <c r="E17" s="1528"/>
      <c r="F17" s="644"/>
      <c r="G17" s="644"/>
      <c r="H17" s="644"/>
      <c r="I17" s="663"/>
      <c r="J17" s="644"/>
      <c r="K17" s="644"/>
      <c r="L17" s="660">
        <v>6.9599999999999995E-2</v>
      </c>
      <c r="N17" s="644"/>
      <c r="O17" s="644"/>
      <c r="P17" s="647"/>
      <c r="Q17" s="659"/>
      <c r="R17" s="644" t="s">
        <v>650</v>
      </c>
      <c r="S17" s="644"/>
      <c r="T17" s="644"/>
      <c r="U17" s="644"/>
      <c r="V17" s="644"/>
      <c r="W17" s="644"/>
      <c r="X17" s="645"/>
      <c r="Y17" s="644"/>
      <c r="Z17" s="660">
        <v>6.9599999999999995E-2</v>
      </c>
      <c r="AB17" s="644"/>
      <c r="AC17" s="644"/>
      <c r="AD17" s="644"/>
      <c r="AE17" s="644"/>
      <c r="AF17" s="644"/>
      <c r="AG17" s="644"/>
      <c r="AH17" s="644"/>
      <c r="AI17" s="644"/>
      <c r="AJ17" s="644"/>
      <c r="AK17" s="644"/>
      <c r="AL17" s="644"/>
      <c r="AM17" s="644"/>
      <c r="AN17" s="644"/>
      <c r="AO17" s="644"/>
      <c r="AP17" s="644"/>
      <c r="AQ17" s="644"/>
      <c r="AR17" s="644"/>
      <c r="AS17" s="644"/>
      <c r="AT17" s="644"/>
      <c r="AU17" s="644"/>
      <c r="AV17" s="644"/>
      <c r="AW17" s="644"/>
      <c r="AX17" s="644"/>
      <c r="AY17" s="644"/>
      <c r="AZ17" s="644"/>
      <c r="BA17" s="644"/>
      <c r="BB17" s="644"/>
      <c r="BC17" s="644"/>
      <c r="BD17" s="644"/>
      <c r="BE17" s="644"/>
      <c r="BF17" s="644"/>
      <c r="BG17" s="644"/>
      <c r="BH17" s="644"/>
      <c r="BI17" s="644"/>
      <c r="BJ17" s="644"/>
      <c r="BK17" s="644"/>
      <c r="BL17" s="644"/>
      <c r="BM17" s="644"/>
      <c r="BN17" s="644"/>
      <c r="BO17" s="644"/>
      <c r="BP17" s="644"/>
      <c r="BQ17" s="644"/>
      <c r="BR17" s="644"/>
      <c r="BS17" s="644"/>
      <c r="BT17" s="644"/>
      <c r="BU17" s="644"/>
      <c r="BV17" s="644"/>
      <c r="BW17" s="644"/>
      <c r="BX17" s="644"/>
      <c r="BY17" s="644"/>
      <c r="BZ17" s="644"/>
      <c r="CA17" s="644"/>
      <c r="CB17" s="644"/>
      <c r="CC17" s="644"/>
      <c r="CD17" s="644"/>
      <c r="CE17" s="644"/>
      <c r="CF17" s="644"/>
      <c r="CG17" s="644"/>
      <c r="CH17" s="644"/>
      <c r="CI17" s="644"/>
      <c r="CJ17" s="644"/>
      <c r="CK17" s="644"/>
      <c r="CL17" s="644"/>
      <c r="CM17" s="644"/>
      <c r="CN17" s="644"/>
      <c r="CO17" s="644"/>
      <c r="CP17" s="644"/>
      <c r="CQ17" s="644"/>
      <c r="CR17" s="644"/>
      <c r="CS17" s="644"/>
      <c r="CT17" s="644"/>
      <c r="CU17" s="644"/>
      <c r="CV17" s="644"/>
      <c r="CW17" s="644"/>
      <c r="CX17" s="644"/>
      <c r="CY17" s="644"/>
      <c r="CZ17" s="644"/>
      <c r="DA17" s="644"/>
      <c r="DB17" s="644"/>
      <c r="DC17" s="644"/>
      <c r="DD17" s="644"/>
      <c r="DE17" s="644"/>
      <c r="DF17" s="644"/>
      <c r="DG17" s="644"/>
      <c r="DH17" s="644"/>
      <c r="DI17" s="644"/>
      <c r="DJ17" s="644"/>
      <c r="DK17" s="644"/>
      <c r="DL17" s="644"/>
      <c r="DM17" s="644"/>
      <c r="DN17" s="644"/>
      <c r="DO17" s="644"/>
      <c r="DP17" s="644"/>
      <c r="DQ17" s="644"/>
      <c r="DR17" s="644"/>
      <c r="DS17" s="644"/>
      <c r="DT17" s="644"/>
      <c r="DU17" s="644"/>
      <c r="DV17" s="644"/>
      <c r="DW17" s="644"/>
      <c r="DX17" s="644"/>
      <c r="DY17" s="644"/>
      <c r="DZ17" s="644"/>
      <c r="EA17" s="644"/>
      <c r="EB17" s="644"/>
      <c r="EC17" s="644"/>
      <c r="ED17" s="644"/>
      <c r="EE17" s="644"/>
      <c r="EF17" s="644"/>
      <c r="EG17" s="644"/>
      <c r="EH17" s="644"/>
      <c r="EI17" s="644"/>
      <c r="EJ17" s="644"/>
      <c r="EK17" s="644"/>
      <c r="EL17" s="644"/>
      <c r="EM17" s="644"/>
      <c r="EN17" s="644"/>
      <c r="EO17" s="644"/>
      <c r="EP17" s="644"/>
      <c r="EQ17" s="644"/>
      <c r="ER17" s="644"/>
      <c r="ES17" s="644"/>
      <c r="ET17" s="644"/>
      <c r="EU17" s="644"/>
      <c r="EV17" s="644"/>
      <c r="EW17" s="644"/>
      <c r="EX17" s="644"/>
      <c r="EY17" s="644"/>
      <c r="EZ17" s="644"/>
      <c r="FA17" s="644"/>
      <c r="FB17" s="644"/>
      <c r="FC17" s="644"/>
      <c r="FD17" s="644"/>
      <c r="FE17" s="644"/>
      <c r="FF17" s="644"/>
      <c r="FG17" s="644"/>
      <c r="FH17" s="644"/>
      <c r="FI17" s="644"/>
      <c r="FJ17" s="644"/>
      <c r="FK17" s="644"/>
      <c r="FL17" s="644"/>
      <c r="FM17" s="644"/>
      <c r="FN17" s="644"/>
      <c r="FO17" s="644"/>
      <c r="FP17" s="644"/>
      <c r="FQ17" s="644"/>
      <c r="FR17" s="644"/>
      <c r="FS17" s="644"/>
      <c r="FT17" s="644"/>
      <c r="FU17" s="644"/>
      <c r="FV17" s="644"/>
      <c r="FW17" s="644"/>
      <c r="FX17" s="644"/>
      <c r="FY17" s="644"/>
      <c r="FZ17" s="644"/>
      <c r="GA17" s="644"/>
      <c r="GB17" s="644"/>
      <c r="GC17" s="644"/>
      <c r="GD17" s="644"/>
      <c r="GE17" s="644"/>
      <c r="GF17" s="644"/>
      <c r="GG17" s="644"/>
      <c r="GH17" s="644"/>
      <c r="GI17" s="644"/>
      <c r="GJ17" s="644"/>
      <c r="GK17" s="644"/>
      <c r="GL17" s="644"/>
      <c r="GM17" s="644"/>
      <c r="GN17" s="644"/>
      <c r="GO17" s="644"/>
      <c r="GP17" s="644"/>
      <c r="GQ17" s="644"/>
      <c r="GR17" s="644"/>
      <c r="GS17" s="644"/>
      <c r="GT17" s="644"/>
      <c r="GU17" s="644"/>
      <c r="GV17" s="644"/>
      <c r="GW17" s="644"/>
      <c r="GX17" s="644"/>
      <c r="GY17" s="644"/>
      <c r="GZ17" s="644"/>
      <c r="HA17" s="644"/>
      <c r="HB17" s="644"/>
      <c r="HC17" s="644"/>
      <c r="HD17" s="644"/>
      <c r="HE17" s="644"/>
      <c r="HF17" s="644"/>
      <c r="HG17" s="644"/>
      <c r="HH17" s="644"/>
      <c r="HI17" s="644"/>
      <c r="HJ17" s="644"/>
      <c r="HK17" s="644"/>
      <c r="HL17" s="644"/>
      <c r="HM17" s="644"/>
      <c r="HN17" s="644"/>
      <c r="HO17" s="644"/>
      <c r="HP17" s="644"/>
      <c r="HQ17" s="644"/>
      <c r="HR17" s="644"/>
      <c r="HS17" s="644"/>
      <c r="HT17" s="644"/>
      <c r="HU17" s="644"/>
      <c r="HV17" s="644"/>
      <c r="HW17" s="644"/>
      <c r="HX17" s="644"/>
      <c r="HY17" s="644"/>
      <c r="HZ17" s="644"/>
      <c r="IA17" s="644"/>
      <c r="IB17" s="644"/>
      <c r="IC17" s="644"/>
      <c r="ID17" s="644"/>
      <c r="IE17" s="644"/>
      <c r="IF17" s="644"/>
      <c r="IG17" s="644"/>
      <c r="IH17" s="644"/>
      <c r="II17" s="644"/>
      <c r="IJ17" s="644"/>
      <c r="IK17" s="644"/>
      <c r="IL17" s="644"/>
      <c r="IM17" s="644"/>
      <c r="IN17" s="644"/>
      <c r="IO17" s="644"/>
      <c r="IP17" s="644"/>
      <c r="IQ17" s="644"/>
      <c r="IR17" s="644"/>
      <c r="IS17" s="644"/>
      <c r="IT17" s="644"/>
      <c r="IU17" s="644"/>
      <c r="IV17" s="644"/>
    </row>
    <row r="18" spans="1:256" s="643" customFormat="1">
      <c r="A18" s="644"/>
      <c r="B18" s="647"/>
      <c r="C18" s="644"/>
      <c r="D18" s="644" t="s">
        <v>651</v>
      </c>
      <c r="E18" s="644"/>
      <c r="F18" s="644"/>
      <c r="G18" s="644"/>
      <c r="H18" s="644"/>
      <c r="I18" s="663"/>
      <c r="J18" s="644"/>
      <c r="K18" s="644"/>
      <c r="L18" s="660">
        <v>0.05</v>
      </c>
      <c r="N18" s="644"/>
      <c r="O18" s="644"/>
      <c r="P18" s="647"/>
      <c r="Q18" s="644"/>
      <c r="R18" s="644" t="s">
        <v>651</v>
      </c>
      <c r="S18" s="644"/>
      <c r="T18" s="644"/>
      <c r="U18" s="644"/>
      <c r="V18" s="644"/>
      <c r="W18" s="644"/>
      <c r="X18" s="645"/>
      <c r="Y18" s="644"/>
      <c r="Z18" s="660">
        <v>0</v>
      </c>
      <c r="AB18" s="644"/>
      <c r="AC18" s="644"/>
      <c r="AD18" s="644"/>
      <c r="AE18" s="644"/>
      <c r="AF18" s="644"/>
      <c r="AG18" s="644"/>
      <c r="AH18" s="644"/>
      <c r="AI18" s="644"/>
      <c r="AJ18" s="644"/>
      <c r="AK18" s="644"/>
      <c r="AL18" s="644"/>
      <c r="AM18" s="644"/>
      <c r="AN18" s="644"/>
      <c r="AO18" s="644"/>
      <c r="AP18" s="644"/>
      <c r="AQ18" s="644"/>
      <c r="AR18" s="644"/>
      <c r="AS18" s="644"/>
      <c r="AT18" s="644"/>
      <c r="AU18" s="644"/>
      <c r="AV18" s="644"/>
      <c r="AW18" s="644"/>
      <c r="AX18" s="644"/>
      <c r="AY18" s="644"/>
      <c r="AZ18" s="644"/>
      <c r="BA18" s="644"/>
      <c r="BB18" s="644"/>
      <c r="BC18" s="644"/>
      <c r="BD18" s="644"/>
      <c r="BE18" s="644"/>
      <c r="BF18" s="644"/>
      <c r="BG18" s="644"/>
      <c r="BH18" s="644"/>
      <c r="BI18" s="644"/>
      <c r="BJ18" s="644"/>
      <c r="BK18" s="644"/>
      <c r="BL18" s="644"/>
      <c r="BM18" s="644"/>
      <c r="BN18" s="644"/>
      <c r="BO18" s="644"/>
      <c r="BP18" s="644"/>
      <c r="BQ18" s="644"/>
      <c r="BR18" s="644"/>
      <c r="BS18" s="644"/>
      <c r="BT18" s="644"/>
      <c r="BU18" s="644"/>
      <c r="BV18" s="644"/>
      <c r="BW18" s="644"/>
      <c r="BX18" s="644"/>
      <c r="BY18" s="644"/>
      <c r="BZ18" s="644"/>
      <c r="CA18" s="644"/>
      <c r="CB18" s="644"/>
      <c r="CC18" s="644"/>
      <c r="CD18" s="644"/>
      <c r="CE18" s="644"/>
      <c r="CF18" s="644"/>
      <c r="CG18" s="644"/>
      <c r="CH18" s="644"/>
      <c r="CI18" s="644"/>
      <c r="CJ18" s="644"/>
      <c r="CK18" s="644"/>
      <c r="CL18" s="644"/>
      <c r="CM18" s="644"/>
      <c r="CN18" s="644"/>
      <c r="CO18" s="644"/>
      <c r="CP18" s="644"/>
      <c r="CQ18" s="644"/>
      <c r="CR18" s="644"/>
      <c r="CS18" s="644"/>
      <c r="CT18" s="644"/>
      <c r="CU18" s="644"/>
      <c r="CV18" s="644"/>
      <c r="CW18" s="644"/>
      <c r="CX18" s="644"/>
      <c r="CY18" s="644"/>
      <c r="CZ18" s="644"/>
      <c r="DA18" s="644"/>
      <c r="DB18" s="644"/>
      <c r="DC18" s="644"/>
      <c r="DD18" s="644"/>
      <c r="DE18" s="644"/>
      <c r="DF18" s="644"/>
      <c r="DG18" s="644"/>
      <c r="DH18" s="644"/>
      <c r="DI18" s="644"/>
      <c r="DJ18" s="644"/>
      <c r="DK18" s="644"/>
      <c r="DL18" s="644"/>
      <c r="DM18" s="644"/>
      <c r="DN18" s="644"/>
      <c r="DO18" s="644"/>
      <c r="DP18" s="644"/>
      <c r="DQ18" s="644"/>
      <c r="DR18" s="644"/>
      <c r="DS18" s="644"/>
      <c r="DT18" s="644"/>
      <c r="DU18" s="644"/>
      <c r="DV18" s="644"/>
      <c r="DW18" s="644"/>
      <c r="DX18" s="644"/>
      <c r="DY18" s="644"/>
      <c r="DZ18" s="644"/>
      <c r="EA18" s="644"/>
      <c r="EB18" s="644"/>
      <c r="EC18" s="644"/>
      <c r="ED18" s="644"/>
      <c r="EE18" s="644"/>
      <c r="EF18" s="644"/>
      <c r="EG18" s="644"/>
      <c r="EH18" s="644"/>
      <c r="EI18" s="644"/>
      <c r="EJ18" s="644"/>
      <c r="EK18" s="644"/>
      <c r="EL18" s="644"/>
      <c r="EM18" s="644"/>
      <c r="EN18" s="644"/>
      <c r="EO18" s="644"/>
      <c r="EP18" s="644"/>
      <c r="EQ18" s="644"/>
      <c r="ER18" s="644"/>
      <c r="ES18" s="644"/>
      <c r="ET18" s="644"/>
      <c r="EU18" s="644"/>
      <c r="EV18" s="644"/>
      <c r="EW18" s="644"/>
      <c r="EX18" s="644"/>
      <c r="EY18" s="644"/>
      <c r="EZ18" s="644"/>
      <c r="FA18" s="644"/>
      <c r="FB18" s="644"/>
      <c r="FC18" s="644"/>
      <c r="FD18" s="644"/>
      <c r="FE18" s="644"/>
      <c r="FF18" s="644"/>
      <c r="FG18" s="644"/>
      <c r="FH18" s="644"/>
      <c r="FI18" s="644"/>
      <c r="FJ18" s="644"/>
      <c r="FK18" s="644"/>
      <c r="FL18" s="644"/>
      <c r="FM18" s="644"/>
      <c r="FN18" s="644"/>
      <c r="FO18" s="644"/>
      <c r="FP18" s="644"/>
      <c r="FQ18" s="644"/>
      <c r="FR18" s="644"/>
      <c r="FS18" s="644"/>
      <c r="FT18" s="644"/>
      <c r="FU18" s="644"/>
      <c r="FV18" s="644"/>
      <c r="FW18" s="644"/>
      <c r="FX18" s="644"/>
      <c r="FY18" s="644"/>
      <c r="FZ18" s="644"/>
      <c r="GA18" s="644"/>
      <c r="GB18" s="644"/>
      <c r="GC18" s="644"/>
      <c r="GD18" s="644"/>
      <c r="GE18" s="644"/>
      <c r="GF18" s="644"/>
      <c r="GG18" s="644"/>
      <c r="GH18" s="644"/>
      <c r="GI18" s="644"/>
      <c r="GJ18" s="644"/>
      <c r="GK18" s="644"/>
      <c r="GL18" s="644"/>
      <c r="GM18" s="644"/>
      <c r="GN18" s="644"/>
      <c r="GO18" s="644"/>
      <c r="GP18" s="644"/>
      <c r="GQ18" s="644"/>
      <c r="GR18" s="644"/>
      <c r="GS18" s="644"/>
      <c r="GT18" s="644"/>
      <c r="GU18" s="644"/>
      <c r="GV18" s="644"/>
      <c r="GW18" s="644"/>
      <c r="GX18" s="644"/>
      <c r="GY18" s="644"/>
      <c r="GZ18" s="644"/>
      <c r="HA18" s="644"/>
      <c r="HB18" s="644"/>
      <c r="HC18" s="644"/>
      <c r="HD18" s="644"/>
      <c r="HE18" s="644"/>
      <c r="HF18" s="644"/>
      <c r="HG18" s="644"/>
      <c r="HH18" s="644"/>
      <c r="HI18" s="644"/>
      <c r="HJ18" s="644"/>
      <c r="HK18" s="644"/>
      <c r="HL18" s="644"/>
      <c r="HM18" s="644"/>
      <c r="HN18" s="644"/>
      <c r="HO18" s="644"/>
      <c r="HP18" s="644"/>
      <c r="HQ18" s="644"/>
      <c r="HR18" s="644"/>
      <c r="HS18" s="644"/>
      <c r="HT18" s="644"/>
      <c r="HU18" s="644"/>
      <c r="HV18" s="644"/>
      <c r="HW18" s="644"/>
      <c r="HX18" s="644"/>
      <c r="HY18" s="644"/>
      <c r="HZ18" s="644"/>
      <c r="IA18" s="644"/>
      <c r="IB18" s="644"/>
      <c r="IC18" s="644"/>
      <c r="ID18" s="644"/>
      <c r="IE18" s="644"/>
      <c r="IF18" s="644"/>
      <c r="IG18" s="644"/>
      <c r="IH18" s="644"/>
      <c r="II18" s="644"/>
      <c r="IJ18" s="644"/>
      <c r="IK18" s="644"/>
      <c r="IL18" s="644"/>
      <c r="IM18" s="644"/>
      <c r="IN18" s="644"/>
      <c r="IO18" s="644"/>
      <c r="IP18" s="644"/>
      <c r="IQ18" s="644"/>
      <c r="IR18" s="644"/>
      <c r="IS18" s="644"/>
      <c r="IT18" s="644"/>
      <c r="IU18" s="644"/>
      <c r="IV18" s="644"/>
    </row>
    <row r="19" spans="1:256" s="643" customFormat="1">
      <c r="A19" s="644"/>
      <c r="B19" s="647"/>
      <c r="C19" s="644"/>
      <c r="D19" s="644" t="s">
        <v>652</v>
      </c>
      <c r="E19" s="644"/>
      <c r="F19" s="644"/>
      <c r="G19" s="644"/>
      <c r="H19" s="644"/>
      <c r="I19" s="663"/>
      <c r="J19" s="644"/>
      <c r="K19" s="644"/>
      <c r="L19" s="660">
        <v>0.02</v>
      </c>
      <c r="N19" s="644"/>
      <c r="O19" s="644"/>
      <c r="P19" s="647"/>
      <c r="Q19" s="644"/>
      <c r="R19" s="644" t="s">
        <v>652</v>
      </c>
      <c r="S19" s="644"/>
      <c r="T19" s="644"/>
      <c r="U19" s="644"/>
      <c r="V19" s="644"/>
      <c r="W19" s="644"/>
      <c r="X19" s="645"/>
      <c r="Y19" s="644"/>
      <c r="Z19" s="660">
        <v>0.02</v>
      </c>
      <c r="AB19" s="644"/>
      <c r="AC19" s="644"/>
      <c r="AD19" s="644"/>
      <c r="AE19" s="644"/>
      <c r="AF19" s="644"/>
      <c r="AG19" s="644"/>
      <c r="AH19" s="644"/>
      <c r="AI19" s="644"/>
      <c r="AJ19" s="644"/>
      <c r="AK19" s="644"/>
      <c r="AL19" s="644"/>
      <c r="AM19" s="644"/>
      <c r="AN19" s="644"/>
      <c r="AO19" s="644"/>
      <c r="AP19" s="644"/>
      <c r="AQ19" s="644"/>
      <c r="AR19" s="644"/>
      <c r="AS19" s="644"/>
      <c r="AT19" s="644"/>
      <c r="AU19" s="644"/>
      <c r="AV19" s="644"/>
      <c r="AW19" s="644"/>
      <c r="AX19" s="644"/>
      <c r="AY19" s="644"/>
      <c r="AZ19" s="644"/>
      <c r="BA19" s="644"/>
      <c r="BB19" s="644"/>
      <c r="BC19" s="644"/>
      <c r="BD19" s="644"/>
      <c r="BE19" s="644"/>
      <c r="BF19" s="644"/>
      <c r="BG19" s="644"/>
      <c r="BH19" s="644"/>
      <c r="BI19" s="644"/>
      <c r="BJ19" s="644"/>
      <c r="BK19" s="644"/>
      <c r="BL19" s="644"/>
      <c r="BM19" s="644"/>
      <c r="BN19" s="644"/>
      <c r="BO19" s="644"/>
      <c r="BP19" s="644"/>
      <c r="BQ19" s="644"/>
      <c r="BR19" s="644"/>
      <c r="BS19" s="644"/>
      <c r="BT19" s="644"/>
      <c r="BU19" s="644"/>
      <c r="BV19" s="644"/>
      <c r="BW19" s="644"/>
      <c r="BX19" s="644"/>
      <c r="BY19" s="644"/>
      <c r="BZ19" s="644"/>
      <c r="CA19" s="644"/>
      <c r="CB19" s="644"/>
      <c r="CC19" s="644"/>
      <c r="CD19" s="644"/>
      <c r="CE19" s="644"/>
      <c r="CF19" s="644"/>
      <c r="CG19" s="644"/>
      <c r="CH19" s="644"/>
      <c r="CI19" s="644"/>
      <c r="CJ19" s="644"/>
      <c r="CK19" s="644"/>
      <c r="CL19" s="644"/>
      <c r="CM19" s="644"/>
      <c r="CN19" s="644"/>
      <c r="CO19" s="644"/>
      <c r="CP19" s="644"/>
      <c r="CQ19" s="644"/>
      <c r="CR19" s="644"/>
      <c r="CS19" s="644"/>
      <c r="CT19" s="644"/>
      <c r="CU19" s="644"/>
      <c r="CV19" s="644"/>
      <c r="CW19" s="644"/>
      <c r="CX19" s="644"/>
      <c r="CY19" s="644"/>
      <c r="CZ19" s="644"/>
      <c r="DA19" s="644"/>
      <c r="DB19" s="644"/>
      <c r="DC19" s="644"/>
      <c r="DD19" s="644"/>
      <c r="DE19" s="644"/>
      <c r="DF19" s="644"/>
      <c r="DG19" s="644"/>
      <c r="DH19" s="644"/>
      <c r="DI19" s="644"/>
      <c r="DJ19" s="644"/>
      <c r="DK19" s="644"/>
      <c r="DL19" s="644"/>
      <c r="DM19" s="644"/>
      <c r="DN19" s="644"/>
      <c r="DO19" s="644"/>
      <c r="DP19" s="644"/>
      <c r="DQ19" s="644"/>
      <c r="DR19" s="644"/>
      <c r="DS19" s="644"/>
      <c r="DT19" s="644"/>
      <c r="DU19" s="644"/>
      <c r="DV19" s="644"/>
      <c r="DW19" s="644"/>
      <c r="DX19" s="644"/>
      <c r="DY19" s="644"/>
      <c r="DZ19" s="644"/>
      <c r="EA19" s="644"/>
      <c r="EB19" s="644"/>
      <c r="EC19" s="644"/>
      <c r="ED19" s="644"/>
      <c r="EE19" s="644"/>
      <c r="EF19" s="644"/>
      <c r="EG19" s="644"/>
      <c r="EH19" s="644"/>
      <c r="EI19" s="644"/>
      <c r="EJ19" s="644"/>
      <c r="EK19" s="644"/>
      <c r="EL19" s="644"/>
      <c r="EM19" s="644"/>
      <c r="EN19" s="644"/>
      <c r="EO19" s="644"/>
      <c r="EP19" s="644"/>
      <c r="EQ19" s="644"/>
      <c r="ER19" s="644"/>
      <c r="ES19" s="644"/>
      <c r="ET19" s="644"/>
      <c r="EU19" s="644"/>
      <c r="EV19" s="644"/>
      <c r="EW19" s="644"/>
      <c r="EX19" s="644"/>
      <c r="EY19" s="644"/>
      <c r="EZ19" s="644"/>
      <c r="FA19" s="644"/>
      <c r="FB19" s="644"/>
      <c r="FC19" s="644"/>
      <c r="FD19" s="644"/>
      <c r="FE19" s="644"/>
      <c r="FF19" s="644"/>
      <c r="FG19" s="644"/>
      <c r="FH19" s="644"/>
      <c r="FI19" s="644"/>
      <c r="FJ19" s="644"/>
      <c r="FK19" s="644"/>
      <c r="FL19" s="644"/>
      <c r="FM19" s="644"/>
      <c r="FN19" s="644"/>
      <c r="FO19" s="644"/>
      <c r="FP19" s="644"/>
      <c r="FQ19" s="644"/>
      <c r="FR19" s="644"/>
      <c r="FS19" s="644"/>
      <c r="FT19" s="644"/>
      <c r="FU19" s="644"/>
      <c r="FV19" s="644"/>
      <c r="FW19" s="644"/>
      <c r="FX19" s="644"/>
      <c r="FY19" s="644"/>
      <c r="FZ19" s="644"/>
      <c r="GA19" s="644"/>
      <c r="GB19" s="644"/>
      <c r="GC19" s="644"/>
      <c r="GD19" s="644"/>
      <c r="GE19" s="644"/>
      <c r="GF19" s="644"/>
      <c r="GG19" s="644"/>
      <c r="GH19" s="644"/>
      <c r="GI19" s="644"/>
      <c r="GJ19" s="644"/>
      <c r="GK19" s="644"/>
      <c r="GL19" s="644"/>
      <c r="GM19" s="644"/>
      <c r="GN19" s="644"/>
      <c r="GO19" s="644"/>
      <c r="GP19" s="644"/>
      <c r="GQ19" s="644"/>
      <c r="GR19" s="644"/>
      <c r="GS19" s="644"/>
      <c r="GT19" s="644"/>
      <c r="GU19" s="644"/>
      <c r="GV19" s="644"/>
      <c r="GW19" s="644"/>
      <c r="GX19" s="644"/>
      <c r="GY19" s="644"/>
      <c r="GZ19" s="644"/>
      <c r="HA19" s="644"/>
      <c r="HB19" s="644"/>
      <c r="HC19" s="644"/>
      <c r="HD19" s="644"/>
      <c r="HE19" s="644"/>
      <c r="HF19" s="644"/>
      <c r="HG19" s="644"/>
      <c r="HH19" s="644"/>
      <c r="HI19" s="644"/>
      <c r="HJ19" s="644"/>
      <c r="HK19" s="644"/>
      <c r="HL19" s="644"/>
      <c r="HM19" s="644"/>
      <c r="HN19" s="644"/>
      <c r="HO19" s="644"/>
      <c r="HP19" s="644"/>
      <c r="HQ19" s="644"/>
      <c r="HR19" s="644"/>
      <c r="HS19" s="644"/>
      <c r="HT19" s="644"/>
      <c r="HU19" s="644"/>
      <c r="HV19" s="644"/>
      <c r="HW19" s="644"/>
      <c r="HX19" s="644"/>
      <c r="HY19" s="644"/>
      <c r="HZ19" s="644"/>
      <c r="IA19" s="644"/>
      <c r="IB19" s="644"/>
      <c r="IC19" s="644"/>
      <c r="ID19" s="644"/>
      <c r="IE19" s="644"/>
      <c r="IF19" s="644"/>
      <c r="IG19" s="644"/>
      <c r="IH19" s="644"/>
      <c r="II19" s="644"/>
      <c r="IJ19" s="644"/>
      <c r="IK19" s="644"/>
      <c r="IL19" s="644"/>
      <c r="IM19" s="644"/>
      <c r="IN19" s="644"/>
      <c r="IO19" s="644"/>
      <c r="IP19" s="644"/>
      <c r="IQ19" s="644"/>
      <c r="IR19" s="644"/>
      <c r="IS19" s="644"/>
      <c r="IT19" s="644"/>
      <c r="IU19" s="644"/>
      <c r="IV19" s="644"/>
    </row>
    <row r="20" spans="1:256" s="643" customFormat="1">
      <c r="A20" s="644"/>
      <c r="B20" s="647"/>
      <c r="C20" s="659"/>
      <c r="D20" s="644"/>
      <c r="E20" s="644"/>
      <c r="F20" s="644"/>
      <c r="G20" s="644"/>
      <c r="H20" s="644"/>
      <c r="I20" s="663"/>
      <c r="J20" s="644"/>
      <c r="K20" s="644"/>
      <c r="L20" s="664"/>
      <c r="N20" s="644"/>
      <c r="O20" s="644"/>
      <c r="P20" s="647"/>
      <c r="Q20" s="659"/>
      <c r="R20" s="644"/>
      <c r="S20" s="644"/>
      <c r="T20" s="644"/>
      <c r="U20" s="644"/>
      <c r="V20" s="644"/>
      <c r="W20" s="644"/>
      <c r="X20" s="645"/>
      <c r="Y20" s="644"/>
      <c r="Z20" s="664"/>
      <c r="AB20" s="644"/>
      <c r="AC20" s="644"/>
      <c r="AD20" s="644"/>
      <c r="AE20" s="644"/>
      <c r="AF20" s="644"/>
      <c r="AG20" s="644"/>
      <c r="AH20" s="644"/>
      <c r="AI20" s="644"/>
      <c r="AJ20" s="644"/>
      <c r="AK20" s="644"/>
      <c r="AL20" s="644"/>
      <c r="AM20" s="644"/>
      <c r="AN20" s="644"/>
      <c r="AO20" s="644"/>
      <c r="AP20" s="644"/>
      <c r="AQ20" s="644"/>
      <c r="AR20" s="644"/>
      <c r="AS20" s="644"/>
      <c r="AT20" s="644"/>
      <c r="AU20" s="644"/>
      <c r="AV20" s="644"/>
      <c r="AW20" s="644"/>
      <c r="AX20" s="644"/>
      <c r="AY20" s="644"/>
      <c r="AZ20" s="644"/>
      <c r="BA20" s="644"/>
      <c r="BB20" s="644"/>
      <c r="BC20" s="644"/>
      <c r="BD20" s="644"/>
      <c r="BE20" s="644"/>
      <c r="BF20" s="644"/>
      <c r="BG20" s="644"/>
      <c r="BH20" s="644"/>
      <c r="BI20" s="644"/>
      <c r="BJ20" s="644"/>
      <c r="BK20" s="644"/>
      <c r="BL20" s="644"/>
      <c r="BM20" s="644"/>
      <c r="BN20" s="644"/>
      <c r="BO20" s="644"/>
      <c r="BP20" s="644"/>
      <c r="BQ20" s="644"/>
      <c r="BR20" s="644"/>
      <c r="BS20" s="644"/>
      <c r="BT20" s="644"/>
      <c r="BU20" s="644"/>
      <c r="BV20" s="644"/>
      <c r="BW20" s="644"/>
      <c r="BX20" s="644"/>
      <c r="BY20" s="644"/>
      <c r="BZ20" s="644"/>
      <c r="CA20" s="644"/>
      <c r="CB20" s="644"/>
      <c r="CC20" s="644"/>
      <c r="CD20" s="644"/>
      <c r="CE20" s="644"/>
      <c r="CF20" s="644"/>
      <c r="CG20" s="644"/>
      <c r="CH20" s="644"/>
      <c r="CI20" s="644"/>
      <c r="CJ20" s="644"/>
      <c r="CK20" s="644"/>
      <c r="CL20" s="644"/>
      <c r="CM20" s="644"/>
      <c r="CN20" s="644"/>
      <c r="CO20" s="644"/>
      <c r="CP20" s="644"/>
      <c r="CQ20" s="644"/>
      <c r="CR20" s="644"/>
      <c r="CS20" s="644"/>
      <c r="CT20" s="644"/>
      <c r="CU20" s="644"/>
      <c r="CV20" s="644"/>
      <c r="CW20" s="644"/>
      <c r="CX20" s="644"/>
      <c r="CY20" s="644"/>
      <c r="CZ20" s="644"/>
      <c r="DA20" s="644"/>
      <c r="DB20" s="644"/>
      <c r="DC20" s="644"/>
      <c r="DD20" s="644"/>
      <c r="DE20" s="644"/>
      <c r="DF20" s="644"/>
      <c r="DG20" s="644"/>
      <c r="DH20" s="644"/>
      <c r="DI20" s="644"/>
      <c r="DJ20" s="644"/>
      <c r="DK20" s="644"/>
      <c r="DL20" s="644"/>
      <c r="DM20" s="644"/>
      <c r="DN20" s="644"/>
      <c r="DO20" s="644"/>
      <c r="DP20" s="644"/>
      <c r="DQ20" s="644"/>
      <c r="DR20" s="644"/>
      <c r="DS20" s="644"/>
      <c r="DT20" s="644"/>
      <c r="DU20" s="644"/>
      <c r="DV20" s="644"/>
      <c r="DW20" s="644"/>
      <c r="DX20" s="644"/>
      <c r="DY20" s="644"/>
      <c r="DZ20" s="644"/>
      <c r="EA20" s="644"/>
      <c r="EB20" s="644"/>
      <c r="EC20" s="644"/>
      <c r="ED20" s="644"/>
      <c r="EE20" s="644"/>
      <c r="EF20" s="644"/>
      <c r="EG20" s="644"/>
      <c r="EH20" s="644"/>
      <c r="EI20" s="644"/>
      <c r="EJ20" s="644"/>
      <c r="EK20" s="644"/>
      <c r="EL20" s="644"/>
      <c r="EM20" s="644"/>
      <c r="EN20" s="644"/>
      <c r="EO20" s="644"/>
      <c r="EP20" s="644"/>
      <c r="EQ20" s="644"/>
      <c r="ER20" s="644"/>
      <c r="ES20" s="644"/>
      <c r="ET20" s="644"/>
      <c r="EU20" s="644"/>
      <c r="EV20" s="644"/>
      <c r="EW20" s="644"/>
      <c r="EX20" s="644"/>
      <c r="EY20" s="644"/>
      <c r="EZ20" s="644"/>
      <c r="FA20" s="644"/>
      <c r="FB20" s="644"/>
      <c r="FC20" s="644"/>
      <c r="FD20" s="644"/>
      <c r="FE20" s="644"/>
      <c r="FF20" s="644"/>
      <c r="FG20" s="644"/>
      <c r="FH20" s="644"/>
      <c r="FI20" s="644"/>
      <c r="FJ20" s="644"/>
      <c r="FK20" s="644"/>
      <c r="FL20" s="644"/>
      <c r="FM20" s="644"/>
      <c r="FN20" s="644"/>
      <c r="FO20" s="644"/>
      <c r="FP20" s="644"/>
      <c r="FQ20" s="644"/>
      <c r="FR20" s="644"/>
      <c r="FS20" s="644"/>
      <c r="FT20" s="644"/>
      <c r="FU20" s="644"/>
      <c r="FV20" s="644"/>
      <c r="FW20" s="644"/>
      <c r="FX20" s="644"/>
      <c r="FY20" s="644"/>
      <c r="FZ20" s="644"/>
      <c r="GA20" s="644"/>
      <c r="GB20" s="644"/>
      <c r="GC20" s="644"/>
      <c r="GD20" s="644"/>
      <c r="GE20" s="644"/>
      <c r="GF20" s="644"/>
      <c r="GG20" s="644"/>
      <c r="GH20" s="644"/>
      <c r="GI20" s="644"/>
      <c r="GJ20" s="644"/>
      <c r="GK20" s="644"/>
      <c r="GL20" s="644"/>
      <c r="GM20" s="644"/>
      <c r="GN20" s="644"/>
      <c r="GO20" s="644"/>
      <c r="GP20" s="644"/>
      <c r="GQ20" s="644"/>
      <c r="GR20" s="644"/>
      <c r="GS20" s="644"/>
      <c r="GT20" s="644"/>
      <c r="GU20" s="644"/>
      <c r="GV20" s="644"/>
      <c r="GW20" s="644"/>
      <c r="GX20" s="644"/>
      <c r="GY20" s="644"/>
      <c r="GZ20" s="644"/>
      <c r="HA20" s="644"/>
      <c r="HB20" s="644"/>
      <c r="HC20" s="644"/>
      <c r="HD20" s="644"/>
      <c r="HE20" s="644"/>
      <c r="HF20" s="644"/>
      <c r="HG20" s="644"/>
      <c r="HH20" s="644"/>
      <c r="HI20" s="644"/>
      <c r="HJ20" s="644"/>
      <c r="HK20" s="644"/>
      <c r="HL20" s="644"/>
      <c r="HM20" s="644"/>
      <c r="HN20" s="644"/>
      <c r="HO20" s="644"/>
      <c r="HP20" s="644"/>
      <c r="HQ20" s="644"/>
      <c r="HR20" s="644"/>
      <c r="HS20" s="644"/>
      <c r="HT20" s="644"/>
      <c r="HU20" s="644"/>
      <c r="HV20" s="644"/>
      <c r="HW20" s="644"/>
      <c r="HX20" s="644"/>
      <c r="HY20" s="644"/>
      <c r="HZ20" s="644"/>
      <c r="IA20" s="644"/>
      <c r="IB20" s="644"/>
      <c r="IC20" s="644"/>
      <c r="ID20" s="644"/>
      <c r="IE20" s="644"/>
      <c r="IF20" s="644"/>
      <c r="IG20" s="644"/>
      <c r="IH20" s="644"/>
      <c r="II20" s="644"/>
      <c r="IJ20" s="644"/>
      <c r="IK20" s="644"/>
      <c r="IL20" s="644"/>
      <c r="IM20" s="644"/>
      <c r="IN20" s="644"/>
      <c r="IO20" s="644"/>
      <c r="IP20" s="644"/>
      <c r="IQ20" s="644"/>
      <c r="IR20" s="644"/>
      <c r="IS20" s="644"/>
      <c r="IT20" s="644"/>
      <c r="IU20" s="644"/>
      <c r="IV20" s="644"/>
    </row>
    <row r="21" spans="1:256" s="643" customFormat="1">
      <c r="A21" s="644"/>
      <c r="B21" s="647"/>
      <c r="C21" s="644"/>
      <c r="D21" s="644" t="s">
        <v>653</v>
      </c>
      <c r="E21" s="644"/>
      <c r="F21" s="644"/>
      <c r="G21" s="644"/>
      <c r="H21" s="644"/>
      <c r="I21" s="663"/>
      <c r="J21" s="644"/>
      <c r="K21" s="644"/>
      <c r="L21" s="664"/>
      <c r="N21" s="644"/>
      <c r="O21" s="644"/>
      <c r="P21" s="647"/>
      <c r="Q21" s="644"/>
      <c r="R21" s="644" t="s">
        <v>653</v>
      </c>
      <c r="S21" s="644"/>
      <c r="T21" s="644"/>
      <c r="U21" s="644"/>
      <c r="V21" s="644"/>
      <c r="W21" s="644"/>
      <c r="X21" s="645"/>
      <c r="Y21" s="644"/>
      <c r="Z21" s="664"/>
      <c r="AB21" s="644"/>
      <c r="AC21" s="644"/>
      <c r="AD21" s="644"/>
      <c r="AE21" s="644"/>
      <c r="AF21" s="644"/>
      <c r="AG21" s="644"/>
      <c r="AH21" s="644"/>
      <c r="AI21" s="644"/>
      <c r="AJ21" s="644"/>
      <c r="AK21" s="644"/>
      <c r="AL21" s="644"/>
      <c r="AM21" s="644"/>
      <c r="AN21" s="644"/>
      <c r="AO21" s="644"/>
      <c r="AP21" s="644"/>
      <c r="AQ21" s="644"/>
      <c r="AR21" s="644"/>
      <c r="AS21" s="644"/>
      <c r="AT21" s="644"/>
      <c r="AU21" s="644"/>
      <c r="AV21" s="644"/>
      <c r="AW21" s="644"/>
      <c r="AX21" s="644"/>
      <c r="AY21" s="644"/>
      <c r="AZ21" s="644"/>
      <c r="BA21" s="644"/>
      <c r="BB21" s="644"/>
      <c r="BC21" s="644"/>
      <c r="BD21" s="644"/>
      <c r="BE21" s="644"/>
      <c r="BF21" s="644"/>
      <c r="BG21" s="644"/>
      <c r="BH21" s="644"/>
      <c r="BI21" s="644"/>
      <c r="BJ21" s="644"/>
      <c r="BK21" s="644"/>
      <c r="BL21" s="644"/>
      <c r="BM21" s="644"/>
      <c r="BN21" s="644"/>
      <c r="BO21" s="644"/>
      <c r="BP21" s="644"/>
      <c r="BQ21" s="644"/>
      <c r="BR21" s="644"/>
      <c r="BS21" s="644"/>
      <c r="BT21" s="644"/>
      <c r="BU21" s="644"/>
      <c r="BV21" s="644"/>
      <c r="BW21" s="644"/>
      <c r="BX21" s="644"/>
      <c r="BY21" s="644"/>
      <c r="BZ21" s="644"/>
      <c r="CA21" s="644"/>
      <c r="CB21" s="644"/>
      <c r="CC21" s="644"/>
      <c r="CD21" s="644"/>
      <c r="CE21" s="644"/>
      <c r="CF21" s="644"/>
      <c r="CG21" s="644"/>
      <c r="CH21" s="644"/>
      <c r="CI21" s="644"/>
      <c r="CJ21" s="644"/>
      <c r="CK21" s="644"/>
      <c r="CL21" s="644"/>
      <c r="CM21" s="644"/>
      <c r="CN21" s="644"/>
      <c r="CO21" s="644"/>
      <c r="CP21" s="644"/>
      <c r="CQ21" s="644"/>
      <c r="CR21" s="644"/>
      <c r="CS21" s="644"/>
      <c r="CT21" s="644"/>
      <c r="CU21" s="644"/>
      <c r="CV21" s="644"/>
      <c r="CW21" s="644"/>
      <c r="CX21" s="644"/>
      <c r="CY21" s="644"/>
      <c r="CZ21" s="644"/>
      <c r="DA21" s="644"/>
      <c r="DB21" s="644"/>
      <c r="DC21" s="644"/>
      <c r="DD21" s="644"/>
      <c r="DE21" s="644"/>
      <c r="DF21" s="644"/>
      <c r="DG21" s="644"/>
      <c r="DH21" s="644"/>
      <c r="DI21" s="644"/>
      <c r="DJ21" s="644"/>
      <c r="DK21" s="644"/>
      <c r="DL21" s="644"/>
      <c r="DM21" s="644"/>
      <c r="DN21" s="644"/>
      <c r="DO21" s="644"/>
      <c r="DP21" s="644"/>
      <c r="DQ21" s="644"/>
      <c r="DR21" s="644"/>
      <c r="DS21" s="644"/>
      <c r="DT21" s="644"/>
      <c r="DU21" s="644"/>
      <c r="DV21" s="644"/>
      <c r="DW21" s="644"/>
      <c r="DX21" s="644"/>
      <c r="DY21" s="644"/>
      <c r="DZ21" s="644"/>
      <c r="EA21" s="644"/>
      <c r="EB21" s="644"/>
      <c r="EC21" s="644"/>
      <c r="ED21" s="644"/>
      <c r="EE21" s="644"/>
      <c r="EF21" s="644"/>
      <c r="EG21" s="644"/>
      <c r="EH21" s="644"/>
      <c r="EI21" s="644"/>
      <c r="EJ21" s="644"/>
      <c r="EK21" s="644"/>
      <c r="EL21" s="644"/>
      <c r="EM21" s="644"/>
      <c r="EN21" s="644"/>
      <c r="EO21" s="644"/>
      <c r="EP21" s="644"/>
      <c r="EQ21" s="644"/>
      <c r="ER21" s="644"/>
      <c r="ES21" s="644"/>
      <c r="ET21" s="644"/>
      <c r="EU21" s="644"/>
      <c r="EV21" s="644"/>
      <c r="EW21" s="644"/>
      <c r="EX21" s="644"/>
      <c r="EY21" s="644"/>
      <c r="EZ21" s="644"/>
      <c r="FA21" s="644"/>
      <c r="FB21" s="644"/>
      <c r="FC21" s="644"/>
      <c r="FD21" s="644"/>
      <c r="FE21" s="644"/>
      <c r="FF21" s="644"/>
      <c r="FG21" s="644"/>
      <c r="FH21" s="644"/>
      <c r="FI21" s="644"/>
      <c r="FJ21" s="644"/>
      <c r="FK21" s="644"/>
      <c r="FL21" s="644"/>
      <c r="FM21" s="644"/>
      <c r="FN21" s="644"/>
      <c r="FO21" s="644"/>
      <c r="FP21" s="644"/>
      <c r="FQ21" s="644"/>
      <c r="FR21" s="644"/>
      <c r="FS21" s="644"/>
      <c r="FT21" s="644"/>
      <c r="FU21" s="644"/>
      <c r="FV21" s="644"/>
      <c r="FW21" s="644"/>
      <c r="FX21" s="644"/>
      <c r="FY21" s="644"/>
      <c r="FZ21" s="644"/>
      <c r="GA21" s="644"/>
      <c r="GB21" s="644"/>
      <c r="GC21" s="644"/>
      <c r="GD21" s="644"/>
      <c r="GE21" s="644"/>
      <c r="GF21" s="644"/>
      <c r="GG21" s="644"/>
      <c r="GH21" s="644"/>
      <c r="GI21" s="644"/>
      <c r="GJ21" s="644"/>
      <c r="GK21" s="644"/>
      <c r="GL21" s="644"/>
      <c r="GM21" s="644"/>
      <c r="GN21" s="644"/>
      <c r="GO21" s="644"/>
      <c r="GP21" s="644"/>
      <c r="GQ21" s="644"/>
      <c r="GR21" s="644"/>
      <c r="GS21" s="644"/>
      <c r="GT21" s="644"/>
      <c r="GU21" s="644"/>
      <c r="GV21" s="644"/>
      <c r="GW21" s="644"/>
      <c r="GX21" s="644"/>
      <c r="GY21" s="644"/>
      <c r="GZ21" s="644"/>
      <c r="HA21" s="644"/>
      <c r="HB21" s="644"/>
      <c r="HC21" s="644"/>
      <c r="HD21" s="644"/>
      <c r="HE21" s="644"/>
      <c r="HF21" s="644"/>
      <c r="HG21" s="644"/>
      <c r="HH21" s="644"/>
      <c r="HI21" s="644"/>
      <c r="HJ21" s="644"/>
      <c r="HK21" s="644"/>
      <c r="HL21" s="644"/>
      <c r="HM21" s="644"/>
      <c r="HN21" s="644"/>
      <c r="HO21" s="644"/>
      <c r="HP21" s="644"/>
      <c r="HQ21" s="644"/>
      <c r="HR21" s="644"/>
      <c r="HS21" s="644"/>
      <c r="HT21" s="644"/>
      <c r="HU21" s="644"/>
      <c r="HV21" s="644"/>
      <c r="HW21" s="644"/>
      <c r="HX21" s="644"/>
      <c r="HY21" s="644"/>
      <c r="HZ21" s="644"/>
      <c r="IA21" s="644"/>
      <c r="IB21" s="644"/>
      <c r="IC21" s="644"/>
      <c r="ID21" s="644"/>
      <c r="IE21" s="644"/>
      <c r="IF21" s="644"/>
      <c r="IG21" s="644"/>
      <c r="IH21" s="644"/>
      <c r="II21" s="644"/>
      <c r="IJ21" s="644"/>
      <c r="IK21" s="644"/>
      <c r="IL21" s="644"/>
      <c r="IM21" s="644"/>
      <c r="IN21" s="644"/>
      <c r="IO21" s="644"/>
      <c r="IP21" s="644"/>
      <c r="IQ21" s="644"/>
      <c r="IR21" s="644"/>
      <c r="IS21" s="644"/>
      <c r="IT21" s="644"/>
      <c r="IU21" s="644"/>
      <c r="IV21" s="644"/>
    </row>
    <row r="22" spans="1:256" s="643" customFormat="1">
      <c r="A22" s="644"/>
      <c r="B22" s="647"/>
      <c r="C22" s="644"/>
      <c r="D22" s="644" t="s">
        <v>654</v>
      </c>
      <c r="E22" s="644"/>
      <c r="F22" s="644"/>
      <c r="G22" s="644"/>
      <c r="H22" s="644"/>
      <c r="I22" s="663"/>
      <c r="J22" s="644"/>
      <c r="K22" s="644"/>
      <c r="L22" s="660">
        <v>0.04</v>
      </c>
      <c r="N22" s="644"/>
      <c r="O22" s="644"/>
      <c r="P22" s="647"/>
      <c r="Q22" s="644"/>
      <c r="R22" s="644" t="s">
        <v>654</v>
      </c>
      <c r="S22" s="644"/>
      <c r="T22" s="644"/>
      <c r="U22" s="644"/>
      <c r="V22" s="644"/>
      <c r="W22" s="644"/>
      <c r="X22" s="645"/>
      <c r="Y22" s="644"/>
      <c r="Z22" s="660">
        <v>0.04</v>
      </c>
      <c r="AB22" s="644"/>
      <c r="AC22" s="644"/>
      <c r="AD22" s="665"/>
      <c r="AE22" s="644"/>
      <c r="AF22" s="644"/>
      <c r="AG22" s="644"/>
      <c r="AH22" s="644"/>
      <c r="AI22" s="644"/>
      <c r="AJ22" s="644"/>
      <c r="AK22" s="644"/>
      <c r="AL22" s="644"/>
      <c r="AM22" s="644"/>
      <c r="AN22" s="644"/>
      <c r="AO22" s="644"/>
      <c r="AP22" s="644"/>
      <c r="AQ22" s="644"/>
      <c r="AR22" s="644"/>
      <c r="AS22" s="644"/>
      <c r="AT22" s="644"/>
      <c r="AU22" s="644"/>
      <c r="AV22" s="644"/>
      <c r="AW22" s="644"/>
      <c r="AX22" s="644"/>
      <c r="AY22" s="644"/>
      <c r="AZ22" s="644"/>
      <c r="BA22" s="644"/>
      <c r="BB22" s="644"/>
      <c r="BC22" s="644"/>
      <c r="BD22" s="644"/>
      <c r="BE22" s="644"/>
      <c r="BF22" s="644"/>
      <c r="BG22" s="644"/>
      <c r="BH22" s="644"/>
      <c r="BI22" s="644"/>
      <c r="BJ22" s="644"/>
      <c r="BK22" s="644"/>
      <c r="BL22" s="644"/>
      <c r="BM22" s="644"/>
      <c r="BN22" s="644"/>
      <c r="BO22" s="644"/>
      <c r="BP22" s="644"/>
      <c r="BQ22" s="644"/>
      <c r="BR22" s="644"/>
      <c r="BS22" s="644"/>
      <c r="BT22" s="644"/>
      <c r="BU22" s="644"/>
      <c r="BV22" s="644"/>
      <c r="BW22" s="644"/>
      <c r="BX22" s="644"/>
      <c r="BY22" s="644"/>
      <c r="BZ22" s="644"/>
      <c r="CA22" s="644"/>
      <c r="CB22" s="644"/>
      <c r="CC22" s="644"/>
      <c r="CD22" s="644"/>
      <c r="CE22" s="644"/>
      <c r="CF22" s="644"/>
      <c r="CG22" s="644"/>
      <c r="CH22" s="644"/>
      <c r="CI22" s="644"/>
      <c r="CJ22" s="644"/>
      <c r="CK22" s="644"/>
      <c r="CL22" s="644"/>
      <c r="CM22" s="644"/>
      <c r="CN22" s="644"/>
      <c r="CO22" s="644"/>
      <c r="CP22" s="644"/>
      <c r="CQ22" s="644"/>
      <c r="CR22" s="644"/>
      <c r="CS22" s="644"/>
      <c r="CT22" s="644"/>
      <c r="CU22" s="644"/>
      <c r="CV22" s="644"/>
      <c r="CW22" s="644"/>
      <c r="CX22" s="644"/>
      <c r="CY22" s="644"/>
      <c r="CZ22" s="644"/>
      <c r="DA22" s="644"/>
      <c r="DB22" s="644"/>
      <c r="DC22" s="644"/>
      <c r="DD22" s="644"/>
      <c r="DE22" s="644"/>
      <c r="DF22" s="644"/>
      <c r="DG22" s="644"/>
      <c r="DH22" s="644"/>
      <c r="DI22" s="644"/>
      <c r="DJ22" s="644"/>
      <c r="DK22" s="644"/>
      <c r="DL22" s="644"/>
      <c r="DM22" s="644"/>
      <c r="DN22" s="644"/>
      <c r="DO22" s="644"/>
      <c r="DP22" s="644"/>
      <c r="DQ22" s="644"/>
      <c r="DR22" s="644"/>
      <c r="DS22" s="644"/>
      <c r="DT22" s="644"/>
      <c r="DU22" s="644"/>
      <c r="DV22" s="644"/>
      <c r="DW22" s="644"/>
      <c r="DX22" s="644"/>
      <c r="DY22" s="644"/>
      <c r="DZ22" s="644"/>
      <c r="EA22" s="644"/>
      <c r="EB22" s="644"/>
      <c r="EC22" s="644"/>
      <c r="ED22" s="644"/>
      <c r="EE22" s="644"/>
      <c r="EF22" s="644"/>
      <c r="EG22" s="644"/>
      <c r="EH22" s="644"/>
      <c r="EI22" s="644"/>
      <c r="EJ22" s="644"/>
      <c r="EK22" s="644"/>
      <c r="EL22" s="644"/>
      <c r="EM22" s="644"/>
      <c r="EN22" s="644"/>
      <c r="EO22" s="644"/>
      <c r="EP22" s="644"/>
      <c r="EQ22" s="644"/>
      <c r="ER22" s="644"/>
      <c r="ES22" s="644"/>
      <c r="ET22" s="644"/>
      <c r="EU22" s="644"/>
      <c r="EV22" s="644"/>
      <c r="EW22" s="644"/>
      <c r="EX22" s="644"/>
      <c r="EY22" s="644"/>
      <c r="EZ22" s="644"/>
      <c r="FA22" s="644"/>
      <c r="FB22" s="644"/>
      <c r="FC22" s="644"/>
      <c r="FD22" s="644"/>
      <c r="FE22" s="644"/>
      <c r="FF22" s="644"/>
      <c r="FG22" s="644"/>
      <c r="FH22" s="644"/>
      <c r="FI22" s="644"/>
      <c r="FJ22" s="644"/>
      <c r="FK22" s="644"/>
      <c r="FL22" s="644"/>
      <c r="FM22" s="644"/>
      <c r="FN22" s="644"/>
      <c r="FO22" s="644"/>
      <c r="FP22" s="644"/>
      <c r="FQ22" s="644"/>
      <c r="FR22" s="644"/>
      <c r="FS22" s="644"/>
      <c r="FT22" s="644"/>
      <c r="FU22" s="644"/>
      <c r="FV22" s="644"/>
      <c r="FW22" s="644"/>
      <c r="FX22" s="644"/>
      <c r="FY22" s="644"/>
      <c r="FZ22" s="644"/>
      <c r="GA22" s="644"/>
      <c r="GB22" s="644"/>
      <c r="GC22" s="644"/>
      <c r="GD22" s="644"/>
      <c r="GE22" s="644"/>
      <c r="GF22" s="644"/>
      <c r="GG22" s="644"/>
      <c r="GH22" s="644"/>
      <c r="GI22" s="644"/>
      <c r="GJ22" s="644"/>
      <c r="GK22" s="644"/>
      <c r="GL22" s="644"/>
      <c r="GM22" s="644"/>
      <c r="GN22" s="644"/>
      <c r="GO22" s="644"/>
      <c r="GP22" s="644"/>
      <c r="GQ22" s="644"/>
      <c r="GR22" s="644"/>
      <c r="GS22" s="644"/>
      <c r="GT22" s="644"/>
      <c r="GU22" s="644"/>
      <c r="GV22" s="644"/>
      <c r="GW22" s="644"/>
      <c r="GX22" s="644"/>
      <c r="GY22" s="644"/>
      <c r="GZ22" s="644"/>
      <c r="HA22" s="644"/>
      <c r="HB22" s="644"/>
      <c r="HC22" s="644"/>
      <c r="HD22" s="644"/>
      <c r="HE22" s="644"/>
      <c r="HF22" s="644"/>
      <c r="HG22" s="644"/>
      <c r="HH22" s="644"/>
      <c r="HI22" s="644"/>
      <c r="HJ22" s="644"/>
      <c r="HK22" s="644"/>
      <c r="HL22" s="644"/>
      <c r="HM22" s="644"/>
      <c r="HN22" s="644"/>
      <c r="HO22" s="644"/>
      <c r="HP22" s="644"/>
      <c r="HQ22" s="644"/>
      <c r="HR22" s="644"/>
      <c r="HS22" s="644"/>
      <c r="HT22" s="644"/>
      <c r="HU22" s="644"/>
      <c r="HV22" s="644"/>
      <c r="HW22" s="644"/>
      <c r="HX22" s="644"/>
      <c r="HY22" s="644"/>
      <c r="HZ22" s="644"/>
      <c r="IA22" s="644"/>
      <c r="IB22" s="644"/>
      <c r="IC22" s="644"/>
      <c r="ID22" s="644"/>
      <c r="IE22" s="644"/>
      <c r="IF22" s="644"/>
      <c r="IG22" s="644"/>
      <c r="IH22" s="644"/>
      <c r="II22" s="644"/>
      <c r="IJ22" s="644"/>
      <c r="IK22" s="644"/>
      <c r="IL22" s="644"/>
      <c r="IM22" s="644"/>
      <c r="IN22" s="644"/>
      <c r="IO22" s="644"/>
      <c r="IP22" s="644"/>
      <c r="IQ22" s="644"/>
      <c r="IR22" s="644"/>
      <c r="IS22" s="644"/>
      <c r="IT22" s="644"/>
      <c r="IU22" s="644"/>
      <c r="IV22" s="644"/>
    </row>
    <row r="23" spans="1:256" s="643" customFormat="1">
      <c r="A23" s="644"/>
      <c r="B23" s="647"/>
      <c r="C23" s="644"/>
      <c r="D23" s="644" t="s">
        <v>655</v>
      </c>
      <c r="E23" s="644"/>
      <c r="F23" s="644"/>
      <c r="G23" s="644"/>
      <c r="H23" s="644"/>
      <c r="I23" s="663"/>
      <c r="J23" s="644"/>
      <c r="K23" s="644"/>
      <c r="L23" s="660">
        <v>0</v>
      </c>
      <c r="N23" s="644"/>
      <c r="O23" s="644"/>
      <c r="P23" s="647"/>
      <c r="Q23" s="644"/>
      <c r="R23" s="644" t="s">
        <v>655</v>
      </c>
      <c r="S23" s="644"/>
      <c r="T23" s="644"/>
      <c r="U23" s="644"/>
      <c r="V23" s="644"/>
      <c r="W23" s="644"/>
      <c r="X23" s="645"/>
      <c r="Y23" s="644"/>
      <c r="Z23" s="660">
        <v>0</v>
      </c>
      <c r="AB23" s="644"/>
      <c r="AC23" s="644"/>
      <c r="AD23" s="644"/>
      <c r="AE23" s="644"/>
      <c r="AF23" s="644"/>
      <c r="AG23" s="644"/>
      <c r="AH23" s="644"/>
      <c r="AI23" s="644"/>
      <c r="AJ23" s="644"/>
      <c r="AK23" s="644"/>
      <c r="AL23" s="644"/>
      <c r="AM23" s="644"/>
      <c r="AN23" s="644"/>
      <c r="AO23" s="644"/>
      <c r="AP23" s="644"/>
      <c r="AQ23" s="644"/>
      <c r="AR23" s="644"/>
      <c r="AS23" s="644"/>
      <c r="AT23" s="644"/>
      <c r="AU23" s="644"/>
      <c r="AV23" s="644"/>
      <c r="AW23" s="644"/>
      <c r="AX23" s="644"/>
      <c r="AY23" s="644"/>
      <c r="AZ23" s="644"/>
      <c r="BA23" s="644"/>
      <c r="BB23" s="644"/>
      <c r="BC23" s="644"/>
      <c r="BD23" s="644"/>
      <c r="BE23" s="644"/>
      <c r="BF23" s="644"/>
      <c r="BG23" s="644"/>
      <c r="BH23" s="644"/>
      <c r="BI23" s="644"/>
      <c r="BJ23" s="644"/>
      <c r="BK23" s="644"/>
      <c r="BL23" s="644"/>
      <c r="BM23" s="644"/>
      <c r="BN23" s="644"/>
      <c r="BO23" s="644"/>
      <c r="BP23" s="644"/>
      <c r="BQ23" s="644"/>
      <c r="BR23" s="644"/>
      <c r="BS23" s="644"/>
      <c r="BT23" s="644"/>
      <c r="BU23" s="644"/>
      <c r="BV23" s="644"/>
      <c r="BW23" s="644"/>
      <c r="BX23" s="644"/>
      <c r="BY23" s="644"/>
      <c r="BZ23" s="644"/>
      <c r="CA23" s="644"/>
      <c r="CB23" s="644"/>
      <c r="CC23" s="644"/>
      <c r="CD23" s="644"/>
      <c r="CE23" s="644"/>
      <c r="CF23" s="644"/>
      <c r="CG23" s="644"/>
      <c r="CH23" s="644"/>
      <c r="CI23" s="644"/>
      <c r="CJ23" s="644"/>
      <c r="CK23" s="644"/>
      <c r="CL23" s="644"/>
      <c r="CM23" s="644"/>
      <c r="CN23" s="644"/>
      <c r="CO23" s="644"/>
      <c r="CP23" s="644"/>
      <c r="CQ23" s="644"/>
      <c r="CR23" s="644"/>
      <c r="CS23" s="644"/>
      <c r="CT23" s="644"/>
      <c r="CU23" s="644"/>
      <c r="CV23" s="644"/>
      <c r="CW23" s="644"/>
      <c r="CX23" s="644"/>
      <c r="CY23" s="644"/>
      <c r="CZ23" s="644"/>
      <c r="DA23" s="644"/>
      <c r="DB23" s="644"/>
      <c r="DC23" s="644"/>
      <c r="DD23" s="644"/>
      <c r="DE23" s="644"/>
      <c r="DF23" s="644"/>
      <c r="DG23" s="644"/>
      <c r="DH23" s="644"/>
      <c r="DI23" s="644"/>
      <c r="DJ23" s="644"/>
      <c r="DK23" s="644"/>
      <c r="DL23" s="644"/>
      <c r="DM23" s="644"/>
      <c r="DN23" s="644"/>
      <c r="DO23" s="644"/>
      <c r="DP23" s="644"/>
      <c r="DQ23" s="644"/>
      <c r="DR23" s="644"/>
      <c r="DS23" s="644"/>
      <c r="DT23" s="644"/>
      <c r="DU23" s="644"/>
      <c r="DV23" s="644"/>
      <c r="DW23" s="644"/>
      <c r="DX23" s="644"/>
      <c r="DY23" s="644"/>
      <c r="DZ23" s="644"/>
      <c r="EA23" s="644"/>
      <c r="EB23" s="644"/>
      <c r="EC23" s="644"/>
      <c r="ED23" s="644"/>
      <c r="EE23" s="644"/>
      <c r="EF23" s="644"/>
      <c r="EG23" s="644"/>
      <c r="EH23" s="644"/>
      <c r="EI23" s="644"/>
      <c r="EJ23" s="644"/>
      <c r="EK23" s="644"/>
      <c r="EL23" s="644"/>
      <c r="EM23" s="644"/>
      <c r="EN23" s="644"/>
      <c r="EO23" s="644"/>
      <c r="EP23" s="644"/>
      <c r="EQ23" s="644"/>
      <c r="ER23" s="644"/>
      <c r="ES23" s="644"/>
      <c r="ET23" s="644"/>
      <c r="EU23" s="644"/>
      <c r="EV23" s="644"/>
      <c r="EW23" s="644"/>
      <c r="EX23" s="644"/>
      <c r="EY23" s="644"/>
      <c r="EZ23" s="644"/>
      <c r="FA23" s="644"/>
      <c r="FB23" s="644"/>
      <c r="FC23" s="644"/>
      <c r="FD23" s="644"/>
      <c r="FE23" s="644"/>
      <c r="FF23" s="644"/>
      <c r="FG23" s="644"/>
      <c r="FH23" s="644"/>
      <c r="FI23" s="644"/>
      <c r="FJ23" s="644"/>
      <c r="FK23" s="644"/>
      <c r="FL23" s="644"/>
      <c r="FM23" s="644"/>
      <c r="FN23" s="644"/>
      <c r="FO23" s="644"/>
      <c r="FP23" s="644"/>
      <c r="FQ23" s="644"/>
      <c r="FR23" s="644"/>
      <c r="FS23" s="644"/>
      <c r="FT23" s="644"/>
      <c r="FU23" s="644"/>
      <c r="FV23" s="644"/>
      <c r="FW23" s="644"/>
      <c r="FX23" s="644"/>
      <c r="FY23" s="644"/>
      <c r="FZ23" s="644"/>
      <c r="GA23" s="644"/>
      <c r="GB23" s="644"/>
      <c r="GC23" s="644"/>
      <c r="GD23" s="644"/>
      <c r="GE23" s="644"/>
      <c r="GF23" s="644"/>
      <c r="GG23" s="644"/>
      <c r="GH23" s="644"/>
      <c r="GI23" s="644"/>
      <c r="GJ23" s="644"/>
      <c r="GK23" s="644"/>
      <c r="GL23" s="644"/>
      <c r="GM23" s="644"/>
      <c r="GN23" s="644"/>
      <c r="GO23" s="644"/>
      <c r="GP23" s="644"/>
      <c r="GQ23" s="644"/>
      <c r="GR23" s="644"/>
      <c r="GS23" s="644"/>
      <c r="GT23" s="644"/>
      <c r="GU23" s="644"/>
      <c r="GV23" s="644"/>
      <c r="GW23" s="644"/>
      <c r="GX23" s="644"/>
      <c r="GY23" s="644"/>
      <c r="GZ23" s="644"/>
      <c r="HA23" s="644"/>
      <c r="HB23" s="644"/>
      <c r="HC23" s="644"/>
      <c r="HD23" s="644"/>
      <c r="HE23" s="644"/>
      <c r="HF23" s="644"/>
      <c r="HG23" s="644"/>
      <c r="HH23" s="644"/>
      <c r="HI23" s="644"/>
      <c r="HJ23" s="644"/>
      <c r="HK23" s="644"/>
      <c r="HL23" s="644"/>
      <c r="HM23" s="644"/>
      <c r="HN23" s="644"/>
      <c r="HO23" s="644"/>
      <c r="HP23" s="644"/>
      <c r="HQ23" s="644"/>
      <c r="HR23" s="644"/>
      <c r="HS23" s="644"/>
      <c r="HT23" s="644"/>
      <c r="HU23" s="644"/>
      <c r="HV23" s="644"/>
      <c r="HW23" s="644"/>
      <c r="HX23" s="644"/>
      <c r="HY23" s="644"/>
      <c r="HZ23" s="644"/>
      <c r="IA23" s="644"/>
      <c r="IB23" s="644"/>
      <c r="IC23" s="644"/>
      <c r="ID23" s="644"/>
      <c r="IE23" s="644"/>
      <c r="IF23" s="644"/>
      <c r="IG23" s="644"/>
      <c r="IH23" s="644"/>
      <c r="II23" s="644"/>
      <c r="IJ23" s="644"/>
      <c r="IK23" s="644"/>
      <c r="IL23" s="644"/>
      <c r="IM23" s="644"/>
      <c r="IN23" s="644"/>
      <c r="IO23" s="644"/>
      <c r="IP23" s="644"/>
      <c r="IQ23" s="644"/>
      <c r="IR23" s="644"/>
      <c r="IS23" s="644"/>
      <c r="IT23" s="644"/>
      <c r="IU23" s="644"/>
      <c r="IV23" s="644"/>
    </row>
    <row r="24" spans="1:256" s="643" customFormat="1">
      <c r="A24" s="644"/>
      <c r="B24" s="647"/>
      <c r="C24" s="644"/>
      <c r="D24" s="644" t="s">
        <v>656</v>
      </c>
      <c r="E24" s="644"/>
      <c r="F24" s="644"/>
      <c r="G24" s="644"/>
      <c r="H24" s="644"/>
      <c r="I24" s="663"/>
      <c r="J24" s="644"/>
      <c r="K24" s="644"/>
      <c r="L24" s="660">
        <v>0</v>
      </c>
      <c r="N24" s="644"/>
      <c r="O24" s="644"/>
      <c r="P24" s="647"/>
      <c r="Q24" s="644"/>
      <c r="R24" s="644" t="s">
        <v>656</v>
      </c>
      <c r="S24" s="644"/>
      <c r="T24" s="644"/>
      <c r="U24" s="644"/>
      <c r="V24" s="644"/>
      <c r="W24" s="644"/>
      <c r="X24" s="645"/>
      <c r="Y24" s="644"/>
      <c r="Z24" s="660">
        <v>0</v>
      </c>
      <c r="AB24" s="644"/>
      <c r="AC24" s="644"/>
      <c r="AD24" s="644"/>
      <c r="AE24" s="644"/>
      <c r="AF24" s="644"/>
      <c r="AG24" s="644"/>
      <c r="AH24" s="644"/>
      <c r="AI24" s="644"/>
      <c r="AJ24" s="644"/>
      <c r="AK24" s="644"/>
      <c r="AL24" s="644"/>
      <c r="AM24" s="644"/>
      <c r="AN24" s="644"/>
      <c r="AO24" s="644"/>
      <c r="AP24" s="644"/>
      <c r="AQ24" s="644"/>
      <c r="AR24" s="644"/>
      <c r="AS24" s="644"/>
      <c r="AT24" s="644"/>
      <c r="AU24" s="644"/>
      <c r="AV24" s="644"/>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c r="BX24" s="644"/>
      <c r="BY24" s="644"/>
      <c r="BZ24" s="644"/>
      <c r="CA24" s="644"/>
      <c r="CB24" s="644"/>
      <c r="CC24" s="644"/>
      <c r="CD24" s="644"/>
      <c r="CE24" s="644"/>
      <c r="CF24" s="644"/>
      <c r="CG24" s="644"/>
      <c r="CH24" s="644"/>
      <c r="CI24" s="644"/>
      <c r="CJ24" s="644"/>
      <c r="CK24" s="644"/>
      <c r="CL24" s="644"/>
      <c r="CM24" s="644"/>
      <c r="CN24" s="644"/>
      <c r="CO24" s="644"/>
      <c r="CP24" s="644"/>
      <c r="CQ24" s="644"/>
      <c r="CR24" s="644"/>
      <c r="CS24" s="644"/>
      <c r="CT24" s="644"/>
      <c r="CU24" s="644"/>
      <c r="CV24" s="644"/>
      <c r="CW24" s="644"/>
      <c r="CX24" s="644"/>
      <c r="CY24" s="644"/>
      <c r="CZ24" s="644"/>
      <c r="DA24" s="644"/>
      <c r="DB24" s="644"/>
      <c r="DC24" s="644"/>
      <c r="DD24" s="644"/>
      <c r="DE24" s="644"/>
      <c r="DF24" s="644"/>
      <c r="DG24" s="644"/>
      <c r="DH24" s="644"/>
      <c r="DI24" s="644"/>
      <c r="DJ24" s="644"/>
      <c r="DK24" s="644"/>
      <c r="DL24" s="644"/>
      <c r="DM24" s="644"/>
      <c r="DN24" s="644"/>
      <c r="DO24" s="644"/>
      <c r="DP24" s="644"/>
      <c r="DQ24" s="644"/>
      <c r="DR24" s="644"/>
      <c r="DS24" s="644"/>
      <c r="DT24" s="644"/>
      <c r="DU24" s="644"/>
      <c r="DV24" s="644"/>
      <c r="DW24" s="644"/>
      <c r="DX24" s="644"/>
      <c r="DY24" s="644"/>
      <c r="DZ24" s="644"/>
      <c r="EA24" s="644"/>
      <c r="EB24" s="644"/>
      <c r="EC24" s="644"/>
      <c r="ED24" s="644"/>
      <c r="EE24" s="644"/>
      <c r="EF24" s="644"/>
      <c r="EG24" s="644"/>
      <c r="EH24" s="644"/>
      <c r="EI24" s="644"/>
      <c r="EJ24" s="644"/>
      <c r="EK24" s="644"/>
      <c r="EL24" s="644"/>
      <c r="EM24" s="644"/>
      <c r="EN24" s="644"/>
      <c r="EO24" s="644"/>
      <c r="EP24" s="644"/>
      <c r="EQ24" s="644"/>
      <c r="ER24" s="644"/>
      <c r="ES24" s="644"/>
      <c r="ET24" s="644"/>
      <c r="EU24" s="644"/>
      <c r="EV24" s="644"/>
      <c r="EW24" s="644"/>
      <c r="EX24" s="644"/>
      <c r="EY24" s="644"/>
      <c r="EZ24" s="644"/>
      <c r="FA24" s="644"/>
      <c r="FB24" s="644"/>
      <c r="FC24" s="644"/>
      <c r="FD24" s="644"/>
      <c r="FE24" s="644"/>
      <c r="FF24" s="644"/>
      <c r="FG24" s="644"/>
      <c r="FH24" s="644"/>
      <c r="FI24" s="644"/>
      <c r="FJ24" s="644"/>
      <c r="FK24" s="644"/>
      <c r="FL24" s="644"/>
      <c r="FM24" s="644"/>
      <c r="FN24" s="644"/>
      <c r="FO24" s="644"/>
      <c r="FP24" s="644"/>
      <c r="FQ24" s="644"/>
      <c r="FR24" s="644"/>
      <c r="FS24" s="644"/>
      <c r="FT24" s="644"/>
      <c r="FU24" s="644"/>
      <c r="FV24" s="644"/>
      <c r="FW24" s="644"/>
      <c r="FX24" s="644"/>
      <c r="FY24" s="644"/>
      <c r="FZ24" s="644"/>
      <c r="GA24" s="644"/>
      <c r="GB24" s="644"/>
      <c r="GC24" s="644"/>
      <c r="GD24" s="644"/>
      <c r="GE24" s="644"/>
      <c r="GF24" s="644"/>
      <c r="GG24" s="644"/>
      <c r="GH24" s="644"/>
      <c r="GI24" s="644"/>
      <c r="GJ24" s="644"/>
      <c r="GK24" s="644"/>
      <c r="GL24" s="644"/>
      <c r="GM24" s="644"/>
      <c r="GN24" s="644"/>
      <c r="GO24" s="644"/>
      <c r="GP24" s="644"/>
      <c r="GQ24" s="644"/>
      <c r="GR24" s="644"/>
      <c r="GS24" s="644"/>
      <c r="GT24" s="644"/>
      <c r="GU24" s="644"/>
      <c r="GV24" s="644"/>
      <c r="GW24" s="644"/>
      <c r="GX24" s="644"/>
      <c r="GY24" s="644"/>
      <c r="GZ24" s="644"/>
      <c r="HA24" s="644"/>
      <c r="HB24" s="644"/>
      <c r="HC24" s="644"/>
      <c r="HD24" s="644"/>
      <c r="HE24" s="644"/>
      <c r="HF24" s="644"/>
      <c r="HG24" s="644"/>
      <c r="HH24" s="644"/>
      <c r="HI24" s="644"/>
      <c r="HJ24" s="644"/>
      <c r="HK24" s="644"/>
      <c r="HL24" s="644"/>
      <c r="HM24" s="644"/>
      <c r="HN24" s="644"/>
      <c r="HO24" s="644"/>
      <c r="HP24" s="644"/>
      <c r="HQ24" s="644"/>
      <c r="HR24" s="644"/>
      <c r="HS24" s="644"/>
      <c r="HT24" s="644"/>
      <c r="HU24" s="644"/>
      <c r="HV24" s="644"/>
      <c r="HW24" s="644"/>
      <c r="HX24" s="644"/>
      <c r="HY24" s="644"/>
      <c r="HZ24" s="644"/>
      <c r="IA24" s="644"/>
      <c r="IB24" s="644"/>
      <c r="IC24" s="644"/>
      <c r="ID24" s="644"/>
      <c r="IE24" s="644"/>
      <c r="IF24" s="644"/>
      <c r="IG24" s="644"/>
      <c r="IH24" s="644"/>
      <c r="II24" s="644"/>
      <c r="IJ24" s="644"/>
      <c r="IK24" s="644"/>
      <c r="IL24" s="644"/>
      <c r="IM24" s="644"/>
      <c r="IN24" s="644"/>
      <c r="IO24" s="644"/>
      <c r="IP24" s="644"/>
      <c r="IQ24" s="644"/>
      <c r="IR24" s="644"/>
      <c r="IS24" s="644"/>
      <c r="IT24" s="644"/>
      <c r="IU24" s="644"/>
      <c r="IV24" s="644"/>
    </row>
    <row r="25" spans="1:256" s="643" customFormat="1" ht="14">
      <c r="A25" s="644"/>
      <c r="B25" s="647"/>
      <c r="C25" s="644"/>
      <c r="D25" s="644"/>
      <c r="E25" s="644"/>
      <c r="F25" s="666"/>
      <c r="G25" s="644"/>
      <c r="H25" s="644"/>
      <c r="I25" s="663"/>
      <c r="J25" s="644"/>
      <c r="K25" s="644"/>
      <c r="L25" s="667"/>
      <c r="N25" s="644"/>
      <c r="O25" s="644"/>
      <c r="P25" s="647"/>
      <c r="Q25" s="644"/>
      <c r="R25" s="644"/>
      <c r="S25" s="644"/>
      <c r="T25" s="666"/>
      <c r="U25" s="644"/>
      <c r="V25" s="644"/>
      <c r="W25" s="644"/>
      <c r="X25" s="645"/>
      <c r="Y25" s="644"/>
      <c r="Z25" s="667"/>
      <c r="AB25" s="644"/>
      <c r="AC25" s="644"/>
      <c r="AD25" s="644"/>
      <c r="AE25" s="644"/>
      <c r="AF25" s="644"/>
      <c r="AG25" s="644"/>
      <c r="AH25" s="644"/>
      <c r="AI25" s="644"/>
      <c r="AJ25" s="644"/>
      <c r="AK25" s="644"/>
      <c r="AL25" s="644"/>
      <c r="AM25" s="644"/>
      <c r="AN25" s="644"/>
      <c r="AO25" s="644"/>
      <c r="AP25" s="644"/>
      <c r="AQ25" s="644"/>
      <c r="AR25" s="644"/>
      <c r="AS25" s="644"/>
      <c r="AT25" s="644"/>
      <c r="AU25" s="644"/>
      <c r="AV25" s="644"/>
      <c r="AW25" s="644"/>
      <c r="AX25" s="644"/>
      <c r="AY25" s="644"/>
      <c r="AZ25" s="644"/>
      <c r="BA25" s="644"/>
      <c r="BB25" s="644"/>
      <c r="BC25" s="644"/>
      <c r="BD25" s="644"/>
      <c r="BE25" s="644"/>
      <c r="BF25" s="644"/>
      <c r="BG25" s="644"/>
      <c r="BH25" s="644"/>
      <c r="BI25" s="644"/>
      <c r="BJ25" s="644"/>
      <c r="BK25" s="644"/>
      <c r="BL25" s="644"/>
      <c r="BM25" s="644"/>
      <c r="BN25" s="644"/>
      <c r="BO25" s="644"/>
      <c r="BP25" s="644"/>
      <c r="BQ25" s="644"/>
      <c r="BR25" s="644"/>
      <c r="BS25" s="644"/>
      <c r="BT25" s="644"/>
      <c r="BU25" s="644"/>
      <c r="BV25" s="644"/>
      <c r="BW25" s="644"/>
      <c r="BX25" s="644"/>
      <c r="BY25" s="644"/>
      <c r="BZ25" s="644"/>
      <c r="CA25" s="644"/>
      <c r="CB25" s="644"/>
      <c r="CC25" s="644"/>
      <c r="CD25" s="644"/>
      <c r="CE25" s="644"/>
      <c r="CF25" s="644"/>
      <c r="CG25" s="644"/>
      <c r="CH25" s="644"/>
      <c r="CI25" s="644"/>
      <c r="CJ25" s="644"/>
      <c r="CK25" s="644"/>
      <c r="CL25" s="644"/>
      <c r="CM25" s="644"/>
      <c r="CN25" s="644"/>
      <c r="CO25" s="644"/>
      <c r="CP25" s="644"/>
      <c r="CQ25" s="644"/>
      <c r="CR25" s="644"/>
      <c r="CS25" s="644"/>
      <c r="CT25" s="644"/>
      <c r="CU25" s="644"/>
      <c r="CV25" s="644"/>
      <c r="CW25" s="644"/>
      <c r="CX25" s="644"/>
      <c r="CY25" s="644"/>
      <c r="CZ25" s="644"/>
      <c r="DA25" s="644"/>
      <c r="DB25" s="644"/>
      <c r="DC25" s="644"/>
      <c r="DD25" s="644"/>
      <c r="DE25" s="644"/>
      <c r="DF25" s="644"/>
      <c r="DG25" s="644"/>
      <c r="DH25" s="644"/>
      <c r="DI25" s="644"/>
      <c r="DJ25" s="644"/>
      <c r="DK25" s="644"/>
      <c r="DL25" s="644"/>
      <c r="DM25" s="644"/>
      <c r="DN25" s="644"/>
      <c r="DO25" s="644"/>
      <c r="DP25" s="644"/>
      <c r="DQ25" s="644"/>
      <c r="DR25" s="644"/>
      <c r="DS25" s="644"/>
      <c r="DT25" s="644"/>
      <c r="DU25" s="644"/>
      <c r="DV25" s="644"/>
      <c r="DW25" s="644"/>
      <c r="DX25" s="644"/>
      <c r="DY25" s="644"/>
      <c r="DZ25" s="644"/>
      <c r="EA25" s="644"/>
      <c r="EB25" s="644"/>
      <c r="EC25" s="644"/>
      <c r="ED25" s="644"/>
      <c r="EE25" s="644"/>
      <c r="EF25" s="644"/>
      <c r="EG25" s="644"/>
      <c r="EH25" s="644"/>
      <c r="EI25" s="644"/>
      <c r="EJ25" s="644"/>
      <c r="EK25" s="644"/>
      <c r="EL25" s="644"/>
      <c r="EM25" s="644"/>
      <c r="EN25" s="644"/>
      <c r="EO25" s="644"/>
      <c r="EP25" s="644"/>
      <c r="EQ25" s="644"/>
      <c r="ER25" s="644"/>
      <c r="ES25" s="644"/>
      <c r="ET25" s="644"/>
      <c r="EU25" s="644"/>
      <c r="EV25" s="644"/>
      <c r="EW25" s="644"/>
      <c r="EX25" s="644"/>
      <c r="EY25" s="644"/>
      <c r="EZ25" s="644"/>
      <c r="FA25" s="644"/>
      <c r="FB25" s="644"/>
      <c r="FC25" s="644"/>
      <c r="FD25" s="644"/>
      <c r="FE25" s="644"/>
      <c r="FF25" s="644"/>
      <c r="FG25" s="644"/>
      <c r="FH25" s="644"/>
      <c r="FI25" s="644"/>
      <c r="FJ25" s="644"/>
      <c r="FK25" s="644"/>
      <c r="FL25" s="644"/>
      <c r="FM25" s="644"/>
      <c r="FN25" s="644"/>
      <c r="FO25" s="644"/>
      <c r="FP25" s="644"/>
      <c r="FQ25" s="644"/>
      <c r="FR25" s="644"/>
      <c r="FS25" s="644"/>
      <c r="FT25" s="644"/>
      <c r="FU25" s="644"/>
      <c r="FV25" s="644"/>
      <c r="FW25" s="644"/>
      <c r="FX25" s="644"/>
      <c r="FY25" s="644"/>
      <c r="FZ25" s="644"/>
      <c r="GA25" s="644"/>
      <c r="GB25" s="644"/>
      <c r="GC25" s="644"/>
      <c r="GD25" s="644"/>
      <c r="GE25" s="644"/>
      <c r="GF25" s="644"/>
      <c r="GG25" s="644"/>
      <c r="GH25" s="644"/>
      <c r="GI25" s="644"/>
      <c r="GJ25" s="644"/>
      <c r="GK25" s="644"/>
      <c r="GL25" s="644"/>
      <c r="GM25" s="644"/>
      <c r="GN25" s="644"/>
      <c r="GO25" s="644"/>
      <c r="GP25" s="644"/>
      <c r="GQ25" s="644"/>
      <c r="GR25" s="644"/>
      <c r="GS25" s="644"/>
      <c r="GT25" s="644"/>
      <c r="GU25" s="644"/>
      <c r="GV25" s="644"/>
      <c r="GW25" s="644"/>
      <c r="GX25" s="644"/>
      <c r="GY25" s="644"/>
      <c r="GZ25" s="644"/>
      <c r="HA25" s="644"/>
      <c r="HB25" s="644"/>
      <c r="HC25" s="644"/>
      <c r="HD25" s="644"/>
      <c r="HE25" s="644"/>
      <c r="HF25" s="644"/>
      <c r="HG25" s="644"/>
      <c r="HH25" s="644"/>
      <c r="HI25" s="644"/>
      <c r="HJ25" s="644"/>
      <c r="HK25" s="644"/>
      <c r="HL25" s="644"/>
      <c r="HM25" s="644"/>
      <c r="HN25" s="644"/>
      <c r="HO25" s="644"/>
      <c r="HP25" s="644"/>
      <c r="HQ25" s="644"/>
      <c r="HR25" s="644"/>
      <c r="HS25" s="644"/>
      <c r="HT25" s="644"/>
      <c r="HU25" s="644"/>
      <c r="HV25" s="644"/>
      <c r="HW25" s="644"/>
      <c r="HX25" s="644"/>
      <c r="HY25" s="644"/>
      <c r="HZ25" s="644"/>
      <c r="IA25" s="644"/>
      <c r="IB25" s="644"/>
      <c r="IC25" s="644"/>
      <c r="ID25" s="644"/>
      <c r="IE25" s="644"/>
      <c r="IF25" s="644"/>
      <c r="IG25" s="644"/>
      <c r="IH25" s="644"/>
      <c r="II25" s="644"/>
      <c r="IJ25" s="644"/>
      <c r="IK25" s="644"/>
      <c r="IL25" s="644"/>
      <c r="IM25" s="644"/>
      <c r="IN25" s="644"/>
      <c r="IO25" s="644"/>
      <c r="IP25" s="644"/>
      <c r="IQ25" s="644"/>
      <c r="IR25" s="644"/>
      <c r="IS25" s="644"/>
      <c r="IT25" s="644"/>
      <c r="IU25" s="644"/>
      <c r="IV25" s="644"/>
    </row>
    <row r="26" spans="1:256" s="643" customFormat="1">
      <c r="A26" s="644"/>
      <c r="B26" s="647"/>
      <c r="C26" s="644"/>
      <c r="D26" s="644"/>
      <c r="E26" s="644"/>
      <c r="F26" s="644"/>
      <c r="G26" s="644"/>
      <c r="H26" s="644"/>
      <c r="I26" s="663"/>
      <c r="J26" s="644"/>
      <c r="K26" s="644"/>
      <c r="L26" s="655"/>
      <c r="N26" s="644"/>
      <c r="O26" s="644"/>
      <c r="P26" s="647"/>
      <c r="Q26" s="644"/>
      <c r="R26" s="644"/>
      <c r="S26" s="644"/>
      <c r="T26" s="644"/>
      <c r="U26" s="644"/>
      <c r="V26" s="644"/>
      <c r="W26" s="644"/>
      <c r="X26" s="645"/>
      <c r="Y26" s="644"/>
      <c r="Z26" s="655"/>
      <c r="AB26" s="644"/>
      <c r="AC26" s="644"/>
      <c r="AD26" s="644"/>
      <c r="AE26" s="644"/>
      <c r="AF26" s="644"/>
      <c r="AG26" s="644"/>
      <c r="AH26" s="644"/>
      <c r="AI26" s="644"/>
      <c r="AJ26" s="644"/>
      <c r="AK26" s="644"/>
      <c r="AL26" s="644"/>
      <c r="AM26" s="644"/>
      <c r="AN26" s="644"/>
      <c r="AO26" s="644"/>
      <c r="AP26" s="644"/>
      <c r="AQ26" s="644"/>
      <c r="AR26" s="644"/>
      <c r="AS26" s="644"/>
      <c r="AT26" s="644"/>
      <c r="AU26" s="644"/>
      <c r="AV26" s="644"/>
      <c r="AW26" s="644"/>
      <c r="AX26" s="644"/>
      <c r="AY26" s="644"/>
      <c r="AZ26" s="644"/>
      <c r="BA26" s="644"/>
      <c r="BB26" s="644"/>
      <c r="BC26" s="644"/>
      <c r="BD26" s="644"/>
      <c r="BE26" s="644"/>
      <c r="BF26" s="644"/>
      <c r="BG26" s="644"/>
      <c r="BH26" s="644"/>
      <c r="BI26" s="644"/>
      <c r="BJ26" s="644"/>
      <c r="BK26" s="644"/>
      <c r="BL26" s="644"/>
      <c r="BM26" s="644"/>
      <c r="BN26" s="644"/>
      <c r="BO26" s="644"/>
      <c r="BP26" s="644"/>
      <c r="BQ26" s="644"/>
      <c r="BR26" s="644"/>
      <c r="BS26" s="644"/>
      <c r="BT26" s="644"/>
      <c r="BU26" s="644"/>
      <c r="BV26" s="644"/>
      <c r="BW26" s="644"/>
      <c r="BX26" s="644"/>
      <c r="BY26" s="644"/>
      <c r="BZ26" s="644"/>
      <c r="CA26" s="644"/>
      <c r="CB26" s="644"/>
      <c r="CC26" s="644"/>
      <c r="CD26" s="644"/>
      <c r="CE26" s="644"/>
      <c r="CF26" s="644"/>
      <c r="CG26" s="644"/>
      <c r="CH26" s="644"/>
      <c r="CI26" s="644"/>
      <c r="CJ26" s="644"/>
      <c r="CK26" s="644"/>
      <c r="CL26" s="644"/>
      <c r="CM26" s="644"/>
      <c r="CN26" s="644"/>
      <c r="CO26" s="644"/>
      <c r="CP26" s="644"/>
      <c r="CQ26" s="644"/>
      <c r="CR26" s="644"/>
      <c r="CS26" s="644"/>
      <c r="CT26" s="644"/>
      <c r="CU26" s="644"/>
      <c r="CV26" s="644"/>
      <c r="CW26" s="644"/>
      <c r="CX26" s="644"/>
      <c r="CY26" s="644"/>
      <c r="CZ26" s="644"/>
      <c r="DA26" s="644"/>
      <c r="DB26" s="644"/>
      <c r="DC26" s="644"/>
      <c r="DD26" s="644"/>
      <c r="DE26" s="644"/>
      <c r="DF26" s="644"/>
      <c r="DG26" s="644"/>
      <c r="DH26" s="644"/>
      <c r="DI26" s="644"/>
      <c r="DJ26" s="644"/>
      <c r="DK26" s="644"/>
      <c r="DL26" s="644"/>
      <c r="DM26" s="644"/>
      <c r="DN26" s="644"/>
      <c r="DO26" s="644"/>
      <c r="DP26" s="644"/>
      <c r="DQ26" s="644"/>
      <c r="DR26" s="644"/>
      <c r="DS26" s="644"/>
      <c r="DT26" s="644"/>
      <c r="DU26" s="644"/>
      <c r="DV26" s="644"/>
      <c r="DW26" s="644"/>
      <c r="DX26" s="644"/>
      <c r="DY26" s="644"/>
      <c r="DZ26" s="644"/>
      <c r="EA26" s="644"/>
      <c r="EB26" s="644"/>
      <c r="EC26" s="644"/>
      <c r="ED26" s="644"/>
      <c r="EE26" s="644"/>
      <c r="EF26" s="644"/>
      <c r="EG26" s="644"/>
      <c r="EH26" s="644"/>
      <c r="EI26" s="644"/>
      <c r="EJ26" s="644"/>
      <c r="EK26" s="644"/>
      <c r="EL26" s="644"/>
      <c r="EM26" s="644"/>
      <c r="EN26" s="644"/>
      <c r="EO26" s="644"/>
      <c r="EP26" s="644"/>
      <c r="EQ26" s="644"/>
      <c r="ER26" s="644"/>
      <c r="ES26" s="644"/>
      <c r="ET26" s="644"/>
      <c r="EU26" s="644"/>
      <c r="EV26" s="644"/>
      <c r="EW26" s="644"/>
      <c r="EX26" s="644"/>
      <c r="EY26" s="644"/>
      <c r="EZ26" s="644"/>
      <c r="FA26" s="644"/>
      <c r="FB26" s="644"/>
      <c r="FC26" s="644"/>
      <c r="FD26" s="644"/>
      <c r="FE26" s="644"/>
      <c r="FF26" s="644"/>
      <c r="FG26" s="644"/>
      <c r="FH26" s="644"/>
      <c r="FI26" s="644"/>
      <c r="FJ26" s="644"/>
      <c r="FK26" s="644"/>
      <c r="FL26" s="644"/>
      <c r="FM26" s="644"/>
      <c r="FN26" s="644"/>
      <c r="FO26" s="644"/>
      <c r="FP26" s="644"/>
      <c r="FQ26" s="644"/>
      <c r="FR26" s="644"/>
      <c r="FS26" s="644"/>
      <c r="FT26" s="644"/>
      <c r="FU26" s="644"/>
      <c r="FV26" s="644"/>
      <c r="FW26" s="644"/>
      <c r="FX26" s="644"/>
      <c r="FY26" s="644"/>
      <c r="FZ26" s="644"/>
      <c r="GA26" s="644"/>
      <c r="GB26" s="644"/>
      <c r="GC26" s="644"/>
      <c r="GD26" s="644"/>
      <c r="GE26" s="644"/>
      <c r="GF26" s="644"/>
      <c r="GG26" s="644"/>
      <c r="GH26" s="644"/>
      <c r="GI26" s="644"/>
      <c r="GJ26" s="644"/>
      <c r="GK26" s="644"/>
      <c r="GL26" s="644"/>
      <c r="GM26" s="644"/>
      <c r="GN26" s="644"/>
      <c r="GO26" s="644"/>
      <c r="GP26" s="644"/>
      <c r="GQ26" s="644"/>
      <c r="GR26" s="644"/>
      <c r="GS26" s="644"/>
      <c r="GT26" s="644"/>
      <c r="GU26" s="644"/>
      <c r="GV26" s="644"/>
      <c r="GW26" s="644"/>
      <c r="GX26" s="644"/>
      <c r="GY26" s="644"/>
      <c r="GZ26" s="644"/>
      <c r="HA26" s="644"/>
      <c r="HB26" s="644"/>
      <c r="HC26" s="644"/>
      <c r="HD26" s="644"/>
      <c r="HE26" s="644"/>
      <c r="HF26" s="644"/>
      <c r="HG26" s="644"/>
      <c r="HH26" s="644"/>
      <c r="HI26" s="644"/>
      <c r="HJ26" s="644"/>
      <c r="HK26" s="644"/>
      <c r="HL26" s="644"/>
      <c r="HM26" s="644"/>
      <c r="HN26" s="644"/>
      <c r="HO26" s="644"/>
      <c r="HP26" s="644"/>
      <c r="HQ26" s="644"/>
      <c r="HR26" s="644"/>
      <c r="HS26" s="644"/>
      <c r="HT26" s="644"/>
      <c r="HU26" s="644"/>
      <c r="HV26" s="644"/>
      <c r="HW26" s="644"/>
      <c r="HX26" s="644"/>
      <c r="HY26" s="644"/>
      <c r="HZ26" s="644"/>
      <c r="IA26" s="644"/>
      <c r="IB26" s="644"/>
      <c r="IC26" s="644"/>
      <c r="ID26" s="644"/>
      <c r="IE26" s="644"/>
      <c r="IF26" s="644"/>
      <c r="IG26" s="644"/>
      <c r="IH26" s="644"/>
      <c r="II26" s="644"/>
      <c r="IJ26" s="644"/>
      <c r="IK26" s="644"/>
      <c r="IL26" s="644"/>
      <c r="IM26" s="644"/>
      <c r="IN26" s="644"/>
      <c r="IO26" s="644"/>
      <c r="IP26" s="644"/>
      <c r="IQ26" s="644"/>
      <c r="IR26" s="644"/>
      <c r="IS26" s="644"/>
      <c r="IT26" s="644"/>
      <c r="IU26" s="644"/>
      <c r="IV26" s="644"/>
    </row>
    <row r="27" spans="1:256" s="643" customFormat="1" ht="14">
      <c r="A27" s="644"/>
      <c r="B27" s="648" t="s">
        <v>657</v>
      </c>
      <c r="C27" s="656"/>
      <c r="D27" s="656"/>
      <c r="E27" s="656"/>
      <c r="F27" s="656"/>
      <c r="G27" s="656"/>
      <c r="H27" s="656"/>
      <c r="I27" s="668"/>
      <c r="J27" s="656"/>
      <c r="K27" s="656"/>
      <c r="L27" s="669">
        <f>SUM(L28:L31)</f>
        <v>8.0000000000000002E-3</v>
      </c>
      <c r="N27" s="644"/>
      <c r="O27" s="644"/>
      <c r="P27" s="648" t="s">
        <v>657</v>
      </c>
      <c r="Q27" s="656"/>
      <c r="R27" s="656"/>
      <c r="S27" s="656"/>
      <c r="T27" s="656"/>
      <c r="U27" s="656"/>
      <c r="V27" s="656"/>
      <c r="W27" s="656"/>
      <c r="X27" s="657"/>
      <c r="Y27" s="656"/>
      <c r="Z27" s="669">
        <f>SUM(Z28:Z31)</f>
        <v>8.0000000000000002E-3</v>
      </c>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c r="BZ27" s="644"/>
      <c r="CA27" s="644"/>
      <c r="CB27" s="644"/>
      <c r="CC27" s="644"/>
      <c r="CD27" s="644"/>
      <c r="CE27" s="644"/>
      <c r="CF27" s="644"/>
      <c r="CG27" s="644"/>
      <c r="CH27" s="644"/>
      <c r="CI27" s="644"/>
      <c r="CJ27" s="644"/>
      <c r="CK27" s="644"/>
      <c r="CL27" s="644"/>
      <c r="CM27" s="644"/>
      <c r="CN27" s="644"/>
      <c r="CO27" s="644"/>
      <c r="CP27" s="644"/>
      <c r="CQ27" s="644"/>
      <c r="CR27" s="644"/>
      <c r="CS27" s="644"/>
      <c r="CT27" s="644"/>
      <c r="CU27" s="644"/>
      <c r="CV27" s="644"/>
      <c r="CW27" s="644"/>
      <c r="CX27" s="644"/>
      <c r="CY27" s="644"/>
      <c r="CZ27" s="644"/>
      <c r="DA27" s="644"/>
      <c r="DB27" s="644"/>
      <c r="DC27" s="644"/>
      <c r="DD27" s="644"/>
      <c r="DE27" s="644"/>
      <c r="DF27" s="644"/>
      <c r="DG27" s="644"/>
      <c r="DH27" s="644"/>
      <c r="DI27" s="644"/>
      <c r="DJ27" s="644"/>
      <c r="DK27" s="644"/>
      <c r="DL27" s="644"/>
      <c r="DM27" s="644"/>
      <c r="DN27" s="644"/>
      <c r="DO27" s="644"/>
      <c r="DP27" s="644"/>
      <c r="DQ27" s="644"/>
      <c r="DR27" s="644"/>
      <c r="DS27" s="644"/>
      <c r="DT27" s="644"/>
      <c r="DU27" s="644"/>
      <c r="DV27" s="644"/>
      <c r="DW27" s="644"/>
      <c r="DX27" s="644"/>
      <c r="DY27" s="644"/>
      <c r="DZ27" s="644"/>
      <c r="EA27" s="644"/>
      <c r="EB27" s="644"/>
      <c r="EC27" s="644"/>
      <c r="ED27" s="644"/>
      <c r="EE27" s="644"/>
      <c r="EF27" s="644"/>
      <c r="EG27" s="644"/>
      <c r="EH27" s="644"/>
      <c r="EI27" s="644"/>
      <c r="EJ27" s="644"/>
      <c r="EK27" s="644"/>
      <c r="EL27" s="644"/>
      <c r="EM27" s="644"/>
      <c r="EN27" s="644"/>
      <c r="EO27" s="644"/>
      <c r="EP27" s="644"/>
      <c r="EQ27" s="644"/>
      <c r="ER27" s="644"/>
      <c r="ES27" s="644"/>
      <c r="ET27" s="644"/>
      <c r="EU27" s="644"/>
      <c r="EV27" s="644"/>
      <c r="EW27" s="644"/>
      <c r="EX27" s="644"/>
      <c r="EY27" s="644"/>
      <c r="EZ27" s="644"/>
      <c r="FA27" s="644"/>
      <c r="FB27" s="644"/>
      <c r="FC27" s="644"/>
      <c r="FD27" s="644"/>
      <c r="FE27" s="644"/>
      <c r="FF27" s="644"/>
      <c r="FG27" s="644"/>
      <c r="FH27" s="644"/>
      <c r="FI27" s="644"/>
      <c r="FJ27" s="644"/>
      <c r="FK27" s="644"/>
      <c r="FL27" s="644"/>
      <c r="FM27" s="644"/>
      <c r="FN27" s="644"/>
      <c r="FO27" s="644"/>
      <c r="FP27" s="644"/>
      <c r="FQ27" s="644"/>
      <c r="FR27" s="644"/>
      <c r="FS27" s="644"/>
      <c r="FT27" s="644"/>
      <c r="FU27" s="644"/>
      <c r="FV27" s="644"/>
      <c r="FW27" s="644"/>
      <c r="FX27" s="644"/>
      <c r="FY27" s="644"/>
      <c r="FZ27" s="644"/>
      <c r="GA27" s="644"/>
      <c r="GB27" s="644"/>
      <c r="GC27" s="644"/>
      <c r="GD27" s="644"/>
      <c r="GE27" s="644"/>
      <c r="GF27" s="644"/>
      <c r="GG27" s="644"/>
      <c r="GH27" s="644"/>
      <c r="GI27" s="644"/>
      <c r="GJ27" s="644"/>
      <c r="GK27" s="644"/>
      <c r="GL27" s="644"/>
      <c r="GM27" s="644"/>
      <c r="GN27" s="644"/>
      <c r="GO27" s="644"/>
      <c r="GP27" s="644"/>
      <c r="GQ27" s="644"/>
      <c r="GR27" s="644"/>
      <c r="GS27" s="644"/>
      <c r="GT27" s="644"/>
      <c r="GU27" s="644"/>
      <c r="GV27" s="644"/>
      <c r="GW27" s="644"/>
      <c r="GX27" s="644"/>
      <c r="GY27" s="644"/>
      <c r="GZ27" s="644"/>
      <c r="HA27" s="644"/>
      <c r="HB27" s="644"/>
      <c r="HC27" s="644"/>
      <c r="HD27" s="644"/>
      <c r="HE27" s="644"/>
      <c r="HF27" s="644"/>
      <c r="HG27" s="644"/>
      <c r="HH27" s="644"/>
      <c r="HI27" s="644"/>
      <c r="HJ27" s="644"/>
      <c r="HK27" s="644"/>
      <c r="HL27" s="644"/>
      <c r="HM27" s="644"/>
      <c r="HN27" s="644"/>
      <c r="HO27" s="644"/>
      <c r="HP27" s="644"/>
      <c r="HQ27" s="644"/>
      <c r="HR27" s="644"/>
      <c r="HS27" s="644"/>
      <c r="HT27" s="644"/>
      <c r="HU27" s="644"/>
      <c r="HV27" s="644"/>
      <c r="HW27" s="644"/>
      <c r="HX27" s="644"/>
      <c r="HY27" s="644"/>
      <c r="HZ27" s="644"/>
      <c r="IA27" s="644"/>
      <c r="IB27" s="644"/>
      <c r="IC27" s="644"/>
      <c r="ID27" s="644"/>
      <c r="IE27" s="644"/>
      <c r="IF27" s="644"/>
      <c r="IG27" s="644"/>
      <c r="IH27" s="644"/>
      <c r="II27" s="644"/>
      <c r="IJ27" s="644"/>
      <c r="IK27" s="644"/>
      <c r="IL27" s="644"/>
      <c r="IM27" s="644"/>
      <c r="IN27" s="644"/>
      <c r="IO27" s="644"/>
      <c r="IP27" s="644"/>
      <c r="IQ27" s="644"/>
      <c r="IR27" s="644"/>
      <c r="IS27" s="644"/>
      <c r="IT27" s="644"/>
      <c r="IU27" s="644"/>
      <c r="IV27" s="644"/>
    </row>
    <row r="28" spans="1:256" s="643" customFormat="1" ht="14">
      <c r="A28" s="644"/>
      <c r="B28" s="670"/>
      <c r="C28" s="644"/>
      <c r="D28" s="644"/>
      <c r="E28" s="644"/>
      <c r="F28" s="644"/>
      <c r="G28" s="644"/>
      <c r="H28" s="644"/>
      <c r="I28" s="663"/>
      <c r="J28" s="644"/>
      <c r="K28" s="644"/>
      <c r="L28" s="671"/>
      <c r="N28" s="644"/>
      <c r="O28" s="644"/>
      <c r="P28" s="670"/>
      <c r="Q28" s="644"/>
      <c r="R28" s="644"/>
      <c r="S28" s="644"/>
      <c r="T28" s="644"/>
      <c r="U28" s="644"/>
      <c r="V28" s="644"/>
      <c r="W28" s="644"/>
      <c r="X28" s="645"/>
      <c r="Y28" s="644"/>
      <c r="Z28" s="671"/>
      <c r="AB28" s="644"/>
      <c r="AC28" s="644"/>
      <c r="AD28" s="644"/>
      <c r="AE28" s="644"/>
      <c r="AF28" s="644"/>
      <c r="AG28" s="644"/>
      <c r="AH28" s="644"/>
      <c r="AI28" s="644"/>
      <c r="AJ28" s="644"/>
      <c r="AK28" s="644"/>
      <c r="AL28" s="644"/>
      <c r="AM28" s="644"/>
      <c r="AN28" s="644"/>
      <c r="AO28" s="644"/>
      <c r="AP28" s="644"/>
      <c r="AQ28" s="644"/>
      <c r="AR28" s="644"/>
      <c r="AS28" s="644"/>
      <c r="AT28" s="644"/>
      <c r="AU28" s="644"/>
      <c r="AV28" s="644"/>
      <c r="AW28" s="644"/>
      <c r="AX28" s="644"/>
      <c r="AY28" s="644"/>
      <c r="AZ28" s="644"/>
      <c r="BA28" s="644"/>
      <c r="BB28" s="644"/>
      <c r="BC28" s="644"/>
      <c r="BD28" s="644"/>
      <c r="BE28" s="644"/>
      <c r="BF28" s="644"/>
      <c r="BG28" s="644"/>
      <c r="BH28" s="644"/>
      <c r="BI28" s="644"/>
      <c r="BJ28" s="644"/>
      <c r="BK28" s="644"/>
      <c r="BL28" s="644"/>
      <c r="BM28" s="644"/>
      <c r="BN28" s="644"/>
      <c r="BO28" s="644"/>
      <c r="BP28" s="644"/>
      <c r="BQ28" s="644"/>
      <c r="BR28" s="644"/>
      <c r="BS28" s="644"/>
      <c r="BT28" s="644"/>
      <c r="BU28" s="644"/>
      <c r="BV28" s="644"/>
      <c r="BW28" s="644"/>
      <c r="BX28" s="644"/>
      <c r="BY28" s="644"/>
      <c r="BZ28" s="644"/>
      <c r="CA28" s="644"/>
      <c r="CB28" s="644"/>
      <c r="CC28" s="644"/>
      <c r="CD28" s="644"/>
      <c r="CE28" s="644"/>
      <c r="CF28" s="644"/>
      <c r="CG28" s="644"/>
      <c r="CH28" s="644"/>
      <c r="CI28" s="644"/>
      <c r="CJ28" s="644"/>
      <c r="CK28" s="644"/>
      <c r="CL28" s="644"/>
      <c r="CM28" s="644"/>
      <c r="CN28" s="644"/>
      <c r="CO28" s="644"/>
      <c r="CP28" s="644"/>
      <c r="CQ28" s="644"/>
      <c r="CR28" s="644"/>
      <c r="CS28" s="644"/>
      <c r="CT28" s="644"/>
      <c r="CU28" s="644"/>
      <c r="CV28" s="644"/>
      <c r="CW28" s="644"/>
      <c r="CX28" s="644"/>
      <c r="CY28" s="644"/>
      <c r="CZ28" s="644"/>
      <c r="DA28" s="644"/>
      <c r="DB28" s="644"/>
      <c r="DC28" s="644"/>
      <c r="DD28" s="644"/>
      <c r="DE28" s="644"/>
      <c r="DF28" s="644"/>
      <c r="DG28" s="644"/>
      <c r="DH28" s="644"/>
      <c r="DI28" s="644"/>
      <c r="DJ28" s="644"/>
      <c r="DK28" s="644"/>
      <c r="DL28" s="644"/>
      <c r="DM28" s="644"/>
      <c r="DN28" s="644"/>
      <c r="DO28" s="644"/>
      <c r="DP28" s="644"/>
      <c r="DQ28" s="644"/>
      <c r="DR28" s="644"/>
      <c r="DS28" s="644"/>
      <c r="DT28" s="644"/>
      <c r="DU28" s="644"/>
      <c r="DV28" s="644"/>
      <c r="DW28" s="644"/>
      <c r="DX28" s="644"/>
      <c r="DY28" s="644"/>
      <c r="DZ28" s="644"/>
      <c r="EA28" s="644"/>
      <c r="EB28" s="644"/>
      <c r="EC28" s="644"/>
      <c r="ED28" s="644"/>
      <c r="EE28" s="644"/>
      <c r="EF28" s="644"/>
      <c r="EG28" s="644"/>
      <c r="EH28" s="644"/>
      <c r="EI28" s="644"/>
      <c r="EJ28" s="644"/>
      <c r="EK28" s="644"/>
      <c r="EL28" s="644"/>
      <c r="EM28" s="644"/>
      <c r="EN28" s="644"/>
      <c r="EO28" s="644"/>
      <c r="EP28" s="644"/>
      <c r="EQ28" s="644"/>
      <c r="ER28" s="644"/>
      <c r="ES28" s="644"/>
      <c r="ET28" s="644"/>
      <c r="EU28" s="644"/>
      <c r="EV28" s="644"/>
      <c r="EW28" s="644"/>
      <c r="EX28" s="644"/>
      <c r="EY28" s="644"/>
      <c r="EZ28" s="644"/>
      <c r="FA28" s="644"/>
      <c r="FB28" s="644"/>
      <c r="FC28" s="644"/>
      <c r="FD28" s="644"/>
      <c r="FE28" s="644"/>
      <c r="FF28" s="644"/>
      <c r="FG28" s="644"/>
      <c r="FH28" s="644"/>
      <c r="FI28" s="644"/>
      <c r="FJ28" s="644"/>
      <c r="FK28" s="644"/>
      <c r="FL28" s="644"/>
      <c r="FM28" s="644"/>
      <c r="FN28" s="644"/>
      <c r="FO28" s="644"/>
      <c r="FP28" s="644"/>
      <c r="FQ28" s="644"/>
      <c r="FR28" s="644"/>
      <c r="FS28" s="644"/>
      <c r="FT28" s="644"/>
      <c r="FU28" s="644"/>
      <c r="FV28" s="644"/>
      <c r="FW28" s="644"/>
      <c r="FX28" s="644"/>
      <c r="FY28" s="644"/>
      <c r="FZ28" s="644"/>
      <c r="GA28" s="644"/>
      <c r="GB28" s="644"/>
      <c r="GC28" s="644"/>
      <c r="GD28" s="644"/>
      <c r="GE28" s="644"/>
      <c r="GF28" s="644"/>
      <c r="GG28" s="644"/>
      <c r="GH28" s="644"/>
      <c r="GI28" s="644"/>
      <c r="GJ28" s="644"/>
      <c r="GK28" s="644"/>
      <c r="GL28" s="644"/>
      <c r="GM28" s="644"/>
      <c r="GN28" s="644"/>
      <c r="GO28" s="644"/>
      <c r="GP28" s="644"/>
      <c r="GQ28" s="644"/>
      <c r="GR28" s="644"/>
      <c r="GS28" s="644"/>
      <c r="GT28" s="644"/>
      <c r="GU28" s="644"/>
      <c r="GV28" s="644"/>
      <c r="GW28" s="644"/>
      <c r="GX28" s="644"/>
      <c r="GY28" s="644"/>
      <c r="GZ28" s="644"/>
      <c r="HA28" s="644"/>
      <c r="HB28" s="644"/>
      <c r="HC28" s="644"/>
      <c r="HD28" s="644"/>
      <c r="HE28" s="644"/>
      <c r="HF28" s="644"/>
      <c r="HG28" s="644"/>
      <c r="HH28" s="644"/>
      <c r="HI28" s="644"/>
      <c r="HJ28" s="644"/>
      <c r="HK28" s="644"/>
      <c r="HL28" s="644"/>
      <c r="HM28" s="644"/>
      <c r="HN28" s="644"/>
      <c r="HO28" s="644"/>
      <c r="HP28" s="644"/>
      <c r="HQ28" s="644"/>
      <c r="HR28" s="644"/>
      <c r="HS28" s="644"/>
      <c r="HT28" s="644"/>
      <c r="HU28" s="644"/>
      <c r="HV28" s="644"/>
      <c r="HW28" s="644"/>
      <c r="HX28" s="644"/>
      <c r="HY28" s="644"/>
      <c r="HZ28" s="644"/>
      <c r="IA28" s="644"/>
      <c r="IB28" s="644"/>
      <c r="IC28" s="644"/>
      <c r="ID28" s="644"/>
      <c r="IE28" s="644"/>
      <c r="IF28" s="644"/>
      <c r="IG28" s="644"/>
      <c r="IH28" s="644"/>
      <c r="II28" s="644"/>
      <c r="IJ28" s="644"/>
      <c r="IK28" s="644"/>
      <c r="IL28" s="644"/>
      <c r="IM28" s="644"/>
      <c r="IN28" s="644"/>
      <c r="IO28" s="644"/>
      <c r="IP28" s="644"/>
      <c r="IQ28" s="644"/>
      <c r="IR28" s="644"/>
      <c r="IS28" s="644"/>
      <c r="IT28" s="644"/>
      <c r="IU28" s="644"/>
      <c r="IV28" s="644"/>
    </row>
    <row r="29" spans="1:256" s="643" customFormat="1" ht="14">
      <c r="A29" s="644"/>
      <c r="B29" s="670"/>
      <c r="C29" s="644"/>
      <c r="D29" s="644"/>
      <c r="E29" s="644"/>
      <c r="F29" s="644"/>
      <c r="G29" s="644"/>
      <c r="H29" s="644"/>
      <c r="I29" s="663"/>
      <c r="J29" s="644"/>
      <c r="K29" s="644"/>
      <c r="L29" s="655"/>
      <c r="N29" s="644"/>
      <c r="O29" s="644"/>
      <c r="P29" s="670"/>
      <c r="Q29" s="644"/>
      <c r="R29" s="644"/>
      <c r="S29" s="644"/>
      <c r="T29" s="644"/>
      <c r="U29" s="644"/>
      <c r="V29" s="644"/>
      <c r="W29" s="644"/>
      <c r="X29" s="645"/>
      <c r="Y29" s="644"/>
      <c r="Z29" s="655"/>
      <c r="AB29" s="644"/>
      <c r="AC29" s="644"/>
      <c r="AD29" s="644"/>
      <c r="AE29" s="644"/>
      <c r="AF29" s="644"/>
      <c r="AG29" s="644"/>
      <c r="AH29" s="644"/>
      <c r="AI29" s="644"/>
      <c r="AJ29" s="644"/>
      <c r="AK29" s="644"/>
      <c r="AL29" s="644"/>
      <c r="AM29" s="644"/>
      <c r="AN29" s="644"/>
      <c r="AO29" s="644"/>
      <c r="AP29" s="644"/>
      <c r="AQ29" s="644"/>
      <c r="AR29" s="644"/>
      <c r="AS29" s="644"/>
      <c r="AT29" s="644"/>
      <c r="AU29" s="644"/>
      <c r="AV29" s="644"/>
      <c r="AW29" s="644"/>
      <c r="AX29" s="644"/>
      <c r="AY29" s="644"/>
      <c r="AZ29" s="644"/>
      <c r="BA29" s="644"/>
      <c r="BB29" s="644"/>
      <c r="BC29" s="644"/>
      <c r="BD29" s="644"/>
      <c r="BE29" s="644"/>
      <c r="BF29" s="644"/>
      <c r="BG29" s="644"/>
      <c r="BH29" s="644"/>
      <c r="BI29" s="644"/>
      <c r="BJ29" s="644"/>
      <c r="BK29" s="644"/>
      <c r="BL29" s="644"/>
      <c r="BM29" s="644"/>
      <c r="BN29" s="644"/>
      <c r="BO29" s="644"/>
      <c r="BP29" s="644"/>
      <c r="BQ29" s="644"/>
      <c r="BR29" s="644"/>
      <c r="BS29" s="644"/>
      <c r="BT29" s="644"/>
      <c r="BU29" s="644"/>
      <c r="BV29" s="644"/>
      <c r="BW29" s="644"/>
      <c r="BX29" s="644"/>
      <c r="BY29" s="644"/>
      <c r="BZ29" s="644"/>
      <c r="CA29" s="644"/>
      <c r="CB29" s="644"/>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c r="EH29" s="644"/>
      <c r="EI29" s="644"/>
      <c r="EJ29" s="644"/>
      <c r="EK29" s="644"/>
      <c r="EL29" s="644"/>
      <c r="EM29" s="644"/>
      <c r="EN29" s="644"/>
      <c r="EO29" s="644"/>
      <c r="EP29" s="644"/>
      <c r="EQ29" s="644"/>
      <c r="ER29" s="644"/>
      <c r="ES29" s="644"/>
      <c r="ET29" s="644"/>
      <c r="EU29" s="644"/>
      <c r="EV29" s="644"/>
      <c r="EW29" s="644"/>
      <c r="EX29" s="644"/>
      <c r="EY29" s="644"/>
      <c r="EZ29" s="644"/>
      <c r="FA29" s="644"/>
      <c r="FB29" s="644"/>
      <c r="FC29" s="644"/>
      <c r="FD29" s="644"/>
      <c r="FE29" s="644"/>
      <c r="FF29" s="644"/>
      <c r="FG29" s="644"/>
      <c r="FH29" s="644"/>
      <c r="FI29" s="644"/>
      <c r="FJ29" s="644"/>
      <c r="FK29" s="644"/>
      <c r="FL29" s="644"/>
      <c r="FM29" s="644"/>
      <c r="FN29" s="644"/>
      <c r="FO29" s="644"/>
      <c r="FP29" s="644"/>
      <c r="FQ29" s="644"/>
      <c r="FR29" s="644"/>
      <c r="FS29" s="644"/>
      <c r="FT29" s="644"/>
      <c r="FU29" s="644"/>
      <c r="FV29" s="644"/>
      <c r="FW29" s="644"/>
      <c r="FX29" s="644"/>
      <c r="FY29" s="644"/>
      <c r="FZ29" s="644"/>
      <c r="GA29" s="644"/>
      <c r="GB29" s="644"/>
      <c r="GC29" s="644"/>
      <c r="GD29" s="644"/>
      <c r="GE29" s="644"/>
      <c r="GF29" s="644"/>
      <c r="GG29" s="644"/>
      <c r="GH29" s="644"/>
      <c r="GI29" s="644"/>
      <c r="GJ29" s="644"/>
      <c r="GK29" s="644"/>
      <c r="GL29" s="644"/>
      <c r="GM29" s="644"/>
      <c r="GN29" s="644"/>
      <c r="GO29" s="644"/>
      <c r="GP29" s="644"/>
      <c r="GQ29" s="644"/>
      <c r="GR29" s="644"/>
      <c r="GS29" s="644"/>
      <c r="GT29" s="644"/>
      <c r="GU29" s="644"/>
      <c r="GV29" s="644"/>
      <c r="GW29" s="644"/>
      <c r="GX29" s="644"/>
      <c r="GY29" s="644"/>
      <c r="GZ29" s="644"/>
      <c r="HA29" s="644"/>
      <c r="HB29" s="644"/>
      <c r="HC29" s="644"/>
      <c r="HD29" s="644"/>
      <c r="HE29" s="644"/>
      <c r="HF29" s="644"/>
      <c r="HG29" s="644"/>
      <c r="HH29" s="644"/>
      <c r="HI29" s="644"/>
      <c r="HJ29" s="644"/>
      <c r="HK29" s="644"/>
      <c r="HL29" s="644"/>
      <c r="HM29" s="644"/>
      <c r="HN29" s="644"/>
      <c r="HO29" s="644"/>
      <c r="HP29" s="644"/>
      <c r="HQ29" s="644"/>
      <c r="HR29" s="644"/>
      <c r="HS29" s="644"/>
      <c r="HT29" s="644"/>
      <c r="HU29" s="644"/>
      <c r="HV29" s="644"/>
      <c r="HW29" s="644"/>
      <c r="HX29" s="644"/>
      <c r="HY29" s="644"/>
      <c r="HZ29" s="644"/>
      <c r="IA29" s="644"/>
      <c r="IB29" s="644"/>
      <c r="IC29" s="644"/>
      <c r="ID29" s="644"/>
      <c r="IE29" s="644"/>
      <c r="IF29" s="644"/>
      <c r="IG29" s="644"/>
      <c r="IH29" s="644"/>
      <c r="II29" s="644"/>
      <c r="IJ29" s="644"/>
      <c r="IK29" s="644"/>
      <c r="IL29" s="644"/>
      <c r="IM29" s="644"/>
      <c r="IN29" s="644"/>
      <c r="IO29" s="644"/>
      <c r="IP29" s="644"/>
      <c r="IQ29" s="644"/>
      <c r="IR29" s="644"/>
      <c r="IS29" s="644"/>
      <c r="IT29" s="644"/>
      <c r="IU29" s="644"/>
      <c r="IV29" s="644"/>
    </row>
    <row r="30" spans="1:256" s="643" customFormat="1" ht="14">
      <c r="A30" s="644"/>
      <c r="B30" s="670"/>
      <c r="C30" s="644"/>
      <c r="D30" s="644"/>
      <c r="E30" s="644"/>
      <c r="F30" s="644"/>
      <c r="G30" s="644"/>
      <c r="H30" s="644"/>
      <c r="I30" s="663"/>
      <c r="J30" s="644"/>
      <c r="K30" s="644"/>
      <c r="L30" s="671"/>
      <c r="N30" s="644"/>
      <c r="O30" s="644"/>
      <c r="P30" s="670"/>
      <c r="Q30" s="644"/>
      <c r="R30" s="644"/>
      <c r="S30" s="644"/>
      <c r="T30" s="644"/>
      <c r="U30" s="644"/>
      <c r="V30" s="644"/>
      <c r="W30" s="644"/>
      <c r="X30" s="645"/>
      <c r="Y30" s="644"/>
      <c r="Z30" s="671"/>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c r="AY30" s="644"/>
      <c r="AZ30" s="644"/>
      <c r="BA30" s="644"/>
      <c r="BB30" s="644"/>
      <c r="BC30" s="644"/>
      <c r="BD30" s="644"/>
      <c r="BE30" s="644"/>
      <c r="BF30" s="644"/>
      <c r="BG30" s="644"/>
      <c r="BH30" s="644"/>
      <c r="BI30" s="644"/>
      <c r="BJ30" s="644"/>
      <c r="BK30" s="644"/>
      <c r="BL30" s="644"/>
      <c r="BM30" s="644"/>
      <c r="BN30" s="644"/>
      <c r="BO30" s="644"/>
      <c r="BP30" s="644"/>
      <c r="BQ30" s="644"/>
      <c r="BR30" s="644"/>
      <c r="BS30" s="644"/>
      <c r="BT30" s="644"/>
      <c r="BU30" s="644"/>
      <c r="BV30" s="644"/>
      <c r="BW30" s="644"/>
      <c r="BX30" s="644"/>
      <c r="BY30" s="644"/>
      <c r="BZ30" s="644"/>
      <c r="CA30" s="644"/>
      <c r="CB30" s="644"/>
      <c r="CC30" s="644"/>
      <c r="CD30" s="644"/>
      <c r="CE30" s="644"/>
      <c r="CF30" s="644"/>
      <c r="CG30" s="644"/>
      <c r="CH30" s="644"/>
      <c r="CI30" s="644"/>
      <c r="CJ30" s="644"/>
      <c r="CK30" s="644"/>
      <c r="CL30" s="644"/>
      <c r="CM30" s="644"/>
      <c r="CN30" s="644"/>
      <c r="CO30" s="644"/>
      <c r="CP30" s="644"/>
      <c r="CQ30" s="644"/>
      <c r="CR30" s="644"/>
      <c r="CS30" s="644"/>
      <c r="CT30" s="644"/>
      <c r="CU30" s="644"/>
      <c r="CV30" s="644"/>
      <c r="CW30" s="644"/>
      <c r="CX30" s="644"/>
      <c r="CY30" s="644"/>
      <c r="CZ30" s="644"/>
      <c r="DA30" s="644"/>
      <c r="DB30" s="644"/>
      <c r="DC30" s="644"/>
      <c r="DD30" s="644"/>
      <c r="DE30" s="644"/>
      <c r="DF30" s="644"/>
      <c r="DG30" s="644"/>
      <c r="DH30" s="644"/>
      <c r="DI30" s="644"/>
      <c r="DJ30" s="644"/>
      <c r="DK30" s="644"/>
      <c r="DL30" s="644"/>
      <c r="DM30" s="644"/>
      <c r="DN30" s="644"/>
      <c r="DO30" s="644"/>
      <c r="DP30" s="644"/>
      <c r="DQ30" s="644"/>
      <c r="DR30" s="644"/>
      <c r="DS30" s="644"/>
      <c r="DT30" s="644"/>
      <c r="DU30" s="644"/>
      <c r="DV30" s="644"/>
      <c r="DW30" s="644"/>
      <c r="DX30" s="644"/>
      <c r="DY30" s="644"/>
      <c r="DZ30" s="644"/>
      <c r="EA30" s="644"/>
      <c r="EB30" s="644"/>
      <c r="EC30" s="644"/>
      <c r="ED30" s="644"/>
      <c r="EE30" s="644"/>
      <c r="EF30" s="644"/>
      <c r="EG30" s="644"/>
      <c r="EH30" s="644"/>
      <c r="EI30" s="644"/>
      <c r="EJ30" s="644"/>
      <c r="EK30" s="644"/>
      <c r="EL30" s="644"/>
      <c r="EM30" s="644"/>
      <c r="EN30" s="644"/>
      <c r="EO30" s="644"/>
      <c r="EP30" s="644"/>
      <c r="EQ30" s="644"/>
      <c r="ER30" s="644"/>
      <c r="ES30" s="644"/>
      <c r="ET30" s="644"/>
      <c r="EU30" s="644"/>
      <c r="EV30" s="644"/>
      <c r="EW30" s="644"/>
      <c r="EX30" s="644"/>
      <c r="EY30" s="644"/>
      <c r="EZ30" s="644"/>
      <c r="FA30" s="644"/>
      <c r="FB30" s="644"/>
      <c r="FC30" s="644"/>
      <c r="FD30" s="644"/>
      <c r="FE30" s="644"/>
      <c r="FF30" s="644"/>
      <c r="FG30" s="644"/>
      <c r="FH30" s="644"/>
      <c r="FI30" s="644"/>
      <c r="FJ30" s="644"/>
      <c r="FK30" s="644"/>
      <c r="FL30" s="644"/>
      <c r="FM30" s="644"/>
      <c r="FN30" s="644"/>
      <c r="FO30" s="644"/>
      <c r="FP30" s="644"/>
      <c r="FQ30" s="644"/>
      <c r="FR30" s="644"/>
      <c r="FS30" s="644"/>
      <c r="FT30" s="644"/>
      <c r="FU30" s="644"/>
      <c r="FV30" s="644"/>
      <c r="FW30" s="644"/>
      <c r="FX30" s="644"/>
      <c r="FY30" s="644"/>
      <c r="FZ30" s="644"/>
      <c r="GA30" s="644"/>
      <c r="GB30" s="644"/>
      <c r="GC30" s="644"/>
      <c r="GD30" s="644"/>
      <c r="GE30" s="644"/>
      <c r="GF30" s="644"/>
      <c r="GG30" s="644"/>
      <c r="GH30" s="644"/>
      <c r="GI30" s="644"/>
      <c r="GJ30" s="644"/>
      <c r="GK30" s="644"/>
      <c r="GL30" s="644"/>
      <c r="GM30" s="644"/>
      <c r="GN30" s="644"/>
      <c r="GO30" s="644"/>
      <c r="GP30" s="644"/>
      <c r="GQ30" s="644"/>
      <c r="GR30" s="644"/>
      <c r="GS30" s="644"/>
      <c r="GT30" s="644"/>
      <c r="GU30" s="644"/>
      <c r="GV30" s="644"/>
      <c r="GW30" s="644"/>
      <c r="GX30" s="644"/>
      <c r="GY30" s="644"/>
      <c r="GZ30" s="644"/>
      <c r="HA30" s="644"/>
      <c r="HB30" s="644"/>
      <c r="HC30" s="644"/>
      <c r="HD30" s="644"/>
      <c r="HE30" s="644"/>
      <c r="HF30" s="644"/>
      <c r="HG30" s="644"/>
      <c r="HH30" s="644"/>
      <c r="HI30" s="644"/>
      <c r="HJ30" s="644"/>
      <c r="HK30" s="644"/>
      <c r="HL30" s="644"/>
      <c r="HM30" s="644"/>
      <c r="HN30" s="644"/>
      <c r="HO30" s="644"/>
      <c r="HP30" s="644"/>
      <c r="HQ30" s="644"/>
      <c r="HR30" s="644"/>
      <c r="HS30" s="644"/>
      <c r="HT30" s="644"/>
      <c r="HU30" s="644"/>
      <c r="HV30" s="644"/>
      <c r="HW30" s="644"/>
      <c r="HX30" s="644"/>
      <c r="HY30" s="644"/>
      <c r="HZ30" s="644"/>
      <c r="IA30" s="644"/>
      <c r="IB30" s="644"/>
      <c r="IC30" s="644"/>
      <c r="ID30" s="644"/>
      <c r="IE30" s="644"/>
      <c r="IF30" s="644"/>
      <c r="IG30" s="644"/>
      <c r="IH30" s="644"/>
      <c r="II30" s="644"/>
      <c r="IJ30" s="644"/>
      <c r="IK30" s="644"/>
      <c r="IL30" s="644"/>
      <c r="IM30" s="644"/>
      <c r="IN30" s="644"/>
      <c r="IO30" s="644"/>
      <c r="IP30" s="644"/>
      <c r="IQ30" s="644"/>
      <c r="IR30" s="644"/>
      <c r="IS30" s="644"/>
      <c r="IT30" s="644"/>
      <c r="IU30" s="644"/>
      <c r="IV30" s="644"/>
    </row>
    <row r="31" spans="1:256" s="643" customFormat="1" ht="15" customHeight="1">
      <c r="A31" s="644"/>
      <c r="B31" s="670"/>
      <c r="C31" s="644"/>
      <c r="D31" s="1529" t="s">
        <v>658</v>
      </c>
      <c r="E31" s="1529"/>
      <c r="F31" s="1529"/>
      <c r="G31" s="1529"/>
      <c r="H31" s="644"/>
      <c r="I31" s="663"/>
      <c r="J31" s="644"/>
      <c r="K31" s="644"/>
      <c r="L31" s="672">
        <f>'[41]Gastos de Legalización'!B31</f>
        <v>8.0000000000000002E-3</v>
      </c>
      <c r="N31" s="644"/>
      <c r="O31" s="644"/>
      <c r="P31" s="670"/>
      <c r="Q31" s="644"/>
      <c r="R31" s="1529" t="s">
        <v>658</v>
      </c>
      <c r="S31" s="1529"/>
      <c r="T31" s="1529"/>
      <c r="U31" s="1529"/>
      <c r="V31" s="644"/>
      <c r="W31" s="644"/>
      <c r="X31" s="645"/>
      <c r="Y31" s="644"/>
      <c r="Z31" s="672">
        <f>'[41]Gastos de Legalización'!B31</f>
        <v>8.0000000000000002E-3</v>
      </c>
      <c r="AB31" s="644"/>
      <c r="AC31" s="644"/>
      <c r="AD31" s="644"/>
      <c r="AE31" s="644"/>
      <c r="AF31" s="644"/>
      <c r="AG31" s="644"/>
      <c r="AH31" s="644"/>
      <c r="AI31" s="644"/>
      <c r="AJ31" s="644"/>
      <c r="AK31" s="644"/>
      <c r="AL31" s="644"/>
      <c r="AM31" s="644"/>
      <c r="AN31" s="644"/>
      <c r="AO31" s="644"/>
      <c r="AP31" s="644"/>
      <c r="AQ31" s="644"/>
      <c r="AR31" s="644"/>
      <c r="AS31" s="644"/>
      <c r="AT31" s="644"/>
      <c r="AU31" s="644"/>
      <c r="AV31" s="644"/>
      <c r="AW31" s="644"/>
      <c r="AX31" s="644"/>
      <c r="AY31" s="644"/>
      <c r="AZ31" s="644"/>
      <c r="BA31" s="644"/>
      <c r="BB31" s="644"/>
      <c r="BC31" s="644"/>
      <c r="BD31" s="644"/>
      <c r="BE31" s="644"/>
      <c r="BF31" s="644"/>
      <c r="BG31" s="644"/>
      <c r="BH31" s="644"/>
      <c r="BI31" s="644"/>
      <c r="BJ31" s="644"/>
      <c r="BK31" s="644"/>
      <c r="BL31" s="644"/>
      <c r="BM31" s="644"/>
      <c r="BN31" s="644"/>
      <c r="BO31" s="644"/>
      <c r="BP31" s="644"/>
      <c r="BQ31" s="644"/>
      <c r="BR31" s="644"/>
      <c r="BS31" s="644"/>
      <c r="BT31" s="644"/>
      <c r="BU31" s="644"/>
      <c r="BV31" s="644"/>
      <c r="BW31" s="644"/>
      <c r="BX31" s="644"/>
      <c r="BY31" s="644"/>
      <c r="BZ31" s="644"/>
      <c r="CA31" s="644"/>
      <c r="CB31" s="644"/>
      <c r="CC31" s="644"/>
      <c r="CD31" s="644"/>
      <c r="CE31" s="644"/>
      <c r="CF31" s="644"/>
      <c r="CG31" s="644"/>
      <c r="CH31" s="644"/>
      <c r="CI31" s="644"/>
      <c r="CJ31" s="644"/>
      <c r="CK31" s="644"/>
      <c r="CL31" s="644"/>
      <c r="CM31" s="644"/>
      <c r="CN31" s="644"/>
      <c r="CO31" s="644"/>
      <c r="CP31" s="644"/>
      <c r="CQ31" s="644"/>
      <c r="CR31" s="644"/>
      <c r="CS31" s="644"/>
      <c r="CT31" s="644"/>
      <c r="CU31" s="644"/>
      <c r="CV31" s="644"/>
      <c r="CW31" s="644"/>
      <c r="CX31" s="644"/>
      <c r="CY31" s="644"/>
      <c r="CZ31" s="644"/>
      <c r="DA31" s="644"/>
      <c r="DB31" s="644"/>
      <c r="DC31" s="644"/>
      <c r="DD31" s="644"/>
      <c r="DE31" s="644"/>
      <c r="DF31" s="644"/>
      <c r="DG31" s="644"/>
      <c r="DH31" s="644"/>
      <c r="DI31" s="644"/>
      <c r="DJ31" s="644"/>
      <c r="DK31" s="644"/>
      <c r="DL31" s="644"/>
      <c r="DM31" s="644"/>
      <c r="DN31" s="644"/>
      <c r="DO31" s="644"/>
      <c r="DP31" s="644"/>
      <c r="DQ31" s="644"/>
      <c r="DR31" s="644"/>
      <c r="DS31" s="644"/>
      <c r="DT31" s="644"/>
      <c r="DU31" s="644"/>
      <c r="DV31" s="644"/>
      <c r="DW31" s="644"/>
      <c r="DX31" s="644"/>
      <c r="DY31" s="644"/>
      <c r="DZ31" s="644"/>
      <c r="EA31" s="644"/>
      <c r="EB31" s="644"/>
      <c r="EC31" s="644"/>
      <c r="ED31" s="644"/>
      <c r="EE31" s="644"/>
      <c r="EF31" s="644"/>
      <c r="EG31" s="644"/>
      <c r="EH31" s="644"/>
      <c r="EI31" s="644"/>
      <c r="EJ31" s="644"/>
      <c r="EK31" s="644"/>
      <c r="EL31" s="644"/>
      <c r="EM31" s="644"/>
      <c r="EN31" s="644"/>
      <c r="EO31" s="644"/>
      <c r="EP31" s="644"/>
      <c r="EQ31" s="644"/>
      <c r="ER31" s="644"/>
      <c r="ES31" s="644"/>
      <c r="ET31" s="644"/>
      <c r="EU31" s="644"/>
      <c r="EV31" s="644"/>
      <c r="EW31" s="644"/>
      <c r="EX31" s="644"/>
      <c r="EY31" s="644"/>
      <c r="EZ31" s="644"/>
      <c r="FA31" s="644"/>
      <c r="FB31" s="644"/>
      <c r="FC31" s="644"/>
      <c r="FD31" s="644"/>
      <c r="FE31" s="644"/>
      <c r="FF31" s="644"/>
      <c r="FG31" s="644"/>
      <c r="FH31" s="644"/>
      <c r="FI31" s="644"/>
      <c r="FJ31" s="644"/>
      <c r="FK31" s="644"/>
      <c r="FL31" s="644"/>
      <c r="FM31" s="644"/>
      <c r="FN31" s="644"/>
      <c r="FO31" s="644"/>
      <c r="FP31" s="644"/>
      <c r="FQ31" s="644"/>
      <c r="FR31" s="644"/>
      <c r="FS31" s="644"/>
      <c r="FT31" s="644"/>
      <c r="FU31" s="644"/>
      <c r="FV31" s="644"/>
      <c r="FW31" s="644"/>
      <c r="FX31" s="644"/>
      <c r="FY31" s="644"/>
      <c r="FZ31" s="644"/>
      <c r="GA31" s="644"/>
      <c r="GB31" s="644"/>
      <c r="GC31" s="644"/>
      <c r="GD31" s="644"/>
      <c r="GE31" s="644"/>
      <c r="GF31" s="644"/>
      <c r="GG31" s="644"/>
      <c r="GH31" s="644"/>
      <c r="GI31" s="644"/>
      <c r="GJ31" s="644"/>
      <c r="GK31" s="644"/>
      <c r="GL31" s="644"/>
      <c r="GM31" s="644"/>
      <c r="GN31" s="644"/>
      <c r="GO31" s="644"/>
      <c r="GP31" s="644"/>
      <c r="GQ31" s="644"/>
      <c r="GR31" s="644"/>
      <c r="GS31" s="644"/>
      <c r="GT31" s="644"/>
      <c r="GU31" s="644"/>
      <c r="GV31" s="644"/>
      <c r="GW31" s="644"/>
      <c r="GX31" s="644"/>
      <c r="GY31" s="644"/>
      <c r="GZ31" s="644"/>
      <c r="HA31" s="644"/>
      <c r="HB31" s="644"/>
      <c r="HC31" s="644"/>
      <c r="HD31" s="644"/>
      <c r="HE31" s="644"/>
      <c r="HF31" s="644"/>
      <c r="HG31" s="644"/>
      <c r="HH31" s="644"/>
      <c r="HI31" s="644"/>
      <c r="HJ31" s="644"/>
      <c r="HK31" s="644"/>
      <c r="HL31" s="644"/>
      <c r="HM31" s="644"/>
      <c r="HN31" s="644"/>
      <c r="HO31" s="644"/>
      <c r="HP31" s="644"/>
      <c r="HQ31" s="644"/>
      <c r="HR31" s="644"/>
      <c r="HS31" s="644"/>
      <c r="HT31" s="644"/>
      <c r="HU31" s="644"/>
      <c r="HV31" s="644"/>
      <c r="HW31" s="644"/>
      <c r="HX31" s="644"/>
      <c r="HY31" s="644"/>
      <c r="HZ31" s="644"/>
      <c r="IA31" s="644"/>
      <c r="IB31" s="644"/>
      <c r="IC31" s="644"/>
      <c r="ID31" s="644"/>
      <c r="IE31" s="644"/>
      <c r="IF31" s="644"/>
      <c r="IG31" s="644"/>
      <c r="IH31" s="644"/>
      <c r="II31" s="644"/>
      <c r="IJ31" s="644"/>
      <c r="IK31" s="644"/>
      <c r="IL31" s="644"/>
      <c r="IM31" s="644"/>
      <c r="IN31" s="644"/>
      <c r="IO31" s="644"/>
      <c r="IP31" s="644"/>
      <c r="IQ31" s="644"/>
      <c r="IR31" s="644"/>
      <c r="IS31" s="644"/>
      <c r="IT31" s="644"/>
      <c r="IU31" s="644"/>
      <c r="IV31" s="644"/>
    </row>
    <row r="32" spans="1:256" s="643" customFormat="1" ht="14">
      <c r="A32" s="644"/>
      <c r="B32" s="670"/>
      <c r="C32" s="644"/>
      <c r="D32" s="1529"/>
      <c r="E32" s="1529"/>
      <c r="F32" s="1529"/>
      <c r="G32" s="1529"/>
      <c r="H32" s="644"/>
      <c r="I32" s="663"/>
      <c r="J32" s="644"/>
      <c r="K32" s="644"/>
      <c r="L32" s="671"/>
      <c r="N32" s="644"/>
      <c r="O32" s="644"/>
      <c r="P32" s="670"/>
      <c r="Q32" s="644"/>
      <c r="R32" s="1529"/>
      <c r="S32" s="1529"/>
      <c r="T32" s="1529"/>
      <c r="U32" s="1529"/>
      <c r="V32" s="644"/>
      <c r="W32" s="644"/>
      <c r="X32" s="645"/>
      <c r="Y32" s="644"/>
      <c r="Z32" s="671"/>
      <c r="AB32" s="644"/>
      <c r="AC32" s="644"/>
      <c r="AD32" s="644"/>
      <c r="AE32" s="644"/>
      <c r="AF32" s="644"/>
      <c r="AG32" s="644"/>
      <c r="AH32" s="644"/>
      <c r="AI32" s="644"/>
      <c r="AJ32" s="644"/>
      <c r="AK32" s="644"/>
      <c r="AL32" s="644"/>
      <c r="AM32" s="644"/>
      <c r="AN32" s="644"/>
      <c r="AO32" s="644"/>
      <c r="AP32" s="644"/>
      <c r="AQ32" s="644"/>
      <c r="AR32" s="644"/>
      <c r="AS32" s="644"/>
      <c r="AT32" s="644"/>
      <c r="AU32" s="644"/>
      <c r="AV32" s="644"/>
      <c r="AW32" s="644"/>
      <c r="AX32" s="644"/>
      <c r="AY32" s="644"/>
      <c r="AZ32" s="644"/>
      <c r="BA32" s="644"/>
      <c r="BB32" s="644"/>
      <c r="BC32" s="644"/>
      <c r="BD32" s="644"/>
      <c r="BE32" s="644"/>
      <c r="BF32" s="644"/>
      <c r="BG32" s="644"/>
      <c r="BH32" s="644"/>
      <c r="BI32" s="644"/>
      <c r="BJ32" s="644"/>
      <c r="BK32" s="644"/>
      <c r="BL32" s="644"/>
      <c r="BM32" s="644"/>
      <c r="BN32" s="644"/>
      <c r="BO32" s="644"/>
      <c r="BP32" s="644"/>
      <c r="BQ32" s="644"/>
      <c r="BR32" s="644"/>
      <c r="BS32" s="644"/>
      <c r="BT32" s="644"/>
      <c r="BU32" s="644"/>
      <c r="BV32" s="644"/>
      <c r="BW32" s="644"/>
      <c r="BX32" s="644"/>
      <c r="BY32" s="644"/>
      <c r="BZ32" s="644"/>
      <c r="CA32" s="644"/>
      <c r="CB32" s="644"/>
      <c r="CC32" s="644"/>
      <c r="CD32" s="644"/>
      <c r="CE32" s="644"/>
      <c r="CF32" s="644"/>
      <c r="CG32" s="644"/>
      <c r="CH32" s="644"/>
      <c r="CI32" s="644"/>
      <c r="CJ32" s="644"/>
      <c r="CK32" s="644"/>
      <c r="CL32" s="644"/>
      <c r="CM32" s="644"/>
      <c r="CN32" s="644"/>
      <c r="CO32" s="644"/>
      <c r="CP32" s="644"/>
      <c r="CQ32" s="644"/>
      <c r="CR32" s="644"/>
      <c r="CS32" s="644"/>
      <c r="CT32" s="644"/>
      <c r="CU32" s="644"/>
      <c r="CV32" s="644"/>
      <c r="CW32" s="644"/>
      <c r="CX32" s="644"/>
      <c r="CY32" s="644"/>
      <c r="CZ32" s="644"/>
      <c r="DA32" s="644"/>
      <c r="DB32" s="644"/>
      <c r="DC32" s="644"/>
      <c r="DD32" s="644"/>
      <c r="DE32" s="644"/>
      <c r="DF32" s="644"/>
      <c r="DG32" s="644"/>
      <c r="DH32" s="644"/>
      <c r="DI32" s="644"/>
      <c r="DJ32" s="644"/>
      <c r="DK32" s="644"/>
      <c r="DL32" s="644"/>
      <c r="DM32" s="644"/>
      <c r="DN32" s="644"/>
      <c r="DO32" s="644"/>
      <c r="DP32" s="644"/>
      <c r="DQ32" s="644"/>
      <c r="DR32" s="644"/>
      <c r="DS32" s="644"/>
      <c r="DT32" s="644"/>
      <c r="DU32" s="644"/>
      <c r="DV32" s="644"/>
      <c r="DW32" s="644"/>
      <c r="DX32" s="644"/>
      <c r="DY32" s="644"/>
      <c r="DZ32" s="644"/>
      <c r="EA32" s="644"/>
      <c r="EB32" s="644"/>
      <c r="EC32" s="644"/>
      <c r="ED32" s="644"/>
      <c r="EE32" s="644"/>
      <c r="EF32" s="644"/>
      <c r="EG32" s="644"/>
      <c r="EH32" s="644"/>
      <c r="EI32" s="644"/>
      <c r="EJ32" s="644"/>
      <c r="EK32" s="644"/>
      <c r="EL32" s="644"/>
      <c r="EM32" s="644"/>
      <c r="EN32" s="644"/>
      <c r="EO32" s="644"/>
      <c r="EP32" s="644"/>
      <c r="EQ32" s="644"/>
      <c r="ER32" s="644"/>
      <c r="ES32" s="644"/>
      <c r="ET32" s="644"/>
      <c r="EU32" s="644"/>
      <c r="EV32" s="644"/>
      <c r="EW32" s="644"/>
      <c r="EX32" s="644"/>
      <c r="EY32" s="644"/>
      <c r="EZ32" s="644"/>
      <c r="FA32" s="644"/>
      <c r="FB32" s="644"/>
      <c r="FC32" s="644"/>
      <c r="FD32" s="644"/>
      <c r="FE32" s="644"/>
      <c r="FF32" s="644"/>
      <c r="FG32" s="644"/>
      <c r="FH32" s="644"/>
      <c r="FI32" s="644"/>
      <c r="FJ32" s="644"/>
      <c r="FK32" s="644"/>
      <c r="FL32" s="644"/>
      <c r="FM32" s="644"/>
      <c r="FN32" s="644"/>
      <c r="FO32" s="644"/>
      <c r="FP32" s="644"/>
      <c r="FQ32" s="644"/>
      <c r="FR32" s="644"/>
      <c r="FS32" s="644"/>
      <c r="FT32" s="644"/>
      <c r="FU32" s="644"/>
      <c r="FV32" s="644"/>
      <c r="FW32" s="644"/>
      <c r="FX32" s="644"/>
      <c r="FY32" s="644"/>
      <c r="FZ32" s="644"/>
      <c r="GA32" s="644"/>
      <c r="GB32" s="644"/>
      <c r="GC32" s="644"/>
      <c r="GD32" s="644"/>
      <c r="GE32" s="644"/>
      <c r="GF32" s="644"/>
      <c r="GG32" s="644"/>
      <c r="GH32" s="644"/>
      <c r="GI32" s="644"/>
      <c r="GJ32" s="644"/>
      <c r="GK32" s="644"/>
      <c r="GL32" s="644"/>
      <c r="GM32" s="644"/>
      <c r="GN32" s="644"/>
      <c r="GO32" s="644"/>
      <c r="GP32" s="644"/>
      <c r="GQ32" s="644"/>
      <c r="GR32" s="644"/>
      <c r="GS32" s="644"/>
      <c r="GT32" s="644"/>
      <c r="GU32" s="644"/>
      <c r="GV32" s="644"/>
      <c r="GW32" s="644"/>
      <c r="GX32" s="644"/>
      <c r="GY32" s="644"/>
      <c r="GZ32" s="644"/>
      <c r="HA32" s="644"/>
      <c r="HB32" s="644"/>
      <c r="HC32" s="644"/>
      <c r="HD32" s="644"/>
      <c r="HE32" s="644"/>
      <c r="HF32" s="644"/>
      <c r="HG32" s="644"/>
      <c r="HH32" s="644"/>
      <c r="HI32" s="644"/>
      <c r="HJ32" s="644"/>
      <c r="HK32" s="644"/>
      <c r="HL32" s="644"/>
      <c r="HM32" s="644"/>
      <c r="HN32" s="644"/>
      <c r="HO32" s="644"/>
      <c r="HP32" s="644"/>
      <c r="HQ32" s="644"/>
      <c r="HR32" s="644"/>
      <c r="HS32" s="644"/>
      <c r="HT32" s="644"/>
      <c r="HU32" s="644"/>
      <c r="HV32" s="644"/>
      <c r="HW32" s="644"/>
      <c r="HX32" s="644"/>
      <c r="HY32" s="644"/>
      <c r="HZ32" s="644"/>
      <c r="IA32" s="644"/>
      <c r="IB32" s="644"/>
      <c r="IC32" s="644"/>
      <c r="ID32" s="644"/>
      <c r="IE32" s="644"/>
      <c r="IF32" s="644"/>
      <c r="IG32" s="644"/>
      <c r="IH32" s="644"/>
      <c r="II32" s="644"/>
      <c r="IJ32" s="644"/>
      <c r="IK32" s="644"/>
      <c r="IL32" s="644"/>
      <c r="IM32" s="644"/>
      <c r="IN32" s="644"/>
      <c r="IO32" s="644"/>
      <c r="IP32" s="644"/>
      <c r="IQ32" s="644"/>
      <c r="IR32" s="644"/>
      <c r="IS32" s="644"/>
      <c r="IT32" s="644"/>
      <c r="IU32" s="644"/>
      <c r="IV32" s="644"/>
    </row>
    <row r="33" spans="1:256" s="643" customFormat="1">
      <c r="A33" s="644"/>
      <c r="B33" s="647"/>
      <c r="C33" s="644"/>
      <c r="D33" s="644"/>
      <c r="E33" s="644"/>
      <c r="F33" s="644"/>
      <c r="G33" s="644"/>
      <c r="H33" s="644"/>
      <c r="I33" s="663"/>
      <c r="J33" s="644"/>
      <c r="K33" s="644"/>
      <c r="L33" s="655"/>
      <c r="N33" s="644"/>
      <c r="O33" s="644"/>
      <c r="P33" s="647"/>
      <c r="Q33" s="644"/>
      <c r="R33" s="644"/>
      <c r="S33" s="644"/>
      <c r="T33" s="644"/>
      <c r="U33" s="644"/>
      <c r="V33" s="644"/>
      <c r="W33" s="663"/>
      <c r="X33" s="644"/>
      <c r="Y33" s="644"/>
      <c r="Z33" s="655"/>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c r="AY33" s="644"/>
      <c r="AZ33" s="644"/>
      <c r="BA33" s="644"/>
      <c r="BB33" s="644"/>
      <c r="BC33" s="644"/>
      <c r="BD33" s="644"/>
      <c r="BE33" s="644"/>
      <c r="BF33" s="644"/>
      <c r="BG33" s="644"/>
      <c r="BH33" s="644"/>
      <c r="BI33" s="644"/>
      <c r="BJ33" s="644"/>
      <c r="BK33" s="644"/>
      <c r="BL33" s="644"/>
      <c r="BM33" s="644"/>
      <c r="BN33" s="644"/>
      <c r="BO33" s="644"/>
      <c r="BP33" s="644"/>
      <c r="BQ33" s="644"/>
      <c r="BR33" s="644"/>
      <c r="BS33" s="644"/>
      <c r="BT33" s="644"/>
      <c r="BU33" s="644"/>
      <c r="BV33" s="644"/>
      <c r="BW33" s="644"/>
      <c r="BX33" s="644"/>
      <c r="BY33" s="644"/>
      <c r="BZ33" s="644"/>
      <c r="CA33" s="644"/>
      <c r="CB33" s="644"/>
      <c r="CC33" s="644"/>
      <c r="CD33" s="644"/>
      <c r="CE33" s="644"/>
      <c r="CF33" s="644"/>
      <c r="CG33" s="644"/>
      <c r="CH33" s="644"/>
      <c r="CI33" s="644"/>
      <c r="CJ33" s="644"/>
      <c r="CK33" s="644"/>
      <c r="CL33" s="644"/>
      <c r="CM33" s="644"/>
      <c r="CN33" s="644"/>
      <c r="CO33" s="644"/>
      <c r="CP33" s="644"/>
      <c r="CQ33" s="644"/>
      <c r="CR33" s="644"/>
      <c r="CS33" s="644"/>
      <c r="CT33" s="644"/>
      <c r="CU33" s="644"/>
      <c r="CV33" s="644"/>
      <c r="CW33" s="644"/>
      <c r="CX33" s="644"/>
      <c r="CY33" s="644"/>
      <c r="CZ33" s="644"/>
      <c r="DA33" s="644"/>
      <c r="DB33" s="644"/>
      <c r="DC33" s="644"/>
      <c r="DD33" s="644"/>
      <c r="DE33" s="644"/>
      <c r="DF33" s="644"/>
      <c r="DG33" s="644"/>
      <c r="DH33" s="644"/>
      <c r="DI33" s="644"/>
      <c r="DJ33" s="644"/>
      <c r="DK33" s="644"/>
      <c r="DL33" s="644"/>
      <c r="DM33" s="644"/>
      <c r="DN33" s="644"/>
      <c r="DO33" s="644"/>
      <c r="DP33" s="644"/>
      <c r="DQ33" s="644"/>
      <c r="DR33" s="644"/>
      <c r="DS33" s="644"/>
      <c r="DT33" s="644"/>
      <c r="DU33" s="644"/>
      <c r="DV33" s="644"/>
      <c r="DW33" s="644"/>
      <c r="DX33" s="644"/>
      <c r="DY33" s="644"/>
      <c r="DZ33" s="644"/>
      <c r="EA33" s="644"/>
      <c r="EB33" s="644"/>
      <c r="EC33" s="644"/>
      <c r="ED33" s="644"/>
      <c r="EE33" s="644"/>
      <c r="EF33" s="644"/>
      <c r="EG33" s="644"/>
      <c r="EH33" s="644"/>
      <c r="EI33" s="644"/>
      <c r="EJ33" s="644"/>
      <c r="EK33" s="644"/>
      <c r="EL33" s="644"/>
      <c r="EM33" s="644"/>
      <c r="EN33" s="644"/>
      <c r="EO33" s="644"/>
      <c r="EP33" s="644"/>
      <c r="EQ33" s="644"/>
      <c r="ER33" s="644"/>
      <c r="ES33" s="644"/>
      <c r="ET33" s="644"/>
      <c r="EU33" s="644"/>
      <c r="EV33" s="644"/>
      <c r="EW33" s="644"/>
      <c r="EX33" s="644"/>
      <c r="EY33" s="644"/>
      <c r="EZ33" s="644"/>
      <c r="FA33" s="644"/>
      <c r="FB33" s="644"/>
      <c r="FC33" s="644"/>
      <c r="FD33" s="644"/>
      <c r="FE33" s="644"/>
      <c r="FF33" s="644"/>
      <c r="FG33" s="644"/>
      <c r="FH33" s="644"/>
      <c r="FI33" s="644"/>
      <c r="FJ33" s="644"/>
      <c r="FK33" s="644"/>
      <c r="FL33" s="644"/>
      <c r="FM33" s="644"/>
      <c r="FN33" s="644"/>
      <c r="FO33" s="644"/>
      <c r="FP33" s="644"/>
      <c r="FQ33" s="644"/>
      <c r="FR33" s="644"/>
      <c r="FS33" s="644"/>
      <c r="FT33" s="644"/>
      <c r="FU33" s="644"/>
      <c r="FV33" s="644"/>
      <c r="FW33" s="644"/>
      <c r="FX33" s="644"/>
      <c r="FY33" s="644"/>
      <c r="FZ33" s="644"/>
      <c r="GA33" s="644"/>
      <c r="GB33" s="644"/>
      <c r="GC33" s="644"/>
      <c r="GD33" s="644"/>
      <c r="GE33" s="644"/>
      <c r="GF33" s="644"/>
      <c r="GG33" s="644"/>
      <c r="GH33" s="644"/>
      <c r="GI33" s="644"/>
      <c r="GJ33" s="644"/>
      <c r="GK33" s="644"/>
      <c r="GL33" s="644"/>
      <c r="GM33" s="644"/>
      <c r="GN33" s="644"/>
      <c r="GO33" s="644"/>
      <c r="GP33" s="644"/>
      <c r="GQ33" s="644"/>
      <c r="GR33" s="644"/>
      <c r="GS33" s="644"/>
      <c r="GT33" s="644"/>
      <c r="GU33" s="644"/>
      <c r="GV33" s="644"/>
      <c r="GW33" s="644"/>
      <c r="GX33" s="644"/>
      <c r="GY33" s="644"/>
      <c r="GZ33" s="644"/>
      <c r="HA33" s="644"/>
      <c r="HB33" s="644"/>
      <c r="HC33" s="644"/>
      <c r="HD33" s="644"/>
      <c r="HE33" s="644"/>
      <c r="HF33" s="644"/>
      <c r="HG33" s="644"/>
      <c r="HH33" s="644"/>
      <c r="HI33" s="644"/>
      <c r="HJ33" s="644"/>
      <c r="HK33" s="644"/>
      <c r="HL33" s="644"/>
      <c r="HM33" s="644"/>
      <c r="HN33" s="644"/>
      <c r="HO33" s="644"/>
      <c r="HP33" s="644"/>
      <c r="HQ33" s="644"/>
      <c r="HR33" s="644"/>
      <c r="HS33" s="644"/>
      <c r="HT33" s="644"/>
      <c r="HU33" s="644"/>
      <c r="HV33" s="644"/>
      <c r="HW33" s="644"/>
      <c r="HX33" s="644"/>
      <c r="HY33" s="644"/>
      <c r="HZ33" s="644"/>
      <c r="IA33" s="644"/>
      <c r="IB33" s="644"/>
      <c r="IC33" s="644"/>
      <c r="ID33" s="644"/>
      <c r="IE33" s="644"/>
      <c r="IF33" s="644"/>
      <c r="IG33" s="644"/>
      <c r="IH33" s="644"/>
      <c r="II33" s="644"/>
      <c r="IJ33" s="644"/>
      <c r="IK33" s="644"/>
      <c r="IL33" s="644"/>
      <c r="IM33" s="644"/>
      <c r="IN33" s="644"/>
      <c r="IO33" s="644"/>
      <c r="IP33" s="644"/>
      <c r="IQ33" s="644"/>
      <c r="IR33" s="644"/>
      <c r="IS33" s="644"/>
      <c r="IT33" s="644"/>
      <c r="IU33" s="644"/>
      <c r="IV33" s="644"/>
    </row>
    <row r="34" spans="1:256" s="643" customFormat="1">
      <c r="A34" s="644"/>
      <c r="B34" s="647"/>
      <c r="C34" s="644"/>
      <c r="D34" s="644"/>
      <c r="E34" s="644"/>
      <c r="F34" s="644"/>
      <c r="G34" s="644"/>
      <c r="H34" s="644"/>
      <c r="I34" s="663"/>
      <c r="J34" s="644"/>
      <c r="K34" s="644"/>
      <c r="L34" s="655"/>
      <c r="N34" s="644"/>
      <c r="O34" s="644"/>
      <c r="P34" s="647"/>
      <c r="Q34" s="644"/>
      <c r="R34" s="644"/>
      <c r="S34" s="644"/>
      <c r="T34" s="644"/>
      <c r="U34" s="644"/>
      <c r="V34" s="644"/>
      <c r="W34" s="663"/>
      <c r="X34" s="644"/>
      <c r="Y34" s="644"/>
      <c r="Z34" s="655"/>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c r="AY34" s="644"/>
      <c r="AZ34" s="644"/>
      <c r="BA34" s="644"/>
      <c r="BB34" s="644"/>
      <c r="BC34" s="644"/>
      <c r="BD34" s="644"/>
      <c r="BE34" s="644"/>
      <c r="BF34" s="644"/>
      <c r="BG34" s="644"/>
      <c r="BH34" s="644"/>
      <c r="BI34" s="644"/>
      <c r="BJ34" s="644"/>
      <c r="BK34" s="644"/>
      <c r="BL34" s="644"/>
      <c r="BM34" s="644"/>
      <c r="BN34" s="644"/>
      <c r="BO34" s="644"/>
      <c r="BP34" s="644"/>
      <c r="BQ34" s="644"/>
      <c r="BR34" s="644"/>
      <c r="BS34" s="644"/>
      <c r="BT34" s="644"/>
      <c r="BU34" s="644"/>
      <c r="BV34" s="644"/>
      <c r="BW34" s="644"/>
      <c r="BX34" s="644"/>
      <c r="BY34" s="644"/>
      <c r="BZ34" s="644"/>
      <c r="CA34" s="644"/>
      <c r="CB34" s="644"/>
      <c r="CC34" s="644"/>
      <c r="CD34" s="644"/>
      <c r="CE34" s="644"/>
      <c r="CF34" s="644"/>
      <c r="CG34" s="644"/>
      <c r="CH34" s="644"/>
      <c r="CI34" s="644"/>
      <c r="CJ34" s="644"/>
      <c r="CK34" s="644"/>
      <c r="CL34" s="644"/>
      <c r="CM34" s="644"/>
      <c r="CN34" s="644"/>
      <c r="CO34" s="644"/>
      <c r="CP34" s="644"/>
      <c r="CQ34" s="644"/>
      <c r="CR34" s="644"/>
      <c r="CS34" s="644"/>
      <c r="CT34" s="644"/>
      <c r="CU34" s="644"/>
      <c r="CV34" s="644"/>
      <c r="CW34" s="644"/>
      <c r="CX34" s="644"/>
      <c r="CY34" s="644"/>
      <c r="CZ34" s="644"/>
      <c r="DA34" s="644"/>
      <c r="DB34" s="644"/>
      <c r="DC34" s="644"/>
      <c r="DD34" s="644"/>
      <c r="DE34" s="644"/>
      <c r="DF34" s="644"/>
      <c r="DG34" s="644"/>
      <c r="DH34" s="644"/>
      <c r="DI34" s="644"/>
      <c r="DJ34" s="644"/>
      <c r="DK34" s="644"/>
      <c r="DL34" s="644"/>
      <c r="DM34" s="644"/>
      <c r="DN34" s="644"/>
      <c r="DO34" s="644"/>
      <c r="DP34" s="644"/>
      <c r="DQ34" s="644"/>
      <c r="DR34" s="644"/>
      <c r="DS34" s="644"/>
      <c r="DT34" s="644"/>
      <c r="DU34" s="644"/>
      <c r="DV34" s="644"/>
      <c r="DW34" s="644"/>
      <c r="DX34" s="644"/>
      <c r="DY34" s="644"/>
      <c r="DZ34" s="644"/>
      <c r="EA34" s="644"/>
      <c r="EB34" s="644"/>
      <c r="EC34" s="644"/>
      <c r="ED34" s="644"/>
      <c r="EE34" s="644"/>
      <c r="EF34" s="644"/>
      <c r="EG34" s="644"/>
      <c r="EH34" s="644"/>
      <c r="EI34" s="644"/>
      <c r="EJ34" s="644"/>
      <c r="EK34" s="644"/>
      <c r="EL34" s="644"/>
      <c r="EM34" s="644"/>
      <c r="EN34" s="644"/>
      <c r="EO34" s="644"/>
      <c r="EP34" s="644"/>
      <c r="EQ34" s="644"/>
      <c r="ER34" s="644"/>
      <c r="ES34" s="644"/>
      <c r="ET34" s="644"/>
      <c r="EU34" s="644"/>
      <c r="EV34" s="644"/>
      <c r="EW34" s="644"/>
      <c r="EX34" s="644"/>
      <c r="EY34" s="644"/>
      <c r="EZ34" s="644"/>
      <c r="FA34" s="644"/>
      <c r="FB34" s="644"/>
      <c r="FC34" s="644"/>
      <c r="FD34" s="644"/>
      <c r="FE34" s="644"/>
      <c r="FF34" s="644"/>
      <c r="FG34" s="644"/>
      <c r="FH34" s="644"/>
      <c r="FI34" s="644"/>
      <c r="FJ34" s="644"/>
      <c r="FK34" s="644"/>
      <c r="FL34" s="644"/>
      <c r="FM34" s="644"/>
      <c r="FN34" s="644"/>
      <c r="FO34" s="644"/>
      <c r="FP34" s="644"/>
      <c r="FQ34" s="644"/>
      <c r="FR34" s="644"/>
      <c r="FS34" s="644"/>
      <c r="FT34" s="644"/>
      <c r="FU34" s="644"/>
      <c r="FV34" s="644"/>
      <c r="FW34" s="644"/>
      <c r="FX34" s="644"/>
      <c r="FY34" s="644"/>
      <c r="FZ34" s="644"/>
      <c r="GA34" s="644"/>
      <c r="GB34" s="644"/>
      <c r="GC34" s="644"/>
      <c r="GD34" s="644"/>
      <c r="GE34" s="644"/>
      <c r="GF34" s="644"/>
      <c r="GG34" s="644"/>
      <c r="GH34" s="644"/>
      <c r="GI34" s="644"/>
      <c r="GJ34" s="644"/>
      <c r="GK34" s="644"/>
      <c r="GL34" s="644"/>
      <c r="GM34" s="644"/>
      <c r="GN34" s="644"/>
      <c r="GO34" s="644"/>
      <c r="GP34" s="644"/>
      <c r="GQ34" s="644"/>
      <c r="GR34" s="644"/>
      <c r="GS34" s="644"/>
      <c r="GT34" s="644"/>
      <c r="GU34" s="644"/>
      <c r="GV34" s="644"/>
      <c r="GW34" s="644"/>
      <c r="GX34" s="644"/>
      <c r="GY34" s="644"/>
      <c r="GZ34" s="644"/>
      <c r="HA34" s="644"/>
      <c r="HB34" s="644"/>
      <c r="HC34" s="644"/>
      <c r="HD34" s="644"/>
      <c r="HE34" s="644"/>
      <c r="HF34" s="644"/>
      <c r="HG34" s="644"/>
      <c r="HH34" s="644"/>
      <c r="HI34" s="644"/>
      <c r="HJ34" s="644"/>
      <c r="HK34" s="644"/>
      <c r="HL34" s="644"/>
      <c r="HM34" s="644"/>
      <c r="HN34" s="644"/>
      <c r="HO34" s="644"/>
      <c r="HP34" s="644"/>
      <c r="HQ34" s="644"/>
      <c r="HR34" s="644"/>
      <c r="HS34" s="644"/>
      <c r="HT34" s="644"/>
      <c r="HU34" s="644"/>
      <c r="HV34" s="644"/>
      <c r="HW34" s="644"/>
      <c r="HX34" s="644"/>
      <c r="HY34" s="644"/>
      <c r="HZ34" s="644"/>
      <c r="IA34" s="644"/>
      <c r="IB34" s="644"/>
      <c r="IC34" s="644"/>
      <c r="ID34" s="644"/>
      <c r="IE34" s="644"/>
      <c r="IF34" s="644"/>
      <c r="IG34" s="644"/>
      <c r="IH34" s="644"/>
      <c r="II34" s="644"/>
      <c r="IJ34" s="644"/>
      <c r="IK34" s="644"/>
      <c r="IL34" s="644"/>
      <c r="IM34" s="644"/>
      <c r="IN34" s="644"/>
      <c r="IO34" s="644"/>
      <c r="IP34" s="644"/>
      <c r="IQ34" s="644"/>
      <c r="IR34" s="644"/>
      <c r="IS34" s="644"/>
      <c r="IT34" s="644"/>
      <c r="IU34" s="644"/>
      <c r="IV34" s="644"/>
    </row>
    <row r="35" spans="1:256" s="643" customFormat="1" ht="14">
      <c r="A35" s="644"/>
      <c r="B35" s="648" t="s">
        <v>659</v>
      </c>
      <c r="C35" s="656"/>
      <c r="D35" s="656"/>
      <c r="E35" s="656"/>
      <c r="F35" s="656"/>
      <c r="G35" s="656"/>
      <c r="H35" s="656"/>
      <c r="I35" s="668"/>
      <c r="J35" s="673">
        <v>0.15</v>
      </c>
      <c r="K35" s="656" t="s">
        <v>660</v>
      </c>
      <c r="L35" s="674">
        <f>J35*(L6+L8+L27)</f>
        <v>0.24162999999999998</v>
      </c>
      <c r="N35" s="644"/>
      <c r="O35" s="644"/>
      <c r="P35" s="648" t="s">
        <v>659</v>
      </c>
      <c r="Q35" s="656"/>
      <c r="R35" s="656"/>
      <c r="S35" s="656"/>
      <c r="T35" s="656"/>
      <c r="U35" s="656"/>
      <c r="V35" s="656"/>
      <c r="W35" s="668"/>
      <c r="X35" s="673">
        <v>0.15</v>
      </c>
      <c r="Y35" s="656" t="s">
        <v>660</v>
      </c>
      <c r="Z35" s="674">
        <f>X35*(Z6+Z8+Z27)</f>
        <v>0.23412999999999998</v>
      </c>
      <c r="AB35" s="644"/>
      <c r="AC35" s="644"/>
      <c r="AD35" s="644"/>
      <c r="AE35" s="644"/>
      <c r="AF35" s="644"/>
      <c r="AG35" s="644"/>
      <c r="AH35" s="644"/>
      <c r="AI35" s="644"/>
      <c r="AJ35" s="644"/>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4"/>
      <c r="BG35" s="644"/>
      <c r="BH35" s="644"/>
      <c r="BI35" s="644"/>
      <c r="BJ35" s="644"/>
      <c r="BK35" s="644"/>
      <c r="BL35" s="644"/>
      <c r="BM35" s="644"/>
      <c r="BN35" s="644"/>
      <c r="BO35" s="644"/>
      <c r="BP35" s="644"/>
      <c r="BQ35" s="644"/>
      <c r="BR35" s="644"/>
      <c r="BS35" s="644"/>
      <c r="BT35" s="644"/>
      <c r="BU35" s="644"/>
      <c r="BV35" s="644"/>
      <c r="BW35" s="644"/>
      <c r="BX35" s="644"/>
      <c r="BY35" s="644"/>
      <c r="BZ35" s="644"/>
      <c r="CA35" s="644"/>
      <c r="CB35" s="644"/>
      <c r="CC35" s="644"/>
      <c r="CD35" s="644"/>
      <c r="CE35" s="644"/>
      <c r="CF35" s="644"/>
      <c r="CG35" s="644"/>
      <c r="CH35" s="644"/>
      <c r="CI35" s="644"/>
      <c r="CJ35" s="644"/>
      <c r="CK35" s="644"/>
      <c r="CL35" s="644"/>
      <c r="CM35" s="644"/>
      <c r="CN35" s="644"/>
      <c r="CO35" s="644"/>
      <c r="CP35" s="644"/>
      <c r="CQ35" s="644"/>
      <c r="CR35" s="644"/>
      <c r="CS35" s="644"/>
      <c r="CT35" s="644"/>
      <c r="CU35" s="644"/>
      <c r="CV35" s="644"/>
      <c r="CW35" s="644"/>
      <c r="CX35" s="644"/>
      <c r="CY35" s="644"/>
      <c r="CZ35" s="644"/>
      <c r="DA35" s="644"/>
      <c r="DB35" s="644"/>
      <c r="DC35" s="644"/>
      <c r="DD35" s="644"/>
      <c r="DE35" s="644"/>
      <c r="DF35" s="644"/>
      <c r="DG35" s="644"/>
      <c r="DH35" s="644"/>
      <c r="DI35" s="644"/>
      <c r="DJ35" s="644"/>
      <c r="DK35" s="644"/>
      <c r="DL35" s="644"/>
      <c r="DM35" s="644"/>
      <c r="DN35" s="644"/>
      <c r="DO35" s="644"/>
      <c r="DP35" s="644"/>
      <c r="DQ35" s="644"/>
      <c r="DR35" s="644"/>
      <c r="DS35" s="644"/>
      <c r="DT35" s="644"/>
      <c r="DU35" s="644"/>
      <c r="DV35" s="644"/>
      <c r="DW35" s="644"/>
      <c r="DX35" s="644"/>
      <c r="DY35" s="644"/>
      <c r="DZ35" s="644"/>
      <c r="EA35" s="644"/>
      <c r="EB35" s="644"/>
      <c r="EC35" s="644"/>
      <c r="ED35" s="644"/>
      <c r="EE35" s="644"/>
      <c r="EF35" s="644"/>
      <c r="EG35" s="644"/>
      <c r="EH35" s="644"/>
      <c r="EI35" s="644"/>
      <c r="EJ35" s="644"/>
      <c r="EK35" s="644"/>
      <c r="EL35" s="644"/>
      <c r="EM35" s="644"/>
      <c r="EN35" s="644"/>
      <c r="EO35" s="644"/>
      <c r="EP35" s="644"/>
      <c r="EQ35" s="644"/>
      <c r="ER35" s="644"/>
      <c r="ES35" s="644"/>
      <c r="ET35" s="644"/>
      <c r="EU35" s="644"/>
      <c r="EV35" s="644"/>
      <c r="EW35" s="644"/>
      <c r="EX35" s="644"/>
      <c r="EY35" s="644"/>
      <c r="EZ35" s="644"/>
      <c r="FA35" s="644"/>
      <c r="FB35" s="644"/>
      <c r="FC35" s="644"/>
      <c r="FD35" s="644"/>
      <c r="FE35" s="644"/>
      <c r="FF35" s="644"/>
      <c r="FG35" s="644"/>
      <c r="FH35" s="644"/>
      <c r="FI35" s="644"/>
      <c r="FJ35" s="644"/>
      <c r="FK35" s="644"/>
      <c r="FL35" s="644"/>
      <c r="FM35" s="644"/>
      <c r="FN35" s="644"/>
      <c r="FO35" s="644"/>
      <c r="FP35" s="644"/>
      <c r="FQ35" s="644"/>
      <c r="FR35" s="644"/>
      <c r="FS35" s="644"/>
      <c r="FT35" s="644"/>
      <c r="FU35" s="644"/>
      <c r="FV35" s="644"/>
      <c r="FW35" s="644"/>
      <c r="FX35" s="644"/>
      <c r="FY35" s="644"/>
      <c r="FZ35" s="644"/>
      <c r="GA35" s="644"/>
      <c r="GB35" s="644"/>
      <c r="GC35" s="644"/>
      <c r="GD35" s="644"/>
      <c r="GE35" s="644"/>
      <c r="GF35" s="644"/>
      <c r="GG35" s="644"/>
      <c r="GH35" s="644"/>
      <c r="GI35" s="644"/>
      <c r="GJ35" s="644"/>
      <c r="GK35" s="644"/>
      <c r="GL35" s="644"/>
      <c r="GM35" s="644"/>
      <c r="GN35" s="644"/>
      <c r="GO35" s="644"/>
      <c r="GP35" s="644"/>
      <c r="GQ35" s="644"/>
      <c r="GR35" s="644"/>
      <c r="GS35" s="644"/>
      <c r="GT35" s="644"/>
      <c r="GU35" s="644"/>
      <c r="GV35" s="644"/>
      <c r="GW35" s="644"/>
      <c r="GX35" s="644"/>
      <c r="GY35" s="644"/>
      <c r="GZ35" s="644"/>
      <c r="HA35" s="644"/>
      <c r="HB35" s="644"/>
      <c r="HC35" s="644"/>
      <c r="HD35" s="644"/>
      <c r="HE35" s="644"/>
      <c r="HF35" s="644"/>
      <c r="HG35" s="644"/>
      <c r="HH35" s="644"/>
      <c r="HI35" s="644"/>
      <c r="HJ35" s="644"/>
      <c r="HK35" s="644"/>
      <c r="HL35" s="644"/>
      <c r="HM35" s="644"/>
      <c r="HN35" s="644"/>
      <c r="HO35" s="644"/>
      <c r="HP35" s="644"/>
      <c r="HQ35" s="644"/>
      <c r="HR35" s="644"/>
      <c r="HS35" s="644"/>
      <c r="HT35" s="644"/>
      <c r="HU35" s="644"/>
      <c r="HV35" s="644"/>
      <c r="HW35" s="644"/>
      <c r="HX35" s="644"/>
      <c r="HY35" s="644"/>
      <c r="HZ35" s="644"/>
      <c r="IA35" s="644"/>
      <c r="IB35" s="644"/>
      <c r="IC35" s="644"/>
      <c r="ID35" s="644"/>
      <c r="IE35" s="644"/>
      <c r="IF35" s="644"/>
      <c r="IG35" s="644"/>
      <c r="IH35" s="644"/>
      <c r="II35" s="644"/>
      <c r="IJ35" s="644"/>
      <c r="IK35" s="644"/>
      <c r="IL35" s="644"/>
      <c r="IM35" s="644"/>
      <c r="IN35" s="644"/>
      <c r="IO35" s="644"/>
      <c r="IP35" s="644"/>
      <c r="IQ35" s="644"/>
      <c r="IR35" s="644"/>
      <c r="IS35" s="644"/>
      <c r="IT35" s="644"/>
      <c r="IU35" s="644"/>
      <c r="IV35" s="644"/>
    </row>
    <row r="36" spans="1:256" s="643" customFormat="1" ht="14">
      <c r="A36" s="644"/>
      <c r="B36" s="670"/>
      <c r="C36" s="644"/>
      <c r="D36" s="644"/>
      <c r="E36" s="644"/>
      <c r="F36" s="644"/>
      <c r="G36" s="644"/>
      <c r="H36" s="644"/>
      <c r="I36" s="663"/>
      <c r="J36" s="675"/>
      <c r="K36" s="644"/>
      <c r="L36" s="667"/>
      <c r="N36" s="644"/>
      <c r="O36" s="644"/>
      <c r="P36" s="670"/>
      <c r="Q36" s="644"/>
      <c r="R36" s="644"/>
      <c r="S36" s="644"/>
      <c r="T36" s="644"/>
      <c r="U36" s="644"/>
      <c r="V36" s="644"/>
      <c r="W36" s="663"/>
      <c r="X36" s="675"/>
      <c r="Y36" s="644"/>
      <c r="Z36" s="667"/>
      <c r="AB36" s="644"/>
      <c r="AC36" s="644"/>
      <c r="AD36" s="644"/>
      <c r="AE36" s="644"/>
      <c r="AF36" s="644"/>
      <c r="AG36" s="644"/>
      <c r="AH36" s="644"/>
      <c r="AI36" s="644"/>
      <c r="AJ36" s="644"/>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4"/>
      <c r="BG36" s="644"/>
      <c r="BH36" s="644"/>
      <c r="BI36" s="644"/>
      <c r="BJ36" s="644"/>
      <c r="BK36" s="644"/>
      <c r="BL36" s="644"/>
      <c r="BM36" s="644"/>
      <c r="BN36" s="644"/>
      <c r="BO36" s="644"/>
      <c r="BP36" s="644"/>
      <c r="BQ36" s="644"/>
      <c r="BR36" s="644"/>
      <c r="BS36" s="644"/>
      <c r="BT36" s="644"/>
      <c r="BU36" s="644"/>
      <c r="BV36" s="644"/>
      <c r="BW36" s="644"/>
      <c r="BX36" s="644"/>
      <c r="BY36" s="644"/>
      <c r="BZ36" s="644"/>
      <c r="CA36" s="644"/>
      <c r="CB36" s="644"/>
      <c r="CC36" s="644"/>
      <c r="CD36" s="644"/>
      <c r="CE36" s="644"/>
      <c r="CF36" s="644"/>
      <c r="CG36" s="644"/>
      <c r="CH36" s="644"/>
      <c r="CI36" s="644"/>
      <c r="CJ36" s="644"/>
      <c r="CK36" s="644"/>
      <c r="CL36" s="644"/>
      <c r="CM36" s="644"/>
      <c r="CN36" s="644"/>
      <c r="CO36" s="644"/>
      <c r="CP36" s="644"/>
      <c r="CQ36" s="644"/>
      <c r="CR36" s="644"/>
      <c r="CS36" s="644"/>
      <c r="CT36" s="644"/>
      <c r="CU36" s="644"/>
      <c r="CV36" s="644"/>
      <c r="CW36" s="644"/>
      <c r="CX36" s="644"/>
      <c r="CY36" s="644"/>
      <c r="CZ36" s="644"/>
      <c r="DA36" s="644"/>
      <c r="DB36" s="644"/>
      <c r="DC36" s="644"/>
      <c r="DD36" s="644"/>
      <c r="DE36" s="644"/>
      <c r="DF36" s="644"/>
      <c r="DG36" s="644"/>
      <c r="DH36" s="644"/>
      <c r="DI36" s="644"/>
      <c r="DJ36" s="644"/>
      <c r="DK36" s="644"/>
      <c r="DL36" s="644"/>
      <c r="DM36" s="644"/>
      <c r="DN36" s="644"/>
      <c r="DO36" s="644"/>
      <c r="DP36" s="644"/>
      <c r="DQ36" s="644"/>
      <c r="DR36" s="644"/>
      <c r="DS36" s="644"/>
      <c r="DT36" s="644"/>
      <c r="DU36" s="644"/>
      <c r="DV36" s="644"/>
      <c r="DW36" s="644"/>
      <c r="DX36" s="644"/>
      <c r="DY36" s="644"/>
      <c r="DZ36" s="644"/>
      <c r="EA36" s="644"/>
      <c r="EB36" s="644"/>
      <c r="EC36" s="644"/>
      <c r="ED36" s="644"/>
      <c r="EE36" s="644"/>
      <c r="EF36" s="644"/>
      <c r="EG36" s="644"/>
      <c r="EH36" s="644"/>
      <c r="EI36" s="644"/>
      <c r="EJ36" s="644"/>
      <c r="EK36" s="644"/>
      <c r="EL36" s="644"/>
      <c r="EM36" s="644"/>
      <c r="EN36" s="644"/>
      <c r="EO36" s="644"/>
      <c r="EP36" s="644"/>
      <c r="EQ36" s="644"/>
      <c r="ER36" s="644"/>
      <c r="ES36" s="644"/>
      <c r="ET36" s="644"/>
      <c r="EU36" s="644"/>
      <c r="EV36" s="644"/>
      <c r="EW36" s="644"/>
      <c r="EX36" s="644"/>
      <c r="EY36" s="644"/>
      <c r="EZ36" s="644"/>
      <c r="FA36" s="644"/>
      <c r="FB36" s="644"/>
      <c r="FC36" s="644"/>
      <c r="FD36" s="644"/>
      <c r="FE36" s="644"/>
      <c r="FF36" s="644"/>
      <c r="FG36" s="644"/>
      <c r="FH36" s="644"/>
      <c r="FI36" s="644"/>
      <c r="FJ36" s="644"/>
      <c r="FK36" s="644"/>
      <c r="FL36" s="644"/>
      <c r="FM36" s="644"/>
      <c r="FN36" s="644"/>
      <c r="FO36" s="644"/>
      <c r="FP36" s="644"/>
      <c r="FQ36" s="644"/>
      <c r="FR36" s="644"/>
      <c r="FS36" s="644"/>
      <c r="FT36" s="644"/>
      <c r="FU36" s="644"/>
      <c r="FV36" s="644"/>
      <c r="FW36" s="644"/>
      <c r="FX36" s="644"/>
      <c r="FY36" s="644"/>
      <c r="FZ36" s="644"/>
      <c r="GA36" s="644"/>
      <c r="GB36" s="644"/>
      <c r="GC36" s="644"/>
      <c r="GD36" s="644"/>
      <c r="GE36" s="644"/>
      <c r="GF36" s="644"/>
      <c r="GG36" s="644"/>
      <c r="GH36" s="644"/>
      <c r="GI36" s="644"/>
      <c r="GJ36" s="644"/>
      <c r="GK36" s="644"/>
      <c r="GL36" s="644"/>
      <c r="GM36" s="644"/>
      <c r="GN36" s="644"/>
      <c r="GO36" s="644"/>
      <c r="GP36" s="644"/>
      <c r="GQ36" s="644"/>
      <c r="GR36" s="644"/>
      <c r="GS36" s="644"/>
      <c r="GT36" s="644"/>
      <c r="GU36" s="644"/>
      <c r="GV36" s="644"/>
      <c r="GW36" s="644"/>
      <c r="GX36" s="644"/>
      <c r="GY36" s="644"/>
      <c r="GZ36" s="644"/>
      <c r="HA36" s="644"/>
      <c r="HB36" s="644"/>
      <c r="HC36" s="644"/>
      <c r="HD36" s="644"/>
      <c r="HE36" s="644"/>
      <c r="HF36" s="644"/>
      <c r="HG36" s="644"/>
      <c r="HH36" s="644"/>
      <c r="HI36" s="644"/>
      <c r="HJ36" s="644"/>
      <c r="HK36" s="644"/>
      <c r="HL36" s="644"/>
      <c r="HM36" s="644"/>
      <c r="HN36" s="644"/>
      <c r="HO36" s="644"/>
      <c r="HP36" s="644"/>
      <c r="HQ36" s="644"/>
      <c r="HR36" s="644"/>
      <c r="HS36" s="644"/>
      <c r="HT36" s="644"/>
      <c r="HU36" s="644"/>
      <c r="HV36" s="644"/>
      <c r="HW36" s="644"/>
      <c r="HX36" s="644"/>
      <c r="HY36" s="644"/>
      <c r="HZ36" s="644"/>
      <c r="IA36" s="644"/>
      <c r="IB36" s="644"/>
      <c r="IC36" s="644"/>
      <c r="ID36" s="644"/>
      <c r="IE36" s="644"/>
      <c r="IF36" s="644"/>
      <c r="IG36" s="644"/>
      <c r="IH36" s="644"/>
      <c r="II36" s="644"/>
      <c r="IJ36" s="644"/>
      <c r="IK36" s="644"/>
      <c r="IL36" s="644"/>
      <c r="IM36" s="644"/>
      <c r="IN36" s="644"/>
      <c r="IO36" s="644"/>
      <c r="IP36" s="644"/>
      <c r="IQ36" s="644"/>
      <c r="IR36" s="644"/>
      <c r="IS36" s="644"/>
      <c r="IT36" s="644"/>
      <c r="IU36" s="644"/>
      <c r="IV36" s="644"/>
    </row>
    <row r="37" spans="1:256" s="643" customFormat="1" ht="14">
      <c r="A37" s="644"/>
      <c r="B37" s="670"/>
      <c r="C37" s="644"/>
      <c r="D37" s="644"/>
      <c r="E37" s="644"/>
      <c r="F37" s="644"/>
      <c r="G37" s="644"/>
      <c r="H37" s="644"/>
      <c r="I37" s="663"/>
      <c r="J37" s="675"/>
      <c r="K37" s="644"/>
      <c r="L37" s="667"/>
      <c r="N37" s="644"/>
      <c r="O37" s="644"/>
      <c r="P37" s="670"/>
      <c r="Q37" s="644"/>
      <c r="R37" s="644"/>
      <c r="S37" s="644"/>
      <c r="T37" s="644"/>
      <c r="U37" s="644"/>
      <c r="V37" s="644"/>
      <c r="W37" s="663"/>
      <c r="X37" s="675"/>
      <c r="Y37" s="644"/>
      <c r="Z37" s="667"/>
      <c r="AB37" s="644"/>
      <c r="AC37" s="644"/>
      <c r="AD37" s="644"/>
      <c r="AE37" s="644"/>
      <c r="AF37" s="644"/>
      <c r="AG37" s="644"/>
      <c r="AH37" s="644"/>
      <c r="AI37" s="644"/>
      <c r="AJ37" s="644"/>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4"/>
      <c r="BG37" s="644"/>
      <c r="BH37" s="644"/>
      <c r="BI37" s="644"/>
      <c r="BJ37" s="644"/>
      <c r="BK37" s="644"/>
      <c r="BL37" s="644"/>
      <c r="BM37" s="644"/>
      <c r="BN37" s="644"/>
      <c r="BO37" s="644"/>
      <c r="BP37" s="644"/>
      <c r="BQ37" s="644"/>
      <c r="BR37" s="644"/>
      <c r="BS37" s="644"/>
      <c r="BT37" s="644"/>
      <c r="BU37" s="644"/>
      <c r="BV37" s="644"/>
      <c r="BW37" s="644"/>
      <c r="BX37" s="644"/>
      <c r="BY37" s="644"/>
      <c r="BZ37" s="644"/>
      <c r="CA37" s="644"/>
      <c r="CB37" s="644"/>
      <c r="CC37" s="644"/>
      <c r="CD37" s="644"/>
      <c r="CE37" s="644"/>
      <c r="CF37" s="644"/>
      <c r="CG37" s="644"/>
      <c r="CH37" s="644"/>
      <c r="CI37" s="644"/>
      <c r="CJ37" s="644"/>
      <c r="CK37" s="644"/>
      <c r="CL37" s="644"/>
      <c r="CM37" s="644"/>
      <c r="CN37" s="644"/>
      <c r="CO37" s="644"/>
      <c r="CP37" s="644"/>
      <c r="CQ37" s="644"/>
      <c r="CR37" s="644"/>
      <c r="CS37" s="644"/>
      <c r="CT37" s="644"/>
      <c r="CU37" s="644"/>
      <c r="CV37" s="644"/>
      <c r="CW37" s="644"/>
      <c r="CX37" s="644"/>
      <c r="CY37" s="644"/>
      <c r="CZ37" s="644"/>
      <c r="DA37" s="644"/>
      <c r="DB37" s="644"/>
      <c r="DC37" s="644"/>
      <c r="DD37" s="644"/>
      <c r="DE37" s="644"/>
      <c r="DF37" s="644"/>
      <c r="DG37" s="644"/>
      <c r="DH37" s="644"/>
      <c r="DI37" s="644"/>
      <c r="DJ37" s="644"/>
      <c r="DK37" s="644"/>
      <c r="DL37" s="644"/>
      <c r="DM37" s="644"/>
      <c r="DN37" s="644"/>
      <c r="DO37" s="644"/>
      <c r="DP37" s="644"/>
      <c r="DQ37" s="644"/>
      <c r="DR37" s="644"/>
      <c r="DS37" s="644"/>
      <c r="DT37" s="644"/>
      <c r="DU37" s="644"/>
      <c r="DV37" s="644"/>
      <c r="DW37" s="644"/>
      <c r="DX37" s="644"/>
      <c r="DY37" s="644"/>
      <c r="DZ37" s="644"/>
      <c r="EA37" s="644"/>
      <c r="EB37" s="644"/>
      <c r="EC37" s="644"/>
      <c r="ED37" s="644"/>
      <c r="EE37" s="644"/>
      <c r="EF37" s="644"/>
      <c r="EG37" s="644"/>
      <c r="EH37" s="644"/>
      <c r="EI37" s="644"/>
      <c r="EJ37" s="644"/>
      <c r="EK37" s="644"/>
      <c r="EL37" s="644"/>
      <c r="EM37" s="644"/>
      <c r="EN37" s="644"/>
      <c r="EO37" s="644"/>
      <c r="EP37" s="644"/>
      <c r="EQ37" s="644"/>
      <c r="ER37" s="644"/>
      <c r="ES37" s="644"/>
      <c r="ET37" s="644"/>
      <c r="EU37" s="644"/>
      <c r="EV37" s="644"/>
      <c r="EW37" s="644"/>
      <c r="EX37" s="644"/>
      <c r="EY37" s="644"/>
      <c r="EZ37" s="644"/>
      <c r="FA37" s="644"/>
      <c r="FB37" s="644"/>
      <c r="FC37" s="644"/>
      <c r="FD37" s="644"/>
      <c r="FE37" s="644"/>
      <c r="FF37" s="644"/>
      <c r="FG37" s="644"/>
      <c r="FH37" s="644"/>
      <c r="FI37" s="644"/>
      <c r="FJ37" s="644"/>
      <c r="FK37" s="644"/>
      <c r="FL37" s="644"/>
      <c r="FM37" s="644"/>
      <c r="FN37" s="644"/>
      <c r="FO37" s="644"/>
      <c r="FP37" s="644"/>
      <c r="FQ37" s="644"/>
      <c r="FR37" s="644"/>
      <c r="FS37" s="644"/>
      <c r="FT37" s="644"/>
      <c r="FU37" s="644"/>
      <c r="FV37" s="644"/>
      <c r="FW37" s="644"/>
      <c r="FX37" s="644"/>
      <c r="FY37" s="644"/>
      <c r="FZ37" s="644"/>
      <c r="GA37" s="644"/>
      <c r="GB37" s="644"/>
      <c r="GC37" s="644"/>
      <c r="GD37" s="644"/>
      <c r="GE37" s="644"/>
      <c r="GF37" s="644"/>
      <c r="GG37" s="644"/>
      <c r="GH37" s="644"/>
      <c r="GI37" s="644"/>
      <c r="GJ37" s="644"/>
      <c r="GK37" s="644"/>
      <c r="GL37" s="644"/>
      <c r="GM37" s="644"/>
      <c r="GN37" s="644"/>
      <c r="GO37" s="644"/>
      <c r="GP37" s="644"/>
      <c r="GQ37" s="644"/>
      <c r="GR37" s="644"/>
      <c r="GS37" s="644"/>
      <c r="GT37" s="644"/>
      <c r="GU37" s="644"/>
      <c r="GV37" s="644"/>
      <c r="GW37" s="644"/>
      <c r="GX37" s="644"/>
      <c r="GY37" s="644"/>
      <c r="GZ37" s="644"/>
      <c r="HA37" s="644"/>
      <c r="HB37" s="644"/>
      <c r="HC37" s="644"/>
      <c r="HD37" s="644"/>
      <c r="HE37" s="644"/>
      <c r="HF37" s="644"/>
      <c r="HG37" s="644"/>
      <c r="HH37" s="644"/>
      <c r="HI37" s="644"/>
      <c r="HJ37" s="644"/>
      <c r="HK37" s="644"/>
      <c r="HL37" s="644"/>
      <c r="HM37" s="644"/>
      <c r="HN37" s="644"/>
      <c r="HO37" s="644"/>
      <c r="HP37" s="644"/>
      <c r="HQ37" s="644"/>
      <c r="HR37" s="644"/>
      <c r="HS37" s="644"/>
      <c r="HT37" s="644"/>
      <c r="HU37" s="644"/>
      <c r="HV37" s="644"/>
      <c r="HW37" s="644"/>
      <c r="HX37" s="644"/>
      <c r="HY37" s="644"/>
      <c r="HZ37" s="644"/>
      <c r="IA37" s="644"/>
      <c r="IB37" s="644"/>
      <c r="IC37" s="644"/>
      <c r="ID37" s="644"/>
      <c r="IE37" s="644"/>
      <c r="IF37" s="644"/>
      <c r="IG37" s="644"/>
      <c r="IH37" s="644"/>
      <c r="II37" s="644"/>
      <c r="IJ37" s="644"/>
      <c r="IK37" s="644"/>
      <c r="IL37" s="644"/>
      <c r="IM37" s="644"/>
      <c r="IN37" s="644"/>
      <c r="IO37" s="644"/>
      <c r="IP37" s="644"/>
      <c r="IQ37" s="644"/>
      <c r="IR37" s="644"/>
      <c r="IS37" s="644"/>
      <c r="IT37" s="644"/>
      <c r="IU37" s="644"/>
      <c r="IV37" s="644"/>
    </row>
    <row r="38" spans="1:256" s="643" customFormat="1">
      <c r="A38" s="644"/>
      <c r="B38" s="647"/>
      <c r="C38" s="644"/>
      <c r="D38" s="644"/>
      <c r="E38" s="644"/>
      <c r="F38" s="644"/>
      <c r="G38" s="644"/>
      <c r="H38" s="644"/>
      <c r="I38" s="663"/>
      <c r="J38" s="644"/>
      <c r="K38" s="644"/>
      <c r="L38" s="655"/>
      <c r="N38" s="644"/>
      <c r="O38" s="644"/>
      <c r="P38" s="647"/>
      <c r="Q38" s="644"/>
      <c r="R38" s="644"/>
      <c r="S38" s="644"/>
      <c r="T38" s="644"/>
      <c r="U38" s="644"/>
      <c r="V38" s="644"/>
      <c r="W38" s="663"/>
      <c r="X38" s="644"/>
      <c r="Y38" s="644"/>
      <c r="Z38" s="655"/>
      <c r="AB38" s="644"/>
      <c r="AC38" s="644"/>
      <c r="AD38" s="644"/>
      <c r="AE38" s="644"/>
      <c r="AF38" s="644"/>
      <c r="AG38" s="644"/>
      <c r="AH38" s="644"/>
      <c r="AI38" s="644"/>
      <c r="AJ38" s="644"/>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4"/>
      <c r="BG38" s="644"/>
      <c r="BH38" s="644"/>
      <c r="BI38" s="644"/>
      <c r="BJ38" s="644"/>
      <c r="BK38" s="644"/>
      <c r="BL38" s="644"/>
      <c r="BM38" s="644"/>
      <c r="BN38" s="644"/>
      <c r="BO38" s="644"/>
      <c r="BP38" s="644"/>
      <c r="BQ38" s="644"/>
      <c r="BR38" s="644"/>
      <c r="BS38" s="644"/>
      <c r="BT38" s="644"/>
      <c r="BU38" s="644"/>
      <c r="BV38" s="644"/>
      <c r="BW38" s="644"/>
      <c r="BX38" s="644"/>
      <c r="BY38" s="644"/>
      <c r="BZ38" s="644"/>
      <c r="CA38" s="644"/>
      <c r="CB38" s="644"/>
      <c r="CC38" s="644"/>
      <c r="CD38" s="644"/>
      <c r="CE38" s="644"/>
      <c r="CF38" s="644"/>
      <c r="CG38" s="644"/>
      <c r="CH38" s="644"/>
      <c r="CI38" s="644"/>
      <c r="CJ38" s="644"/>
      <c r="CK38" s="644"/>
      <c r="CL38" s="644"/>
      <c r="CM38" s="644"/>
      <c r="CN38" s="644"/>
      <c r="CO38" s="644"/>
      <c r="CP38" s="644"/>
      <c r="CQ38" s="644"/>
      <c r="CR38" s="644"/>
      <c r="CS38" s="644"/>
      <c r="CT38" s="644"/>
      <c r="CU38" s="644"/>
      <c r="CV38" s="644"/>
      <c r="CW38" s="644"/>
      <c r="CX38" s="644"/>
      <c r="CY38" s="644"/>
      <c r="CZ38" s="644"/>
      <c r="DA38" s="644"/>
      <c r="DB38" s="644"/>
      <c r="DC38" s="644"/>
      <c r="DD38" s="644"/>
      <c r="DE38" s="644"/>
      <c r="DF38" s="644"/>
      <c r="DG38" s="644"/>
      <c r="DH38" s="644"/>
      <c r="DI38" s="644"/>
      <c r="DJ38" s="644"/>
      <c r="DK38" s="644"/>
      <c r="DL38" s="644"/>
      <c r="DM38" s="644"/>
      <c r="DN38" s="644"/>
      <c r="DO38" s="644"/>
      <c r="DP38" s="644"/>
      <c r="DQ38" s="644"/>
      <c r="DR38" s="644"/>
      <c r="DS38" s="644"/>
      <c r="DT38" s="644"/>
      <c r="DU38" s="644"/>
      <c r="DV38" s="644"/>
      <c r="DW38" s="644"/>
      <c r="DX38" s="644"/>
      <c r="DY38" s="644"/>
      <c r="DZ38" s="644"/>
      <c r="EA38" s="644"/>
      <c r="EB38" s="644"/>
      <c r="EC38" s="644"/>
      <c r="ED38" s="644"/>
      <c r="EE38" s="644"/>
      <c r="EF38" s="644"/>
      <c r="EG38" s="644"/>
      <c r="EH38" s="644"/>
      <c r="EI38" s="644"/>
      <c r="EJ38" s="644"/>
      <c r="EK38" s="644"/>
      <c r="EL38" s="644"/>
      <c r="EM38" s="644"/>
      <c r="EN38" s="644"/>
      <c r="EO38" s="644"/>
      <c r="EP38" s="644"/>
      <c r="EQ38" s="644"/>
      <c r="ER38" s="644"/>
      <c r="ES38" s="644"/>
      <c r="ET38" s="644"/>
      <c r="EU38" s="644"/>
      <c r="EV38" s="644"/>
      <c r="EW38" s="644"/>
      <c r="EX38" s="644"/>
      <c r="EY38" s="644"/>
      <c r="EZ38" s="644"/>
      <c r="FA38" s="644"/>
      <c r="FB38" s="644"/>
      <c r="FC38" s="644"/>
      <c r="FD38" s="644"/>
      <c r="FE38" s="644"/>
      <c r="FF38" s="644"/>
      <c r="FG38" s="644"/>
      <c r="FH38" s="644"/>
      <c r="FI38" s="644"/>
      <c r="FJ38" s="644"/>
      <c r="FK38" s="644"/>
      <c r="FL38" s="644"/>
      <c r="FM38" s="644"/>
      <c r="FN38" s="644"/>
      <c r="FO38" s="644"/>
      <c r="FP38" s="644"/>
      <c r="FQ38" s="644"/>
      <c r="FR38" s="644"/>
      <c r="FS38" s="644"/>
      <c r="FT38" s="644"/>
      <c r="FU38" s="644"/>
      <c r="FV38" s="644"/>
      <c r="FW38" s="644"/>
      <c r="FX38" s="644"/>
      <c r="FY38" s="644"/>
      <c r="FZ38" s="644"/>
      <c r="GA38" s="644"/>
      <c r="GB38" s="644"/>
      <c r="GC38" s="644"/>
      <c r="GD38" s="644"/>
      <c r="GE38" s="644"/>
      <c r="GF38" s="644"/>
      <c r="GG38" s="644"/>
      <c r="GH38" s="644"/>
      <c r="GI38" s="644"/>
      <c r="GJ38" s="644"/>
      <c r="GK38" s="644"/>
      <c r="GL38" s="644"/>
      <c r="GM38" s="644"/>
      <c r="GN38" s="644"/>
      <c r="GO38" s="644"/>
      <c r="GP38" s="644"/>
      <c r="GQ38" s="644"/>
      <c r="GR38" s="644"/>
      <c r="GS38" s="644"/>
      <c r="GT38" s="644"/>
      <c r="GU38" s="644"/>
      <c r="GV38" s="644"/>
      <c r="GW38" s="644"/>
      <c r="GX38" s="644"/>
      <c r="GY38" s="644"/>
      <c r="GZ38" s="644"/>
      <c r="HA38" s="644"/>
      <c r="HB38" s="644"/>
      <c r="HC38" s="644"/>
      <c r="HD38" s="644"/>
      <c r="HE38" s="644"/>
      <c r="HF38" s="644"/>
      <c r="HG38" s="644"/>
      <c r="HH38" s="644"/>
      <c r="HI38" s="644"/>
      <c r="HJ38" s="644"/>
      <c r="HK38" s="644"/>
      <c r="HL38" s="644"/>
      <c r="HM38" s="644"/>
      <c r="HN38" s="644"/>
      <c r="HO38" s="644"/>
      <c r="HP38" s="644"/>
      <c r="HQ38" s="644"/>
      <c r="HR38" s="644"/>
      <c r="HS38" s="644"/>
      <c r="HT38" s="644"/>
      <c r="HU38" s="644"/>
      <c r="HV38" s="644"/>
      <c r="HW38" s="644"/>
      <c r="HX38" s="644"/>
      <c r="HY38" s="644"/>
      <c r="HZ38" s="644"/>
      <c r="IA38" s="644"/>
      <c r="IB38" s="644"/>
      <c r="IC38" s="644"/>
      <c r="ID38" s="644"/>
      <c r="IE38" s="644"/>
      <c r="IF38" s="644"/>
      <c r="IG38" s="644"/>
      <c r="IH38" s="644"/>
      <c r="II38" s="644"/>
      <c r="IJ38" s="644"/>
      <c r="IK38" s="644"/>
      <c r="IL38" s="644"/>
      <c r="IM38" s="644"/>
      <c r="IN38" s="644"/>
      <c r="IO38" s="644"/>
      <c r="IP38" s="644"/>
      <c r="IQ38" s="644"/>
      <c r="IR38" s="644"/>
      <c r="IS38" s="644"/>
      <c r="IT38" s="644"/>
      <c r="IU38" s="644"/>
      <c r="IV38" s="644"/>
    </row>
    <row r="39" spans="1:256" s="643" customFormat="1" ht="14">
      <c r="A39" s="644"/>
      <c r="B39" s="670" t="s">
        <v>661</v>
      </c>
      <c r="C39" s="644"/>
      <c r="D39" s="644"/>
      <c r="E39" s="644"/>
      <c r="F39" s="644"/>
      <c r="G39" s="644"/>
      <c r="H39" s="644"/>
      <c r="I39" s="663"/>
      <c r="J39" s="676">
        <v>0.01</v>
      </c>
      <c r="K39" s="644" t="s">
        <v>660</v>
      </c>
      <c r="L39" s="674">
        <f>J39*(L27+L8+L6)</f>
        <v>1.6108666666666667E-2</v>
      </c>
      <c r="N39" s="644"/>
      <c r="O39" s="644"/>
      <c r="P39" s="670" t="s">
        <v>661</v>
      </c>
      <c r="Q39" s="644"/>
      <c r="R39" s="644"/>
      <c r="S39" s="644"/>
      <c r="T39" s="644"/>
      <c r="U39" s="644"/>
      <c r="V39" s="644"/>
      <c r="W39" s="663"/>
      <c r="X39" s="676">
        <v>0.01</v>
      </c>
      <c r="Y39" s="644" t="s">
        <v>660</v>
      </c>
      <c r="Z39" s="674">
        <f>X39*(Z27+Z8+Z6)</f>
        <v>1.5608666666666667E-2</v>
      </c>
      <c r="AB39" s="644"/>
      <c r="AC39" s="644"/>
      <c r="AD39" s="644"/>
      <c r="AE39" s="644"/>
      <c r="AF39" s="644"/>
      <c r="AG39" s="644"/>
      <c r="AH39" s="644"/>
      <c r="AI39" s="644"/>
      <c r="AJ39" s="644"/>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4"/>
      <c r="BG39" s="644"/>
      <c r="BH39" s="644"/>
      <c r="BI39" s="644"/>
      <c r="BJ39" s="644"/>
      <c r="BK39" s="644"/>
      <c r="BL39" s="644"/>
      <c r="BM39" s="644"/>
      <c r="BN39" s="644"/>
      <c r="BO39" s="644"/>
      <c r="BP39" s="644"/>
      <c r="BQ39" s="644"/>
      <c r="BR39" s="644"/>
      <c r="BS39" s="644"/>
      <c r="BT39" s="644"/>
      <c r="BU39" s="644"/>
      <c r="BV39" s="644"/>
      <c r="BW39" s="644"/>
      <c r="BX39" s="644"/>
      <c r="BY39" s="644"/>
      <c r="BZ39" s="644"/>
      <c r="CA39" s="644"/>
      <c r="CB39" s="644"/>
      <c r="CC39" s="644"/>
      <c r="CD39" s="644"/>
      <c r="CE39" s="644"/>
      <c r="CF39" s="644"/>
      <c r="CG39" s="644"/>
      <c r="CH39" s="644"/>
      <c r="CI39" s="644"/>
      <c r="CJ39" s="644"/>
      <c r="CK39" s="644"/>
      <c r="CL39" s="644"/>
      <c r="CM39" s="644"/>
      <c r="CN39" s="644"/>
      <c r="CO39" s="644"/>
      <c r="CP39" s="644"/>
      <c r="CQ39" s="644"/>
      <c r="CR39" s="644"/>
      <c r="CS39" s="644"/>
      <c r="CT39" s="644"/>
      <c r="CU39" s="644"/>
      <c r="CV39" s="644"/>
      <c r="CW39" s="644"/>
      <c r="CX39" s="644"/>
      <c r="CY39" s="644"/>
      <c r="CZ39" s="644"/>
      <c r="DA39" s="644"/>
      <c r="DB39" s="644"/>
      <c r="DC39" s="644"/>
      <c r="DD39" s="644"/>
      <c r="DE39" s="644"/>
      <c r="DF39" s="644"/>
      <c r="DG39" s="644"/>
      <c r="DH39" s="644"/>
      <c r="DI39" s="644"/>
      <c r="DJ39" s="644"/>
      <c r="DK39" s="644"/>
      <c r="DL39" s="644"/>
      <c r="DM39" s="644"/>
      <c r="DN39" s="644"/>
      <c r="DO39" s="644"/>
      <c r="DP39" s="644"/>
      <c r="DQ39" s="644"/>
      <c r="DR39" s="644"/>
      <c r="DS39" s="644"/>
      <c r="DT39" s="644"/>
      <c r="DU39" s="644"/>
      <c r="DV39" s="644"/>
      <c r="DW39" s="644"/>
      <c r="DX39" s="644"/>
      <c r="DY39" s="644"/>
      <c r="DZ39" s="644"/>
      <c r="EA39" s="644"/>
      <c r="EB39" s="644"/>
      <c r="EC39" s="644"/>
      <c r="ED39" s="644"/>
      <c r="EE39" s="644"/>
      <c r="EF39" s="644"/>
      <c r="EG39" s="644"/>
      <c r="EH39" s="644"/>
      <c r="EI39" s="644"/>
      <c r="EJ39" s="644"/>
      <c r="EK39" s="644"/>
      <c r="EL39" s="644"/>
      <c r="EM39" s="644"/>
      <c r="EN39" s="644"/>
      <c r="EO39" s="644"/>
      <c r="EP39" s="644"/>
      <c r="EQ39" s="644"/>
      <c r="ER39" s="644"/>
      <c r="ES39" s="644"/>
      <c r="ET39" s="644"/>
      <c r="EU39" s="644"/>
      <c r="EV39" s="644"/>
      <c r="EW39" s="644"/>
      <c r="EX39" s="644"/>
      <c r="EY39" s="644"/>
      <c r="EZ39" s="644"/>
      <c r="FA39" s="644"/>
      <c r="FB39" s="644"/>
      <c r="FC39" s="644"/>
      <c r="FD39" s="644"/>
      <c r="FE39" s="644"/>
      <c r="FF39" s="644"/>
      <c r="FG39" s="644"/>
      <c r="FH39" s="644"/>
      <c r="FI39" s="644"/>
      <c r="FJ39" s="644"/>
      <c r="FK39" s="644"/>
      <c r="FL39" s="644"/>
      <c r="FM39" s="644"/>
      <c r="FN39" s="644"/>
      <c r="FO39" s="644"/>
      <c r="FP39" s="644"/>
      <c r="FQ39" s="644"/>
      <c r="FR39" s="644"/>
      <c r="FS39" s="644"/>
      <c r="FT39" s="644"/>
      <c r="FU39" s="644"/>
      <c r="FV39" s="644"/>
      <c r="FW39" s="644"/>
      <c r="FX39" s="644"/>
      <c r="FY39" s="644"/>
      <c r="FZ39" s="644"/>
      <c r="GA39" s="644"/>
      <c r="GB39" s="644"/>
      <c r="GC39" s="644"/>
      <c r="GD39" s="644"/>
      <c r="GE39" s="644"/>
      <c r="GF39" s="644"/>
      <c r="GG39" s="644"/>
      <c r="GH39" s="644"/>
      <c r="GI39" s="644"/>
      <c r="GJ39" s="644"/>
      <c r="GK39" s="644"/>
      <c r="GL39" s="644"/>
      <c r="GM39" s="644"/>
      <c r="GN39" s="644"/>
      <c r="GO39" s="644"/>
      <c r="GP39" s="644"/>
      <c r="GQ39" s="644"/>
      <c r="GR39" s="644"/>
      <c r="GS39" s="644"/>
      <c r="GT39" s="644"/>
      <c r="GU39" s="644"/>
      <c r="GV39" s="644"/>
      <c r="GW39" s="644"/>
      <c r="GX39" s="644"/>
      <c r="GY39" s="644"/>
      <c r="GZ39" s="644"/>
      <c r="HA39" s="644"/>
      <c r="HB39" s="644"/>
      <c r="HC39" s="644"/>
      <c r="HD39" s="644"/>
      <c r="HE39" s="644"/>
      <c r="HF39" s="644"/>
      <c r="HG39" s="644"/>
      <c r="HH39" s="644"/>
      <c r="HI39" s="644"/>
      <c r="HJ39" s="644"/>
      <c r="HK39" s="644"/>
      <c r="HL39" s="644"/>
      <c r="HM39" s="644"/>
      <c r="HN39" s="644"/>
      <c r="HO39" s="644"/>
      <c r="HP39" s="644"/>
      <c r="HQ39" s="644"/>
      <c r="HR39" s="644"/>
      <c r="HS39" s="644"/>
      <c r="HT39" s="644"/>
      <c r="HU39" s="644"/>
      <c r="HV39" s="644"/>
      <c r="HW39" s="644"/>
      <c r="HX39" s="644"/>
      <c r="HY39" s="644"/>
      <c r="HZ39" s="644"/>
      <c r="IA39" s="644"/>
      <c r="IB39" s="644"/>
      <c r="IC39" s="644"/>
      <c r="ID39" s="644"/>
      <c r="IE39" s="644"/>
      <c r="IF39" s="644"/>
      <c r="IG39" s="644"/>
      <c r="IH39" s="644"/>
      <c r="II39" s="644"/>
      <c r="IJ39" s="644"/>
      <c r="IK39" s="644"/>
      <c r="IL39" s="644"/>
      <c r="IM39" s="644"/>
      <c r="IN39" s="644"/>
      <c r="IO39" s="644"/>
      <c r="IP39" s="644"/>
      <c r="IQ39" s="644"/>
      <c r="IR39" s="644"/>
      <c r="IS39" s="644"/>
      <c r="IT39" s="644"/>
      <c r="IU39" s="644"/>
      <c r="IV39" s="644"/>
    </row>
    <row r="40" spans="1:256" s="643" customFormat="1" ht="13">
      <c r="A40" s="644"/>
      <c r="B40" s="677"/>
      <c r="C40" s="644"/>
      <c r="D40" s="644"/>
      <c r="E40" s="644"/>
      <c r="F40" s="644"/>
      <c r="G40" s="644"/>
      <c r="H40" s="644"/>
      <c r="I40" s="663"/>
      <c r="J40" s="644"/>
      <c r="K40" s="644"/>
      <c r="L40" s="655"/>
      <c r="N40" s="644"/>
      <c r="O40" s="644"/>
      <c r="P40" s="647"/>
      <c r="Q40" s="644"/>
      <c r="R40" s="644"/>
      <c r="S40" s="644"/>
      <c r="T40" s="644"/>
      <c r="U40" s="644"/>
      <c r="V40" s="644"/>
      <c r="W40" s="663"/>
      <c r="X40" s="644"/>
      <c r="Y40" s="644"/>
      <c r="Z40" s="655"/>
      <c r="AB40" s="644"/>
      <c r="AC40" s="644"/>
      <c r="AD40" s="644"/>
      <c r="AE40" s="644"/>
      <c r="AF40" s="644"/>
      <c r="AG40" s="644"/>
      <c r="AH40" s="644"/>
      <c r="AI40" s="644"/>
      <c r="AJ40" s="644"/>
      <c r="AK40" s="644"/>
      <c r="AL40" s="644"/>
      <c r="AM40" s="644"/>
      <c r="AN40" s="644"/>
      <c r="AO40" s="644"/>
      <c r="AP40" s="644"/>
      <c r="AQ40" s="644"/>
      <c r="AR40" s="644"/>
      <c r="AS40" s="644"/>
      <c r="AT40" s="644"/>
      <c r="AU40" s="644"/>
      <c r="AV40" s="644"/>
      <c r="AW40" s="644"/>
      <c r="AX40" s="644"/>
      <c r="AY40" s="644"/>
      <c r="AZ40" s="644"/>
      <c r="BA40" s="644"/>
      <c r="BB40" s="644"/>
      <c r="BC40" s="644"/>
      <c r="BD40" s="644"/>
      <c r="BE40" s="644"/>
      <c r="BF40" s="644"/>
      <c r="BG40" s="644"/>
      <c r="BH40" s="644"/>
      <c r="BI40" s="644"/>
      <c r="BJ40" s="644"/>
      <c r="BK40" s="644"/>
      <c r="BL40" s="644"/>
      <c r="BM40" s="644"/>
      <c r="BN40" s="644"/>
      <c r="BO40" s="644"/>
      <c r="BP40" s="644"/>
      <c r="BQ40" s="644"/>
      <c r="BR40" s="644"/>
      <c r="BS40" s="644"/>
      <c r="BT40" s="644"/>
      <c r="BU40" s="644"/>
      <c r="BV40" s="644"/>
      <c r="BW40" s="644"/>
      <c r="BX40" s="644"/>
      <c r="BY40" s="644"/>
      <c r="BZ40" s="644"/>
      <c r="CA40" s="644"/>
      <c r="CB40" s="644"/>
      <c r="CC40" s="644"/>
      <c r="CD40" s="644"/>
      <c r="CE40" s="644"/>
      <c r="CF40" s="644"/>
      <c r="CG40" s="644"/>
      <c r="CH40" s="644"/>
      <c r="CI40" s="644"/>
      <c r="CJ40" s="644"/>
      <c r="CK40" s="644"/>
      <c r="CL40" s="644"/>
      <c r="CM40" s="644"/>
      <c r="CN40" s="644"/>
      <c r="CO40" s="644"/>
      <c r="CP40" s="644"/>
      <c r="CQ40" s="644"/>
      <c r="CR40" s="644"/>
      <c r="CS40" s="644"/>
      <c r="CT40" s="644"/>
      <c r="CU40" s="644"/>
      <c r="CV40" s="644"/>
      <c r="CW40" s="644"/>
      <c r="CX40" s="644"/>
      <c r="CY40" s="644"/>
      <c r="CZ40" s="644"/>
      <c r="DA40" s="644"/>
      <c r="DB40" s="644"/>
      <c r="DC40" s="644"/>
      <c r="DD40" s="644"/>
      <c r="DE40" s="644"/>
      <c r="DF40" s="644"/>
      <c r="DG40" s="644"/>
      <c r="DH40" s="644"/>
      <c r="DI40" s="644"/>
      <c r="DJ40" s="644"/>
      <c r="DK40" s="644"/>
      <c r="DL40" s="644"/>
      <c r="DM40" s="644"/>
      <c r="DN40" s="644"/>
      <c r="DO40" s="644"/>
      <c r="DP40" s="644"/>
      <c r="DQ40" s="644"/>
      <c r="DR40" s="644"/>
      <c r="DS40" s="644"/>
      <c r="DT40" s="644"/>
      <c r="DU40" s="644"/>
      <c r="DV40" s="644"/>
      <c r="DW40" s="644"/>
      <c r="DX40" s="644"/>
      <c r="DY40" s="644"/>
      <c r="DZ40" s="644"/>
      <c r="EA40" s="644"/>
      <c r="EB40" s="644"/>
      <c r="EC40" s="644"/>
      <c r="ED40" s="644"/>
      <c r="EE40" s="644"/>
      <c r="EF40" s="644"/>
      <c r="EG40" s="644"/>
      <c r="EH40" s="644"/>
      <c r="EI40" s="644"/>
      <c r="EJ40" s="644"/>
      <c r="EK40" s="644"/>
      <c r="EL40" s="644"/>
      <c r="EM40" s="644"/>
      <c r="EN40" s="644"/>
      <c r="EO40" s="644"/>
      <c r="EP40" s="644"/>
      <c r="EQ40" s="644"/>
      <c r="ER40" s="644"/>
      <c r="ES40" s="644"/>
      <c r="ET40" s="644"/>
      <c r="EU40" s="644"/>
      <c r="EV40" s="644"/>
      <c r="EW40" s="644"/>
      <c r="EX40" s="644"/>
      <c r="EY40" s="644"/>
      <c r="EZ40" s="644"/>
      <c r="FA40" s="644"/>
      <c r="FB40" s="644"/>
      <c r="FC40" s="644"/>
      <c r="FD40" s="644"/>
      <c r="FE40" s="644"/>
      <c r="FF40" s="644"/>
      <c r="FG40" s="644"/>
      <c r="FH40" s="644"/>
      <c r="FI40" s="644"/>
      <c r="FJ40" s="644"/>
      <c r="FK40" s="644"/>
      <c r="FL40" s="644"/>
      <c r="FM40" s="644"/>
      <c r="FN40" s="644"/>
      <c r="FO40" s="644"/>
      <c r="FP40" s="644"/>
      <c r="FQ40" s="644"/>
      <c r="FR40" s="644"/>
      <c r="FS40" s="644"/>
      <c r="FT40" s="644"/>
      <c r="FU40" s="644"/>
      <c r="FV40" s="644"/>
      <c r="FW40" s="644"/>
      <c r="FX40" s="644"/>
      <c r="FY40" s="644"/>
      <c r="FZ40" s="644"/>
      <c r="GA40" s="644"/>
      <c r="GB40" s="644"/>
      <c r="GC40" s="644"/>
      <c r="GD40" s="644"/>
      <c r="GE40" s="644"/>
      <c r="GF40" s="644"/>
      <c r="GG40" s="644"/>
      <c r="GH40" s="644"/>
      <c r="GI40" s="644"/>
      <c r="GJ40" s="644"/>
      <c r="GK40" s="644"/>
      <c r="GL40" s="644"/>
      <c r="GM40" s="644"/>
      <c r="GN40" s="644"/>
      <c r="GO40" s="644"/>
      <c r="GP40" s="644"/>
      <c r="GQ40" s="644"/>
      <c r="GR40" s="644"/>
      <c r="GS40" s="644"/>
      <c r="GT40" s="644"/>
      <c r="GU40" s="644"/>
      <c r="GV40" s="644"/>
      <c r="GW40" s="644"/>
      <c r="GX40" s="644"/>
      <c r="GY40" s="644"/>
      <c r="GZ40" s="644"/>
      <c r="HA40" s="644"/>
      <c r="HB40" s="644"/>
      <c r="HC40" s="644"/>
      <c r="HD40" s="644"/>
      <c r="HE40" s="644"/>
      <c r="HF40" s="644"/>
      <c r="HG40" s="644"/>
      <c r="HH40" s="644"/>
      <c r="HI40" s="644"/>
      <c r="HJ40" s="644"/>
      <c r="HK40" s="644"/>
      <c r="HL40" s="644"/>
      <c r="HM40" s="644"/>
      <c r="HN40" s="644"/>
      <c r="HO40" s="644"/>
      <c r="HP40" s="644"/>
      <c r="HQ40" s="644"/>
      <c r="HR40" s="644"/>
      <c r="HS40" s="644"/>
      <c r="HT40" s="644"/>
      <c r="HU40" s="644"/>
      <c r="HV40" s="644"/>
      <c r="HW40" s="644"/>
      <c r="HX40" s="644"/>
      <c r="HY40" s="644"/>
      <c r="HZ40" s="644"/>
      <c r="IA40" s="644"/>
      <c r="IB40" s="644"/>
      <c r="IC40" s="644"/>
      <c r="ID40" s="644"/>
      <c r="IE40" s="644"/>
      <c r="IF40" s="644"/>
      <c r="IG40" s="644"/>
      <c r="IH40" s="644"/>
      <c r="II40" s="644"/>
      <c r="IJ40" s="644"/>
      <c r="IK40" s="644"/>
      <c r="IL40" s="644"/>
      <c r="IM40" s="644"/>
      <c r="IN40" s="644"/>
      <c r="IO40" s="644"/>
      <c r="IP40" s="644"/>
      <c r="IQ40" s="644"/>
      <c r="IR40" s="644"/>
      <c r="IS40" s="644"/>
      <c r="IT40" s="644"/>
      <c r="IU40" s="644"/>
      <c r="IV40" s="644"/>
    </row>
    <row r="41" spans="1:256" s="643" customFormat="1" ht="15.5">
      <c r="A41" s="644"/>
      <c r="B41" s="670" t="s">
        <v>662</v>
      </c>
      <c r="C41" s="644"/>
      <c r="D41" s="644"/>
      <c r="E41" s="644"/>
      <c r="F41" s="644"/>
      <c r="G41" s="644"/>
      <c r="H41" s="644"/>
      <c r="I41" s="644"/>
      <c r="J41" s="645"/>
      <c r="K41" s="644"/>
      <c r="L41" s="678">
        <f>L39+L35+L27+L8+L6</f>
        <v>1.8686053333333335</v>
      </c>
      <c r="N41" s="644"/>
      <c r="O41" s="644"/>
      <c r="P41" s="670" t="s">
        <v>663</v>
      </c>
      <c r="Q41" s="644"/>
      <c r="R41" s="644"/>
      <c r="S41" s="644"/>
      <c r="T41" s="644"/>
      <c r="U41" s="644"/>
      <c r="V41" s="644"/>
      <c r="W41" s="644"/>
      <c r="X41" s="645"/>
      <c r="Y41" s="644"/>
      <c r="Z41" s="678">
        <f>Z39+Z35+Z27+Z8+Z6</f>
        <v>1.8106053333333332</v>
      </c>
      <c r="AB41" s="644"/>
      <c r="AC41" s="644"/>
      <c r="AD41" s="644"/>
      <c r="AE41" s="644"/>
      <c r="AF41" s="644"/>
      <c r="AG41" s="644"/>
      <c r="AH41" s="644"/>
      <c r="AI41" s="644"/>
      <c r="AJ41" s="644"/>
      <c r="AK41" s="644"/>
      <c r="AL41" s="644"/>
      <c r="AM41" s="644"/>
      <c r="AN41" s="644"/>
      <c r="AO41" s="644"/>
      <c r="AP41" s="644"/>
      <c r="AQ41" s="644"/>
      <c r="AR41" s="644"/>
      <c r="AS41" s="644"/>
      <c r="AT41" s="644"/>
      <c r="AU41" s="644"/>
      <c r="AV41" s="644"/>
      <c r="AW41" s="644"/>
      <c r="AX41" s="644"/>
      <c r="AY41" s="644"/>
      <c r="AZ41" s="644"/>
      <c r="BA41" s="644"/>
      <c r="BB41" s="644"/>
      <c r="BC41" s="644"/>
      <c r="BD41" s="644"/>
      <c r="BE41" s="644"/>
      <c r="BF41" s="644"/>
      <c r="BG41" s="644"/>
      <c r="BH41" s="644"/>
      <c r="BI41" s="644"/>
      <c r="BJ41" s="644"/>
      <c r="BK41" s="644"/>
      <c r="BL41" s="644"/>
      <c r="BM41" s="644"/>
      <c r="BN41" s="644"/>
      <c r="BO41" s="644"/>
      <c r="BP41" s="644"/>
      <c r="BQ41" s="644"/>
      <c r="BR41" s="644"/>
      <c r="BS41" s="644"/>
      <c r="BT41" s="644"/>
      <c r="BU41" s="644"/>
      <c r="BV41" s="644"/>
      <c r="BW41" s="644"/>
      <c r="BX41" s="644"/>
      <c r="BY41" s="644"/>
      <c r="BZ41" s="644"/>
      <c r="CA41" s="644"/>
      <c r="CB41" s="644"/>
      <c r="CC41" s="644"/>
      <c r="CD41" s="644"/>
      <c r="CE41" s="644"/>
      <c r="CF41" s="644"/>
      <c r="CG41" s="644"/>
      <c r="CH41" s="644"/>
      <c r="CI41" s="644"/>
      <c r="CJ41" s="644"/>
      <c r="CK41" s="644"/>
      <c r="CL41" s="644"/>
      <c r="CM41" s="644"/>
      <c r="CN41" s="644"/>
      <c r="CO41" s="644"/>
      <c r="CP41" s="644"/>
      <c r="CQ41" s="644"/>
      <c r="CR41" s="644"/>
      <c r="CS41" s="644"/>
      <c r="CT41" s="644"/>
      <c r="CU41" s="644"/>
      <c r="CV41" s="644"/>
      <c r="CW41" s="644"/>
      <c r="CX41" s="644"/>
      <c r="CY41" s="644"/>
      <c r="CZ41" s="644"/>
      <c r="DA41" s="644"/>
      <c r="DB41" s="644"/>
      <c r="DC41" s="644"/>
      <c r="DD41" s="644"/>
      <c r="DE41" s="644"/>
      <c r="DF41" s="644"/>
      <c r="DG41" s="644"/>
      <c r="DH41" s="644"/>
      <c r="DI41" s="644"/>
      <c r="DJ41" s="644"/>
      <c r="DK41" s="644"/>
      <c r="DL41" s="644"/>
      <c r="DM41" s="644"/>
      <c r="DN41" s="644"/>
      <c r="DO41" s="644"/>
      <c r="DP41" s="644"/>
      <c r="DQ41" s="644"/>
      <c r="DR41" s="644"/>
      <c r="DS41" s="644"/>
      <c r="DT41" s="644"/>
      <c r="DU41" s="644"/>
      <c r="DV41" s="644"/>
      <c r="DW41" s="644"/>
      <c r="DX41" s="644"/>
      <c r="DY41" s="644"/>
      <c r="DZ41" s="644"/>
      <c r="EA41" s="644"/>
      <c r="EB41" s="644"/>
      <c r="EC41" s="644"/>
      <c r="ED41" s="644"/>
      <c r="EE41" s="644"/>
      <c r="EF41" s="644"/>
      <c r="EG41" s="644"/>
      <c r="EH41" s="644"/>
      <c r="EI41" s="644"/>
      <c r="EJ41" s="644"/>
      <c r="EK41" s="644"/>
      <c r="EL41" s="644"/>
      <c r="EM41" s="644"/>
      <c r="EN41" s="644"/>
      <c r="EO41" s="644"/>
      <c r="EP41" s="644"/>
      <c r="EQ41" s="644"/>
      <c r="ER41" s="644"/>
      <c r="ES41" s="644"/>
      <c r="ET41" s="644"/>
      <c r="EU41" s="644"/>
      <c r="EV41" s="644"/>
      <c r="EW41" s="644"/>
      <c r="EX41" s="644"/>
      <c r="EY41" s="644"/>
      <c r="EZ41" s="644"/>
      <c r="FA41" s="644"/>
      <c r="FB41" s="644"/>
      <c r="FC41" s="644"/>
      <c r="FD41" s="644"/>
      <c r="FE41" s="644"/>
      <c r="FF41" s="644"/>
      <c r="FG41" s="644"/>
      <c r="FH41" s="644"/>
      <c r="FI41" s="644"/>
      <c r="FJ41" s="644"/>
      <c r="FK41" s="644"/>
      <c r="FL41" s="644"/>
      <c r="FM41" s="644"/>
      <c r="FN41" s="644"/>
      <c r="FO41" s="644"/>
      <c r="FP41" s="644"/>
      <c r="FQ41" s="644"/>
      <c r="FR41" s="644"/>
      <c r="FS41" s="644"/>
      <c r="FT41" s="644"/>
      <c r="FU41" s="644"/>
      <c r="FV41" s="644"/>
      <c r="FW41" s="644"/>
      <c r="FX41" s="644"/>
      <c r="FY41" s="644"/>
      <c r="FZ41" s="644"/>
      <c r="GA41" s="644"/>
      <c r="GB41" s="644"/>
      <c r="GC41" s="644"/>
      <c r="GD41" s="644"/>
      <c r="GE41" s="644"/>
      <c r="GF41" s="644"/>
      <c r="GG41" s="644"/>
      <c r="GH41" s="644"/>
      <c r="GI41" s="644"/>
      <c r="GJ41" s="644"/>
      <c r="GK41" s="644"/>
      <c r="GL41" s="644"/>
      <c r="GM41" s="644"/>
      <c r="GN41" s="644"/>
      <c r="GO41" s="644"/>
      <c r="GP41" s="644"/>
      <c r="GQ41" s="644"/>
      <c r="GR41" s="644"/>
      <c r="GS41" s="644"/>
      <c r="GT41" s="644"/>
      <c r="GU41" s="644"/>
      <c r="GV41" s="644"/>
      <c r="GW41" s="644"/>
      <c r="GX41" s="644"/>
      <c r="GY41" s="644"/>
      <c r="GZ41" s="644"/>
      <c r="HA41" s="644"/>
      <c r="HB41" s="644"/>
      <c r="HC41" s="644"/>
      <c r="HD41" s="644"/>
      <c r="HE41" s="644"/>
      <c r="HF41" s="644"/>
      <c r="HG41" s="644"/>
      <c r="HH41" s="644"/>
      <c r="HI41" s="644"/>
      <c r="HJ41" s="644"/>
      <c r="HK41" s="644"/>
      <c r="HL41" s="644"/>
      <c r="HM41" s="644"/>
      <c r="HN41" s="644"/>
      <c r="HO41" s="644"/>
      <c r="HP41" s="644"/>
      <c r="HQ41" s="644"/>
      <c r="HR41" s="644"/>
      <c r="HS41" s="644"/>
      <c r="HT41" s="644"/>
      <c r="HU41" s="644"/>
      <c r="HV41" s="644"/>
      <c r="HW41" s="644"/>
      <c r="HX41" s="644"/>
      <c r="HY41" s="644"/>
      <c r="HZ41" s="644"/>
      <c r="IA41" s="644"/>
      <c r="IB41" s="644"/>
      <c r="IC41" s="644"/>
      <c r="ID41" s="644"/>
      <c r="IE41" s="644"/>
      <c r="IF41" s="644"/>
      <c r="IG41" s="644"/>
      <c r="IH41" s="644"/>
      <c r="II41" s="644"/>
      <c r="IJ41" s="644"/>
      <c r="IK41" s="644"/>
      <c r="IL41" s="644"/>
      <c r="IM41" s="644"/>
      <c r="IN41" s="644"/>
      <c r="IO41" s="644"/>
      <c r="IP41" s="644"/>
      <c r="IQ41" s="644"/>
      <c r="IR41" s="644"/>
      <c r="IS41" s="644"/>
      <c r="IT41" s="644"/>
      <c r="IU41" s="644"/>
      <c r="IV41" s="644"/>
    </row>
    <row r="42" spans="1:256" s="643" customFormat="1">
      <c r="A42" s="644"/>
      <c r="B42" s="647"/>
      <c r="C42" s="644"/>
      <c r="D42" s="644"/>
      <c r="E42" s="644"/>
      <c r="F42" s="644"/>
      <c r="G42" s="644"/>
      <c r="H42" s="644"/>
      <c r="I42" s="644"/>
      <c r="J42" s="645"/>
      <c r="K42" s="644"/>
      <c r="L42" s="655"/>
      <c r="N42" s="644"/>
      <c r="O42" s="644"/>
      <c r="P42" s="647"/>
      <c r="Q42" s="644"/>
      <c r="R42" s="644"/>
      <c r="S42" s="644"/>
      <c r="T42" s="644"/>
      <c r="U42" s="644"/>
      <c r="V42" s="644"/>
      <c r="W42" s="644"/>
      <c r="X42" s="645"/>
      <c r="Y42" s="644"/>
      <c r="Z42" s="655"/>
      <c r="AB42" s="644"/>
      <c r="AC42" s="644"/>
      <c r="AD42" s="644"/>
      <c r="AE42" s="644"/>
      <c r="AF42" s="644"/>
      <c r="AG42" s="644"/>
      <c r="AH42" s="644"/>
      <c r="AI42" s="644"/>
      <c r="AJ42" s="644"/>
      <c r="AK42" s="644"/>
      <c r="AL42" s="644"/>
      <c r="AM42" s="644"/>
      <c r="AN42" s="644"/>
      <c r="AO42" s="644"/>
      <c r="AP42" s="644"/>
      <c r="AQ42" s="644"/>
      <c r="AR42" s="644"/>
      <c r="AS42" s="644"/>
      <c r="AT42" s="644"/>
      <c r="AU42" s="644"/>
      <c r="AV42" s="644"/>
      <c r="AW42" s="644"/>
      <c r="AX42" s="644"/>
      <c r="AY42" s="644"/>
      <c r="AZ42" s="644"/>
      <c r="BA42" s="644"/>
      <c r="BB42" s="644"/>
      <c r="BC42" s="644"/>
      <c r="BD42" s="644"/>
      <c r="BE42" s="644"/>
      <c r="BF42" s="644"/>
      <c r="BG42" s="644"/>
      <c r="BH42" s="644"/>
      <c r="BI42" s="644"/>
      <c r="BJ42" s="644"/>
      <c r="BK42" s="644"/>
      <c r="BL42" s="644"/>
      <c r="BM42" s="644"/>
      <c r="BN42" s="644"/>
      <c r="BO42" s="644"/>
      <c r="BP42" s="644"/>
      <c r="BQ42" s="644"/>
      <c r="BR42" s="644"/>
      <c r="BS42" s="644"/>
      <c r="BT42" s="644"/>
      <c r="BU42" s="644"/>
      <c r="BV42" s="644"/>
      <c r="BW42" s="644"/>
      <c r="BX42" s="644"/>
      <c r="BY42" s="644"/>
      <c r="BZ42" s="644"/>
      <c r="CA42" s="644"/>
      <c r="CB42" s="644"/>
      <c r="CC42" s="644"/>
      <c r="CD42" s="644"/>
      <c r="CE42" s="644"/>
      <c r="CF42" s="644"/>
      <c r="CG42" s="644"/>
      <c r="CH42" s="644"/>
      <c r="CI42" s="644"/>
      <c r="CJ42" s="644"/>
      <c r="CK42" s="644"/>
      <c r="CL42" s="644"/>
      <c r="CM42" s="644"/>
      <c r="CN42" s="644"/>
      <c r="CO42" s="644"/>
      <c r="CP42" s="644"/>
      <c r="CQ42" s="644"/>
      <c r="CR42" s="644"/>
      <c r="CS42" s="644"/>
      <c r="CT42" s="644"/>
      <c r="CU42" s="644"/>
      <c r="CV42" s="644"/>
      <c r="CW42" s="644"/>
      <c r="CX42" s="644"/>
      <c r="CY42" s="644"/>
      <c r="CZ42" s="644"/>
      <c r="DA42" s="644"/>
      <c r="DB42" s="644"/>
      <c r="DC42" s="644"/>
      <c r="DD42" s="644"/>
      <c r="DE42" s="644"/>
      <c r="DF42" s="644"/>
      <c r="DG42" s="644"/>
      <c r="DH42" s="644"/>
      <c r="DI42" s="644"/>
      <c r="DJ42" s="644"/>
      <c r="DK42" s="644"/>
      <c r="DL42" s="644"/>
      <c r="DM42" s="644"/>
      <c r="DN42" s="644"/>
      <c r="DO42" s="644"/>
      <c r="DP42" s="644"/>
      <c r="DQ42" s="644"/>
      <c r="DR42" s="644"/>
      <c r="DS42" s="644"/>
      <c r="DT42" s="644"/>
      <c r="DU42" s="644"/>
      <c r="DV42" s="644"/>
      <c r="DW42" s="644"/>
      <c r="DX42" s="644"/>
      <c r="DY42" s="644"/>
      <c r="DZ42" s="644"/>
      <c r="EA42" s="644"/>
      <c r="EB42" s="644"/>
      <c r="EC42" s="644"/>
      <c r="ED42" s="644"/>
      <c r="EE42" s="644"/>
      <c r="EF42" s="644"/>
      <c r="EG42" s="644"/>
      <c r="EH42" s="644"/>
      <c r="EI42" s="644"/>
      <c r="EJ42" s="644"/>
      <c r="EK42" s="644"/>
      <c r="EL42" s="644"/>
      <c r="EM42" s="644"/>
      <c r="EN42" s="644"/>
      <c r="EO42" s="644"/>
      <c r="EP42" s="644"/>
      <c r="EQ42" s="644"/>
      <c r="ER42" s="644"/>
      <c r="ES42" s="644"/>
      <c r="ET42" s="644"/>
      <c r="EU42" s="644"/>
      <c r="EV42" s="644"/>
      <c r="EW42" s="644"/>
      <c r="EX42" s="644"/>
      <c r="EY42" s="644"/>
      <c r="EZ42" s="644"/>
      <c r="FA42" s="644"/>
      <c r="FB42" s="644"/>
      <c r="FC42" s="644"/>
      <c r="FD42" s="644"/>
      <c r="FE42" s="644"/>
      <c r="FF42" s="644"/>
      <c r="FG42" s="644"/>
      <c r="FH42" s="644"/>
      <c r="FI42" s="644"/>
      <c r="FJ42" s="644"/>
      <c r="FK42" s="644"/>
      <c r="FL42" s="644"/>
      <c r="FM42" s="644"/>
      <c r="FN42" s="644"/>
      <c r="FO42" s="644"/>
      <c r="FP42" s="644"/>
      <c r="FQ42" s="644"/>
      <c r="FR42" s="644"/>
      <c r="FS42" s="644"/>
      <c r="FT42" s="644"/>
      <c r="FU42" s="644"/>
      <c r="FV42" s="644"/>
      <c r="FW42" s="644"/>
      <c r="FX42" s="644"/>
      <c r="FY42" s="644"/>
      <c r="FZ42" s="644"/>
      <c r="GA42" s="644"/>
      <c r="GB42" s="644"/>
      <c r="GC42" s="644"/>
      <c r="GD42" s="644"/>
      <c r="GE42" s="644"/>
      <c r="GF42" s="644"/>
      <c r="GG42" s="644"/>
      <c r="GH42" s="644"/>
      <c r="GI42" s="644"/>
      <c r="GJ42" s="644"/>
      <c r="GK42" s="644"/>
      <c r="GL42" s="644"/>
      <c r="GM42" s="644"/>
      <c r="GN42" s="644"/>
      <c r="GO42" s="644"/>
      <c r="GP42" s="644"/>
      <c r="GQ42" s="644"/>
      <c r="GR42" s="644"/>
      <c r="GS42" s="644"/>
      <c r="GT42" s="644"/>
      <c r="GU42" s="644"/>
      <c r="GV42" s="644"/>
      <c r="GW42" s="644"/>
      <c r="GX42" s="644"/>
      <c r="GY42" s="644"/>
      <c r="GZ42" s="644"/>
      <c r="HA42" s="644"/>
      <c r="HB42" s="644"/>
      <c r="HC42" s="644"/>
      <c r="HD42" s="644"/>
      <c r="HE42" s="644"/>
      <c r="HF42" s="644"/>
      <c r="HG42" s="644"/>
      <c r="HH42" s="644"/>
      <c r="HI42" s="644"/>
      <c r="HJ42" s="644"/>
      <c r="HK42" s="644"/>
      <c r="HL42" s="644"/>
      <c r="HM42" s="644"/>
      <c r="HN42" s="644"/>
      <c r="HO42" s="644"/>
      <c r="HP42" s="644"/>
      <c r="HQ42" s="644"/>
      <c r="HR42" s="644"/>
      <c r="HS42" s="644"/>
      <c r="HT42" s="644"/>
      <c r="HU42" s="644"/>
      <c r="HV42" s="644"/>
      <c r="HW42" s="644"/>
      <c r="HX42" s="644"/>
      <c r="HY42" s="644"/>
      <c r="HZ42" s="644"/>
      <c r="IA42" s="644"/>
      <c r="IB42" s="644"/>
      <c r="IC42" s="644"/>
      <c r="ID42" s="644"/>
      <c r="IE42" s="644"/>
      <c r="IF42" s="644"/>
      <c r="IG42" s="644"/>
      <c r="IH42" s="644"/>
      <c r="II42" s="644"/>
      <c r="IJ42" s="644"/>
      <c r="IK42" s="644"/>
      <c r="IL42" s="644"/>
      <c r="IM42" s="644"/>
      <c r="IN42" s="644"/>
      <c r="IO42" s="644"/>
      <c r="IP42" s="644"/>
      <c r="IQ42" s="644"/>
      <c r="IR42" s="644"/>
      <c r="IS42" s="644"/>
      <c r="IT42" s="644"/>
      <c r="IU42" s="644"/>
      <c r="IV42" s="644"/>
    </row>
    <row r="43" spans="1:256" s="643" customFormat="1" ht="13" thickBot="1">
      <c r="A43" s="644"/>
      <c r="B43" s="647"/>
      <c r="C43" s="644"/>
      <c r="D43" s="644"/>
      <c r="E43" s="644"/>
      <c r="F43" s="644"/>
      <c r="G43" s="644"/>
      <c r="H43" s="644"/>
      <c r="I43" s="644"/>
      <c r="J43" s="645"/>
      <c r="K43" s="644"/>
      <c r="L43" s="655"/>
      <c r="N43" s="644"/>
      <c r="O43" s="644"/>
      <c r="P43" s="647"/>
      <c r="Q43" s="644"/>
      <c r="R43" s="644"/>
      <c r="S43" s="644"/>
      <c r="T43" s="644"/>
      <c r="U43" s="644"/>
      <c r="V43" s="644"/>
      <c r="W43" s="644"/>
      <c r="X43" s="645"/>
      <c r="Y43" s="644"/>
      <c r="Z43" s="655"/>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c r="BH43" s="644"/>
      <c r="BI43" s="644"/>
      <c r="BJ43" s="644"/>
      <c r="BK43" s="644"/>
      <c r="BL43" s="644"/>
      <c r="BM43" s="644"/>
      <c r="BN43" s="644"/>
      <c r="BO43" s="644"/>
      <c r="BP43" s="644"/>
      <c r="BQ43" s="644"/>
      <c r="BR43" s="644"/>
      <c r="BS43" s="644"/>
      <c r="BT43" s="644"/>
      <c r="BU43" s="644"/>
      <c r="BV43" s="644"/>
      <c r="BW43" s="644"/>
      <c r="BX43" s="644"/>
      <c r="BY43" s="644"/>
      <c r="BZ43" s="644"/>
      <c r="CA43" s="644"/>
      <c r="CB43" s="644"/>
      <c r="CC43" s="644"/>
      <c r="CD43" s="644"/>
      <c r="CE43" s="644"/>
      <c r="CF43" s="644"/>
      <c r="CG43" s="644"/>
      <c r="CH43" s="644"/>
      <c r="CI43" s="644"/>
      <c r="CJ43" s="644"/>
      <c r="CK43" s="644"/>
      <c r="CL43" s="644"/>
      <c r="CM43" s="644"/>
      <c r="CN43" s="644"/>
      <c r="CO43" s="644"/>
      <c r="CP43" s="644"/>
      <c r="CQ43" s="644"/>
      <c r="CR43" s="644"/>
      <c r="CS43" s="644"/>
      <c r="CT43" s="644"/>
      <c r="CU43" s="644"/>
      <c r="CV43" s="644"/>
      <c r="CW43" s="644"/>
      <c r="CX43" s="644"/>
      <c r="CY43" s="644"/>
      <c r="CZ43" s="644"/>
      <c r="DA43" s="644"/>
      <c r="DB43" s="644"/>
      <c r="DC43" s="644"/>
      <c r="DD43" s="644"/>
      <c r="DE43" s="644"/>
      <c r="DF43" s="644"/>
      <c r="DG43" s="644"/>
      <c r="DH43" s="644"/>
      <c r="DI43" s="644"/>
      <c r="DJ43" s="644"/>
      <c r="DK43" s="644"/>
      <c r="DL43" s="644"/>
      <c r="DM43" s="644"/>
      <c r="DN43" s="644"/>
      <c r="DO43" s="644"/>
      <c r="DP43" s="644"/>
      <c r="DQ43" s="644"/>
      <c r="DR43" s="644"/>
      <c r="DS43" s="644"/>
      <c r="DT43" s="644"/>
      <c r="DU43" s="644"/>
      <c r="DV43" s="644"/>
      <c r="DW43" s="644"/>
      <c r="DX43" s="644"/>
      <c r="DY43" s="644"/>
      <c r="DZ43" s="644"/>
      <c r="EA43" s="644"/>
      <c r="EB43" s="644"/>
      <c r="EC43" s="644"/>
      <c r="ED43" s="644"/>
      <c r="EE43" s="644"/>
      <c r="EF43" s="644"/>
      <c r="EG43" s="644"/>
      <c r="EH43" s="644"/>
      <c r="EI43" s="644"/>
      <c r="EJ43" s="644"/>
      <c r="EK43" s="644"/>
      <c r="EL43" s="644"/>
      <c r="EM43" s="644"/>
      <c r="EN43" s="644"/>
      <c r="EO43" s="644"/>
      <c r="EP43" s="644"/>
      <c r="EQ43" s="644"/>
      <c r="ER43" s="644"/>
      <c r="ES43" s="644"/>
      <c r="ET43" s="644"/>
      <c r="EU43" s="644"/>
      <c r="EV43" s="644"/>
      <c r="EW43" s="644"/>
      <c r="EX43" s="644"/>
      <c r="EY43" s="644"/>
      <c r="EZ43" s="644"/>
      <c r="FA43" s="644"/>
      <c r="FB43" s="644"/>
      <c r="FC43" s="644"/>
      <c r="FD43" s="644"/>
      <c r="FE43" s="644"/>
      <c r="FF43" s="644"/>
      <c r="FG43" s="644"/>
      <c r="FH43" s="644"/>
      <c r="FI43" s="644"/>
      <c r="FJ43" s="644"/>
      <c r="FK43" s="644"/>
      <c r="FL43" s="644"/>
      <c r="FM43" s="644"/>
      <c r="FN43" s="644"/>
      <c r="FO43" s="644"/>
      <c r="FP43" s="644"/>
      <c r="FQ43" s="644"/>
      <c r="FR43" s="644"/>
      <c r="FS43" s="644"/>
      <c r="FT43" s="644"/>
      <c r="FU43" s="644"/>
      <c r="FV43" s="644"/>
      <c r="FW43" s="644"/>
      <c r="FX43" s="644"/>
      <c r="FY43" s="644"/>
      <c r="FZ43" s="644"/>
      <c r="GA43" s="644"/>
      <c r="GB43" s="644"/>
      <c r="GC43" s="644"/>
      <c r="GD43" s="644"/>
      <c r="GE43" s="644"/>
      <c r="GF43" s="644"/>
      <c r="GG43" s="644"/>
      <c r="GH43" s="644"/>
      <c r="GI43" s="644"/>
      <c r="GJ43" s="644"/>
      <c r="GK43" s="644"/>
      <c r="GL43" s="644"/>
      <c r="GM43" s="644"/>
      <c r="GN43" s="644"/>
      <c r="GO43" s="644"/>
      <c r="GP43" s="644"/>
      <c r="GQ43" s="644"/>
      <c r="GR43" s="644"/>
      <c r="GS43" s="644"/>
      <c r="GT43" s="644"/>
      <c r="GU43" s="644"/>
      <c r="GV43" s="644"/>
      <c r="GW43" s="644"/>
      <c r="GX43" s="644"/>
      <c r="GY43" s="644"/>
      <c r="GZ43" s="644"/>
      <c r="HA43" s="644"/>
      <c r="HB43" s="644"/>
      <c r="HC43" s="644"/>
      <c r="HD43" s="644"/>
      <c r="HE43" s="644"/>
      <c r="HF43" s="644"/>
      <c r="HG43" s="644"/>
      <c r="HH43" s="644"/>
      <c r="HI43" s="644"/>
      <c r="HJ43" s="644"/>
      <c r="HK43" s="644"/>
      <c r="HL43" s="644"/>
      <c r="HM43" s="644"/>
      <c r="HN43" s="644"/>
      <c r="HO43" s="644"/>
      <c r="HP43" s="644"/>
      <c r="HQ43" s="644"/>
      <c r="HR43" s="644"/>
      <c r="HS43" s="644"/>
      <c r="HT43" s="644"/>
      <c r="HU43" s="644"/>
      <c r="HV43" s="644"/>
      <c r="HW43" s="644"/>
      <c r="HX43" s="644"/>
      <c r="HY43" s="644"/>
      <c r="HZ43" s="644"/>
      <c r="IA43" s="644"/>
      <c r="IB43" s="644"/>
      <c r="IC43" s="644"/>
      <c r="ID43" s="644"/>
      <c r="IE43" s="644"/>
      <c r="IF43" s="644"/>
      <c r="IG43" s="644"/>
      <c r="IH43" s="644"/>
      <c r="II43" s="644"/>
      <c r="IJ43" s="644"/>
      <c r="IK43" s="644"/>
      <c r="IL43" s="644"/>
      <c r="IM43" s="644"/>
      <c r="IN43" s="644"/>
      <c r="IO43" s="644"/>
      <c r="IP43" s="644"/>
      <c r="IQ43" s="644"/>
      <c r="IR43" s="644"/>
      <c r="IS43" s="644"/>
      <c r="IT43" s="644"/>
      <c r="IU43" s="644"/>
      <c r="IV43" s="644"/>
    </row>
    <row r="44" spans="1:256" s="643" customFormat="1" ht="14.5" thickBot="1">
      <c r="A44" s="644"/>
      <c r="B44" s="1517" t="s">
        <v>664</v>
      </c>
      <c r="C44" s="1518"/>
      <c r="D44" s="1518"/>
      <c r="E44" s="1518"/>
      <c r="F44" s="1518"/>
      <c r="G44" s="1518"/>
      <c r="H44" s="1518"/>
      <c r="I44" s="1519"/>
      <c r="J44" s="679"/>
      <c r="K44" s="679"/>
      <c r="L44" s="680">
        <f>L41/100</f>
        <v>1.8686053333333334E-2</v>
      </c>
      <c r="N44" s="644"/>
      <c r="O44" s="644"/>
      <c r="P44" s="1517" t="s">
        <v>664</v>
      </c>
      <c r="Q44" s="1518"/>
      <c r="R44" s="1518"/>
      <c r="S44" s="1518"/>
      <c r="T44" s="1518"/>
      <c r="U44" s="1518"/>
      <c r="V44" s="1518"/>
      <c r="W44" s="1519"/>
      <c r="X44" s="679"/>
      <c r="Y44" s="679"/>
      <c r="Z44" s="680">
        <f>Z41/100</f>
        <v>1.810605333333333E-2</v>
      </c>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AY44" s="644"/>
      <c r="AZ44" s="644"/>
      <c r="BA44" s="644"/>
      <c r="BB44" s="644"/>
      <c r="BC44" s="644"/>
      <c r="BD44" s="644"/>
      <c r="BE44" s="644"/>
      <c r="BF44" s="644"/>
      <c r="BG44" s="644"/>
      <c r="BH44" s="644"/>
      <c r="BI44" s="644"/>
      <c r="BJ44" s="644"/>
      <c r="BK44" s="644"/>
      <c r="BL44" s="644"/>
      <c r="BM44" s="644"/>
      <c r="BN44" s="644"/>
      <c r="BO44" s="644"/>
      <c r="BP44" s="644"/>
      <c r="BQ44" s="644"/>
      <c r="BR44" s="644"/>
      <c r="BS44" s="644"/>
      <c r="BT44" s="644"/>
      <c r="BU44" s="644"/>
      <c r="BV44" s="644"/>
      <c r="BW44" s="644"/>
      <c r="BX44" s="644"/>
      <c r="BY44" s="644"/>
      <c r="BZ44" s="644"/>
      <c r="CA44" s="644"/>
      <c r="CB44" s="644"/>
      <c r="CC44" s="644"/>
      <c r="CD44" s="644"/>
      <c r="CE44" s="644"/>
      <c r="CF44" s="644"/>
      <c r="CG44" s="644"/>
      <c r="CH44" s="644"/>
      <c r="CI44" s="644"/>
      <c r="CJ44" s="644"/>
      <c r="CK44" s="644"/>
      <c r="CL44" s="644"/>
      <c r="CM44" s="644"/>
      <c r="CN44" s="644"/>
      <c r="CO44" s="644"/>
      <c r="CP44" s="644"/>
      <c r="CQ44" s="644"/>
      <c r="CR44" s="644"/>
      <c r="CS44" s="644"/>
      <c r="CT44" s="644"/>
      <c r="CU44" s="644"/>
      <c r="CV44" s="644"/>
      <c r="CW44" s="644"/>
      <c r="CX44" s="644"/>
      <c r="CY44" s="644"/>
      <c r="CZ44" s="644"/>
      <c r="DA44" s="644"/>
      <c r="DB44" s="644"/>
      <c r="DC44" s="644"/>
      <c r="DD44" s="644"/>
      <c r="DE44" s="644"/>
      <c r="DF44" s="644"/>
      <c r="DG44" s="644"/>
      <c r="DH44" s="644"/>
      <c r="DI44" s="644"/>
      <c r="DJ44" s="644"/>
      <c r="DK44" s="644"/>
      <c r="DL44" s="644"/>
      <c r="DM44" s="644"/>
      <c r="DN44" s="644"/>
      <c r="DO44" s="644"/>
      <c r="DP44" s="644"/>
      <c r="DQ44" s="644"/>
      <c r="DR44" s="644"/>
      <c r="DS44" s="644"/>
      <c r="DT44" s="644"/>
      <c r="DU44" s="644"/>
      <c r="DV44" s="644"/>
      <c r="DW44" s="644"/>
      <c r="DX44" s="644"/>
      <c r="DY44" s="644"/>
      <c r="DZ44" s="644"/>
      <c r="EA44" s="644"/>
      <c r="EB44" s="644"/>
      <c r="EC44" s="644"/>
      <c r="ED44" s="644"/>
      <c r="EE44" s="644"/>
      <c r="EF44" s="644"/>
      <c r="EG44" s="644"/>
      <c r="EH44" s="644"/>
      <c r="EI44" s="644"/>
      <c r="EJ44" s="644"/>
      <c r="EK44" s="644"/>
      <c r="EL44" s="644"/>
      <c r="EM44" s="644"/>
      <c r="EN44" s="644"/>
      <c r="EO44" s="644"/>
      <c r="EP44" s="644"/>
      <c r="EQ44" s="644"/>
      <c r="ER44" s="644"/>
      <c r="ES44" s="644"/>
      <c r="ET44" s="644"/>
      <c r="EU44" s="644"/>
      <c r="EV44" s="644"/>
      <c r="EW44" s="644"/>
      <c r="EX44" s="644"/>
      <c r="EY44" s="644"/>
      <c r="EZ44" s="644"/>
      <c r="FA44" s="644"/>
      <c r="FB44" s="644"/>
      <c r="FC44" s="644"/>
      <c r="FD44" s="644"/>
      <c r="FE44" s="644"/>
      <c r="FF44" s="644"/>
      <c r="FG44" s="644"/>
      <c r="FH44" s="644"/>
      <c r="FI44" s="644"/>
      <c r="FJ44" s="644"/>
      <c r="FK44" s="644"/>
      <c r="FL44" s="644"/>
      <c r="FM44" s="644"/>
      <c r="FN44" s="644"/>
      <c r="FO44" s="644"/>
      <c r="FP44" s="644"/>
      <c r="FQ44" s="644"/>
      <c r="FR44" s="644"/>
      <c r="FS44" s="644"/>
      <c r="FT44" s="644"/>
      <c r="FU44" s="644"/>
      <c r="FV44" s="644"/>
      <c r="FW44" s="644"/>
      <c r="FX44" s="644"/>
      <c r="FY44" s="644"/>
      <c r="FZ44" s="644"/>
      <c r="GA44" s="644"/>
      <c r="GB44" s="644"/>
      <c r="GC44" s="644"/>
      <c r="GD44" s="644"/>
      <c r="GE44" s="644"/>
      <c r="GF44" s="644"/>
      <c r="GG44" s="644"/>
      <c r="GH44" s="644"/>
      <c r="GI44" s="644"/>
      <c r="GJ44" s="644"/>
      <c r="GK44" s="644"/>
      <c r="GL44" s="644"/>
      <c r="GM44" s="644"/>
      <c r="GN44" s="644"/>
      <c r="GO44" s="644"/>
      <c r="GP44" s="644"/>
      <c r="GQ44" s="644"/>
      <c r="GR44" s="644"/>
      <c r="GS44" s="644"/>
      <c r="GT44" s="644"/>
      <c r="GU44" s="644"/>
      <c r="GV44" s="644"/>
      <c r="GW44" s="644"/>
      <c r="GX44" s="644"/>
      <c r="GY44" s="644"/>
      <c r="GZ44" s="644"/>
      <c r="HA44" s="644"/>
      <c r="HB44" s="644"/>
      <c r="HC44" s="644"/>
      <c r="HD44" s="644"/>
      <c r="HE44" s="644"/>
      <c r="HF44" s="644"/>
      <c r="HG44" s="644"/>
      <c r="HH44" s="644"/>
      <c r="HI44" s="644"/>
      <c r="HJ44" s="644"/>
      <c r="HK44" s="644"/>
      <c r="HL44" s="644"/>
      <c r="HM44" s="644"/>
      <c r="HN44" s="644"/>
      <c r="HO44" s="644"/>
      <c r="HP44" s="644"/>
      <c r="HQ44" s="644"/>
      <c r="HR44" s="644"/>
      <c r="HS44" s="644"/>
      <c r="HT44" s="644"/>
      <c r="HU44" s="644"/>
      <c r="HV44" s="644"/>
      <c r="HW44" s="644"/>
      <c r="HX44" s="644"/>
      <c r="HY44" s="644"/>
      <c r="HZ44" s="644"/>
      <c r="IA44" s="644"/>
      <c r="IB44" s="644"/>
      <c r="IC44" s="644"/>
      <c r="ID44" s="644"/>
      <c r="IE44" s="644"/>
      <c r="IF44" s="644"/>
      <c r="IG44" s="644"/>
      <c r="IH44" s="644"/>
      <c r="II44" s="644"/>
      <c r="IJ44" s="644"/>
      <c r="IK44" s="644"/>
      <c r="IL44" s="644"/>
      <c r="IM44" s="644"/>
      <c r="IN44" s="644"/>
      <c r="IO44" s="644"/>
      <c r="IP44" s="644"/>
      <c r="IQ44" s="644"/>
      <c r="IR44" s="644"/>
      <c r="IS44" s="644"/>
      <c r="IT44" s="644"/>
      <c r="IU44" s="644"/>
      <c r="IV44" s="644"/>
    </row>
    <row r="45" spans="1:256" s="643" customFormat="1" ht="15" customHeight="1">
      <c r="A45" s="644"/>
      <c r="B45" s="644"/>
      <c r="C45" s="644"/>
      <c r="D45" s="644"/>
      <c r="E45" s="644"/>
      <c r="F45" s="644"/>
      <c r="G45" s="644"/>
      <c r="H45" s="644"/>
      <c r="I45" s="644"/>
      <c r="J45" s="644"/>
      <c r="K45" s="644"/>
      <c r="L45" s="644"/>
      <c r="N45" s="644"/>
      <c r="O45" s="644"/>
      <c r="P45" s="644"/>
      <c r="Q45" s="644"/>
      <c r="R45" s="644"/>
      <c r="S45" s="644"/>
      <c r="T45" s="644"/>
      <c r="U45" s="644"/>
      <c r="V45" s="644"/>
      <c r="W45" s="644"/>
      <c r="X45" s="644"/>
      <c r="Y45" s="644"/>
      <c r="Z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c r="AY45" s="644"/>
      <c r="AZ45" s="644"/>
      <c r="BA45" s="644"/>
      <c r="BB45" s="644"/>
      <c r="BC45" s="644"/>
      <c r="BD45" s="644"/>
      <c r="BE45" s="644"/>
      <c r="BF45" s="644"/>
      <c r="BG45" s="644"/>
      <c r="BH45" s="644"/>
      <c r="BI45" s="644"/>
      <c r="BJ45" s="644"/>
      <c r="BK45" s="644"/>
      <c r="BL45" s="644"/>
      <c r="BM45" s="644"/>
      <c r="BN45" s="644"/>
      <c r="BO45" s="644"/>
      <c r="BP45" s="644"/>
      <c r="BQ45" s="644"/>
      <c r="BR45" s="644"/>
      <c r="BS45" s="644"/>
      <c r="BT45" s="644"/>
      <c r="BU45" s="644"/>
      <c r="BV45" s="644"/>
      <c r="BW45" s="644"/>
      <c r="BX45" s="644"/>
      <c r="BY45" s="644"/>
      <c r="BZ45" s="644"/>
      <c r="CA45" s="644"/>
      <c r="CB45" s="644"/>
      <c r="CC45" s="644"/>
      <c r="CD45" s="644"/>
      <c r="CE45" s="644"/>
      <c r="CF45" s="644"/>
      <c r="CG45" s="644"/>
      <c r="CH45" s="644"/>
      <c r="CI45" s="644"/>
      <c r="CJ45" s="644"/>
      <c r="CK45" s="644"/>
      <c r="CL45" s="644"/>
      <c r="CM45" s="644"/>
      <c r="CN45" s="644"/>
      <c r="CO45" s="644"/>
      <c r="CP45" s="644"/>
      <c r="CQ45" s="644"/>
      <c r="CR45" s="644"/>
      <c r="CS45" s="644"/>
      <c r="CT45" s="644"/>
      <c r="CU45" s="644"/>
      <c r="CV45" s="644"/>
      <c r="CW45" s="644"/>
      <c r="CX45" s="644"/>
      <c r="CY45" s="644"/>
      <c r="CZ45" s="644"/>
      <c r="DA45" s="644"/>
      <c r="DB45" s="644"/>
      <c r="DC45" s="644"/>
      <c r="DD45" s="644"/>
      <c r="DE45" s="644"/>
      <c r="DF45" s="644"/>
      <c r="DG45" s="644"/>
      <c r="DH45" s="644"/>
      <c r="DI45" s="644"/>
      <c r="DJ45" s="644"/>
      <c r="DK45" s="644"/>
      <c r="DL45" s="644"/>
      <c r="DM45" s="644"/>
      <c r="DN45" s="644"/>
      <c r="DO45" s="644"/>
      <c r="DP45" s="644"/>
      <c r="DQ45" s="644"/>
      <c r="DR45" s="644"/>
      <c r="DS45" s="644"/>
      <c r="DT45" s="644"/>
      <c r="DU45" s="644"/>
      <c r="DV45" s="644"/>
      <c r="DW45" s="644"/>
      <c r="DX45" s="644"/>
      <c r="DY45" s="644"/>
      <c r="DZ45" s="644"/>
      <c r="EA45" s="644"/>
      <c r="EB45" s="644"/>
      <c r="EC45" s="644"/>
      <c r="ED45" s="644"/>
      <c r="EE45" s="644"/>
      <c r="EF45" s="644"/>
      <c r="EG45" s="644"/>
      <c r="EH45" s="644"/>
      <c r="EI45" s="644"/>
      <c r="EJ45" s="644"/>
      <c r="EK45" s="644"/>
      <c r="EL45" s="644"/>
      <c r="EM45" s="644"/>
      <c r="EN45" s="644"/>
      <c r="EO45" s="644"/>
      <c r="EP45" s="644"/>
      <c r="EQ45" s="644"/>
      <c r="ER45" s="644"/>
      <c r="ES45" s="644"/>
      <c r="ET45" s="644"/>
      <c r="EU45" s="644"/>
      <c r="EV45" s="644"/>
      <c r="EW45" s="644"/>
      <c r="EX45" s="644"/>
      <c r="EY45" s="644"/>
      <c r="EZ45" s="644"/>
      <c r="FA45" s="644"/>
      <c r="FB45" s="644"/>
      <c r="FC45" s="644"/>
      <c r="FD45" s="644"/>
      <c r="FE45" s="644"/>
      <c r="FF45" s="644"/>
      <c r="FG45" s="644"/>
      <c r="FH45" s="644"/>
      <c r="FI45" s="644"/>
      <c r="FJ45" s="644"/>
      <c r="FK45" s="644"/>
      <c r="FL45" s="644"/>
      <c r="FM45" s="644"/>
      <c r="FN45" s="644"/>
      <c r="FO45" s="644"/>
      <c r="FP45" s="644"/>
      <c r="FQ45" s="644"/>
      <c r="FR45" s="644"/>
      <c r="FS45" s="644"/>
      <c r="FT45" s="644"/>
      <c r="FU45" s="644"/>
      <c r="FV45" s="644"/>
      <c r="FW45" s="644"/>
      <c r="FX45" s="644"/>
      <c r="FY45" s="644"/>
      <c r="FZ45" s="644"/>
      <c r="GA45" s="644"/>
      <c r="GB45" s="644"/>
      <c r="GC45" s="644"/>
      <c r="GD45" s="644"/>
      <c r="GE45" s="644"/>
      <c r="GF45" s="644"/>
      <c r="GG45" s="644"/>
      <c r="GH45" s="644"/>
      <c r="GI45" s="644"/>
      <c r="GJ45" s="644"/>
      <c r="GK45" s="644"/>
      <c r="GL45" s="644"/>
      <c r="GM45" s="644"/>
      <c r="GN45" s="644"/>
      <c r="GO45" s="644"/>
      <c r="GP45" s="644"/>
      <c r="GQ45" s="644"/>
      <c r="GR45" s="644"/>
      <c r="GS45" s="644"/>
      <c r="GT45" s="644"/>
      <c r="GU45" s="644"/>
      <c r="GV45" s="644"/>
      <c r="GW45" s="644"/>
      <c r="GX45" s="644"/>
      <c r="GY45" s="644"/>
      <c r="GZ45" s="644"/>
      <c r="HA45" s="644"/>
      <c r="HB45" s="644"/>
      <c r="HC45" s="644"/>
      <c r="HD45" s="644"/>
      <c r="HE45" s="644"/>
      <c r="HF45" s="644"/>
      <c r="HG45" s="644"/>
      <c r="HH45" s="644"/>
      <c r="HI45" s="644"/>
      <c r="HJ45" s="644"/>
      <c r="HK45" s="644"/>
      <c r="HL45" s="644"/>
      <c r="HM45" s="644"/>
      <c r="HN45" s="644"/>
      <c r="HO45" s="644"/>
      <c r="HP45" s="644"/>
      <c r="HQ45" s="644"/>
      <c r="HR45" s="644"/>
      <c r="HS45" s="644"/>
      <c r="HT45" s="644"/>
      <c r="HU45" s="644"/>
      <c r="HV45" s="644"/>
      <c r="HW45" s="644"/>
      <c r="HX45" s="644"/>
      <c r="HY45" s="644"/>
      <c r="HZ45" s="644"/>
      <c r="IA45" s="644"/>
      <c r="IB45" s="644"/>
      <c r="IC45" s="644"/>
      <c r="ID45" s="644"/>
      <c r="IE45" s="644"/>
      <c r="IF45" s="644"/>
      <c r="IG45" s="644"/>
      <c r="IH45" s="644"/>
      <c r="II45" s="644"/>
      <c r="IJ45" s="644"/>
      <c r="IK45" s="644"/>
      <c r="IL45" s="644"/>
      <c r="IM45" s="644"/>
      <c r="IN45" s="644"/>
      <c r="IO45" s="644"/>
      <c r="IP45" s="644"/>
      <c r="IQ45" s="644"/>
      <c r="IR45" s="644"/>
      <c r="IS45" s="644"/>
      <c r="IT45" s="644"/>
      <c r="IU45" s="644"/>
      <c r="IV45" s="644"/>
    </row>
    <row r="46" spans="1:256" ht="14">
      <c r="B46" s="681"/>
      <c r="P46" s="681"/>
    </row>
    <row r="47" spans="1:256" ht="14">
      <c r="B47" s="682"/>
      <c r="P47" s="682"/>
    </row>
    <row r="48" spans="1:256">
      <c r="B48" s="683"/>
      <c r="P48" s="683"/>
    </row>
    <row r="49" spans="2:16">
      <c r="B49" s="683"/>
      <c r="P49" s="683"/>
    </row>
  </sheetData>
  <mergeCells count="13">
    <mergeCell ref="B44:I44"/>
    <mergeCell ref="P44:W44"/>
    <mergeCell ref="B2:L2"/>
    <mergeCell ref="P2:Z2"/>
    <mergeCell ref="B3:L3"/>
    <mergeCell ref="P3:Z3"/>
    <mergeCell ref="B4:I4"/>
    <mergeCell ref="P4:W4"/>
    <mergeCell ref="D10:E10"/>
    <mergeCell ref="D12:E12"/>
    <mergeCell ref="D17:E17"/>
    <mergeCell ref="D31:G32"/>
    <mergeCell ref="R31:U32"/>
  </mergeCells>
  <pageMargins left="0.70866141732283472" right="0.70866141732283472" top="0.74803149606299213" bottom="0.74803149606299213" header="0.31496062992125984" footer="0.31496062992125984"/>
  <pageSetup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8"/>
  <dimension ref="A1:I74"/>
  <sheetViews>
    <sheetView view="pageBreakPreview" zoomScale="60" zoomScaleNormal="70" workbookViewId="0">
      <selection sqref="A1:P1"/>
    </sheetView>
  </sheetViews>
  <sheetFormatPr baseColWidth="10" defaultColWidth="11.453125" defaultRowHeight="14.5"/>
  <cols>
    <col min="1" max="1" width="11.453125" style="293"/>
    <col min="2" max="2" width="31.54296875" style="293" customWidth="1"/>
    <col min="3" max="3" width="11.453125" style="293"/>
    <col min="4" max="4" width="19" style="293" customWidth="1"/>
    <col min="5" max="5" width="14.54296875" style="293" customWidth="1"/>
    <col min="6" max="8" width="11.453125" style="293"/>
    <col min="9" max="9" width="103.1796875" style="293" bestFit="1" customWidth="1"/>
    <col min="10" max="10" width="11.453125" style="293"/>
    <col min="11" max="11" width="16.54296875" style="293" bestFit="1" customWidth="1"/>
    <col min="12" max="16384" width="11.453125" style="293"/>
  </cols>
  <sheetData>
    <row r="1" spans="1:9">
      <c r="A1" s="1221" t="s">
        <v>665</v>
      </c>
      <c r="B1" s="1221" t="s">
        <v>666</v>
      </c>
      <c r="C1" s="301" t="s">
        <v>585</v>
      </c>
      <c r="D1" s="1220" t="s">
        <v>667</v>
      </c>
      <c r="E1" s="293" t="s">
        <v>668</v>
      </c>
      <c r="F1" s="1220" t="s">
        <v>669</v>
      </c>
      <c r="G1" s="1220" t="s">
        <v>670</v>
      </c>
      <c r="H1" s="1220" t="s">
        <v>671</v>
      </c>
      <c r="I1" s="293" t="s">
        <v>672</v>
      </c>
    </row>
    <row r="2" spans="1:9" ht="14.5" customHeight="1">
      <c r="A2" s="1222" t="s">
        <v>673</v>
      </c>
      <c r="B2" s="723"/>
      <c r="C2" s="724">
        <v>5</v>
      </c>
      <c r="D2" s="294">
        <v>5</v>
      </c>
      <c r="E2" s="295">
        <f>Tabla1[[#This Row],[USUARIOS]]-Tabla1[[#This Row],[USUARIOS MK]]</f>
        <v>0</v>
      </c>
      <c r="F2" s="295">
        <v>5</v>
      </c>
      <c r="G2" s="295"/>
      <c r="H2" s="295"/>
      <c r="I2" s="402"/>
    </row>
    <row r="3" spans="1:9">
      <c r="A3" s="1222"/>
      <c r="B3" s="723"/>
      <c r="C3" s="724">
        <v>8</v>
      </c>
      <c r="D3" s="294">
        <v>8</v>
      </c>
      <c r="E3" s="295">
        <f>Tabla1[[#This Row],[USUARIOS]]-Tabla1[[#This Row],[USUARIOS MK]]</f>
        <v>0</v>
      </c>
      <c r="F3" s="295">
        <v>8</v>
      </c>
      <c r="G3" s="295"/>
      <c r="H3" s="295"/>
      <c r="I3" s="295"/>
    </row>
    <row r="4" spans="1:9">
      <c r="A4" s="1222"/>
      <c r="B4" s="723"/>
      <c r="C4" s="724">
        <v>15</v>
      </c>
      <c r="D4" s="294">
        <v>15</v>
      </c>
      <c r="E4" s="295"/>
      <c r="F4" s="295"/>
      <c r="G4" s="295">
        <v>15</v>
      </c>
      <c r="H4" s="295"/>
      <c r="I4" s="402"/>
    </row>
    <row r="5" spans="1:9" ht="18.649999999999999" customHeight="1">
      <c r="A5" s="1222"/>
      <c r="B5" s="723"/>
      <c r="C5" s="724">
        <v>17</v>
      </c>
      <c r="D5" s="294">
        <v>17</v>
      </c>
      <c r="E5" s="295"/>
      <c r="F5" s="295"/>
      <c r="G5" s="295"/>
      <c r="H5" s="295">
        <v>17</v>
      </c>
      <c r="I5" s="295"/>
    </row>
    <row r="6" spans="1:9">
      <c r="A6" s="1222"/>
      <c r="B6" s="723"/>
      <c r="C6" s="724">
        <v>53</v>
      </c>
      <c r="D6" s="294">
        <v>0</v>
      </c>
      <c r="E6" s="295">
        <f>Tabla1[[#This Row],[USUARIOS]]-Tabla1[[#This Row],[USUARIOS MK]]</f>
        <v>53</v>
      </c>
      <c r="F6" s="295"/>
      <c r="G6" s="295"/>
      <c r="H6" s="295"/>
      <c r="I6" s="402"/>
    </row>
    <row r="7" spans="1:9">
      <c r="A7" s="1222"/>
      <c r="B7" s="723"/>
      <c r="C7" s="724"/>
      <c r="D7" s="294"/>
      <c r="E7" s="295"/>
      <c r="F7" s="295"/>
      <c r="G7" s="295"/>
      <c r="H7" s="295"/>
      <c r="I7" s="402"/>
    </row>
    <row r="8" spans="1:9">
      <c r="A8" s="1222"/>
      <c r="B8" s="723"/>
      <c r="C8" s="724"/>
      <c r="D8" s="294"/>
      <c r="E8" s="295"/>
      <c r="F8" s="295"/>
      <c r="G8" s="295"/>
      <c r="H8" s="295"/>
      <c r="I8" s="402"/>
    </row>
    <row r="9" spans="1:9">
      <c r="A9" s="1222"/>
      <c r="B9" s="725"/>
      <c r="C9" s="724"/>
      <c r="D9" s="294"/>
      <c r="E9" s="295"/>
      <c r="F9" s="295"/>
      <c r="G9" s="295"/>
      <c r="H9" s="295"/>
      <c r="I9" s="402"/>
    </row>
    <row r="10" spans="1:9">
      <c r="A10" s="1222"/>
      <c r="B10" s="725"/>
      <c r="C10" s="724"/>
      <c r="D10" s="294"/>
      <c r="E10" s="295"/>
      <c r="F10" s="295"/>
      <c r="G10" s="295"/>
      <c r="H10" s="295"/>
      <c r="I10" s="402"/>
    </row>
    <row r="11" spans="1:9">
      <c r="A11" s="301"/>
      <c r="B11" s="1223" t="s">
        <v>674</v>
      </c>
      <c r="C11" s="1224">
        <f>SUBTOTAL(109,Tabla1[USUARIOS])</f>
        <v>98</v>
      </c>
      <c r="D11" s="1225">
        <f>SUM(D2:D10)</f>
        <v>45</v>
      </c>
      <c r="E11" s="1226">
        <f>SUBTOTAL(109,Tabla1[INDIVIDUALES])</f>
        <v>53</v>
      </c>
      <c r="F11" s="1226">
        <f>SUBTOTAL(109,Tabla1[MR 5 - 8])</f>
        <v>13</v>
      </c>
      <c r="G11" s="1226">
        <f>SUBTOTAL(109,Tabla1[MR 10-16])</f>
        <v>15</v>
      </c>
      <c r="H11" s="1226">
        <f>SUBTOTAL(109,Tabla1[MR 15-24])</f>
        <v>17</v>
      </c>
      <c r="I11" s="1226"/>
    </row>
    <row r="12" spans="1:9">
      <c r="C12" s="296"/>
      <c r="D12" s="296"/>
    </row>
    <row r="13" spans="1:9">
      <c r="C13" s="296"/>
      <c r="D13" s="296"/>
    </row>
    <row r="14" spans="1:9">
      <c r="C14" s="296"/>
      <c r="D14" s="296"/>
    </row>
    <row r="15" spans="1:9" ht="15" thickBot="1">
      <c r="C15" s="296"/>
      <c r="D15" s="296"/>
    </row>
    <row r="16" spans="1:9" ht="15" thickBot="1">
      <c r="B16" s="297" t="s">
        <v>675</v>
      </c>
      <c r="C16" s="298">
        <f>+Tabla1[[#Totals],[USUARIOS]]</f>
        <v>98</v>
      </c>
      <c r="D16" s="296"/>
      <c r="F16" s="293">
        <f>+Tabla1[[#Totals],[INDIVIDUALES]]*2010+35000</f>
        <v>141530</v>
      </c>
    </row>
    <row r="17" spans="1:9">
      <c r="C17" s="296"/>
      <c r="D17" s="296"/>
    </row>
    <row r="18" spans="1:9">
      <c r="A18" s="300"/>
      <c r="B18" s="780" t="s">
        <v>676</v>
      </c>
      <c r="C18" s="299" t="s">
        <v>677</v>
      </c>
      <c r="D18" s="296"/>
    </row>
    <row r="19" spans="1:9">
      <c r="A19" s="300">
        <v>1</v>
      </c>
      <c r="B19" s="780" t="s">
        <v>678</v>
      </c>
      <c r="C19" s="300">
        <v>5</v>
      </c>
    </row>
    <row r="20" spans="1:9">
      <c r="A20" s="300">
        <v>2</v>
      </c>
      <c r="B20" s="780" t="s">
        <v>679</v>
      </c>
      <c r="C20" s="300">
        <v>8</v>
      </c>
    </row>
    <row r="21" spans="1:9">
      <c r="A21" s="300">
        <v>3</v>
      </c>
      <c r="B21" s="780" t="s">
        <v>680</v>
      </c>
      <c r="C21" s="300">
        <v>15</v>
      </c>
    </row>
    <row r="22" spans="1:9">
      <c r="A22" s="300">
        <v>4</v>
      </c>
      <c r="B22" s="780" t="s">
        <v>681</v>
      </c>
      <c r="C22" s="300">
        <v>17</v>
      </c>
      <c r="H22" s="293">
        <f>45+79</f>
        <v>124</v>
      </c>
    </row>
    <row r="23" spans="1:9">
      <c r="A23" s="300"/>
      <c r="B23" s="1221" t="s">
        <v>682</v>
      </c>
      <c r="C23" s="300">
        <f>SUM(C19:C22)</f>
        <v>45</v>
      </c>
    </row>
    <row r="25" spans="1:9" ht="15" thickBot="1">
      <c r="B25" s="1221" t="s">
        <v>668</v>
      </c>
      <c r="C25" s="300">
        <f>+Tabla1[[#Totals],[INDIVIDUALES]]</f>
        <v>53</v>
      </c>
    </row>
    <row r="26" spans="1:9" ht="15" thickBot="1">
      <c r="B26" s="297" t="s">
        <v>675</v>
      </c>
      <c r="C26" s="298">
        <f>+Tabla1[[#Totals],[USUARIOS]]</f>
        <v>98</v>
      </c>
      <c r="I26" s="1220"/>
    </row>
    <row r="28" spans="1:9">
      <c r="B28" s="299" t="s">
        <v>683</v>
      </c>
      <c r="C28" s="299" t="s">
        <v>682</v>
      </c>
      <c r="D28" s="438"/>
    </row>
    <row r="29" spans="1:9">
      <c r="B29" s="300" t="s">
        <v>328</v>
      </c>
      <c r="C29" s="301"/>
    </row>
    <row r="30" spans="1:9">
      <c r="B30" s="300" t="s">
        <v>329</v>
      </c>
      <c r="C30" s="301"/>
    </row>
    <row r="31" spans="1:9">
      <c r="B31" s="300" t="s">
        <v>330</v>
      </c>
      <c r="C31" s="301"/>
    </row>
    <row r="32" spans="1:9">
      <c r="B32" s="300" t="s">
        <v>331</v>
      </c>
      <c r="C32" s="301"/>
    </row>
    <row r="33" spans="2:4">
      <c r="B33" s="300" t="s">
        <v>332</v>
      </c>
      <c r="C33" s="301"/>
    </row>
    <row r="34" spans="2:4">
      <c r="B34" s="300" t="s">
        <v>333</v>
      </c>
      <c r="C34" s="301"/>
    </row>
    <row r="35" spans="2:4">
      <c r="B35" s="300" t="s">
        <v>684</v>
      </c>
      <c r="C35" s="301">
        <f>+Tabla1[[#Totals],[INDIVIDUALES]]</f>
        <v>53</v>
      </c>
    </row>
    <row r="40" spans="2:4">
      <c r="B40" s="299" t="s">
        <v>683</v>
      </c>
      <c r="C40" s="299" t="s">
        <v>682</v>
      </c>
      <c r="D40" s="438"/>
    </row>
    <row r="41" spans="2:4">
      <c r="B41" s="1227" t="s">
        <v>685</v>
      </c>
      <c r="C41" s="301" t="e">
        <f>+SUM(#REF!)</f>
        <v>#REF!</v>
      </c>
    </row>
    <row r="42" spans="2:4">
      <c r="B42" s="1227" t="s">
        <v>686</v>
      </c>
      <c r="C42" s="301" t="e">
        <f>+#REF!</f>
        <v>#REF!</v>
      </c>
    </row>
    <row r="43" spans="2:4">
      <c r="B43" s="1227" t="s">
        <v>687</v>
      </c>
      <c r="C43" s="301" t="e">
        <f>+#REF!</f>
        <v>#REF!</v>
      </c>
    </row>
    <row r="44" spans="2:4">
      <c r="B44" s="300" t="s">
        <v>684</v>
      </c>
      <c r="C44" s="301">
        <f>+Tabla1[[#Totals],[INDIVIDUALES]]</f>
        <v>53</v>
      </c>
    </row>
    <row r="55" spans="2:3">
      <c r="B55" s="1228" t="s">
        <v>666</v>
      </c>
      <c r="C55" s="1228" t="s">
        <v>688</v>
      </c>
    </row>
    <row r="56" spans="2:3">
      <c r="B56" s="1221" t="s">
        <v>689</v>
      </c>
      <c r="C56" s="301">
        <v>1</v>
      </c>
    </row>
    <row r="57" spans="2:3">
      <c r="B57" s="1221" t="s">
        <v>690</v>
      </c>
      <c r="C57" s="301">
        <v>20</v>
      </c>
    </row>
    <row r="58" spans="2:3">
      <c r="B58" s="1221" t="s">
        <v>691</v>
      </c>
      <c r="C58" s="301">
        <v>3</v>
      </c>
    </row>
    <row r="59" spans="2:3">
      <c r="B59" s="1221" t="s">
        <v>692</v>
      </c>
      <c r="C59" s="301">
        <v>2</v>
      </c>
    </row>
    <row r="60" spans="2:3">
      <c r="B60" s="1221" t="s">
        <v>693</v>
      </c>
      <c r="C60" s="301">
        <v>7</v>
      </c>
    </row>
    <row r="61" spans="2:3">
      <c r="B61" s="1221" t="s">
        <v>694</v>
      </c>
      <c r="C61" s="301">
        <v>3</v>
      </c>
    </row>
    <row r="62" spans="2:3">
      <c r="B62" s="1221" t="s">
        <v>695</v>
      </c>
      <c r="C62" s="301">
        <v>4</v>
      </c>
    </row>
    <row r="63" spans="2:3">
      <c r="B63" s="1221" t="s">
        <v>696</v>
      </c>
      <c r="C63" s="301">
        <v>1</v>
      </c>
    </row>
    <row r="64" spans="2:3">
      <c r="B64" s="1221" t="s">
        <v>697</v>
      </c>
      <c r="C64" s="301">
        <v>6</v>
      </c>
    </row>
    <row r="65" spans="2:3">
      <c r="B65" s="1221" t="s">
        <v>698</v>
      </c>
      <c r="C65" s="301">
        <v>5</v>
      </c>
    </row>
    <row r="66" spans="2:3">
      <c r="B66" s="1221" t="s">
        <v>699</v>
      </c>
      <c r="C66" s="301">
        <v>2</v>
      </c>
    </row>
    <row r="67" spans="2:3">
      <c r="B67" s="1221" t="s">
        <v>700</v>
      </c>
      <c r="C67" s="301">
        <v>3</v>
      </c>
    </row>
    <row r="68" spans="2:3">
      <c r="B68" s="1221" t="s">
        <v>701</v>
      </c>
      <c r="C68" s="301">
        <v>8</v>
      </c>
    </row>
    <row r="69" spans="2:3">
      <c r="B69" s="1221" t="s">
        <v>702</v>
      </c>
      <c r="C69" s="301">
        <v>6</v>
      </c>
    </row>
    <row r="70" spans="2:3">
      <c r="B70" s="1221" t="s">
        <v>703</v>
      </c>
      <c r="C70" s="301">
        <v>6</v>
      </c>
    </row>
    <row r="71" spans="2:3">
      <c r="B71" s="1221" t="s">
        <v>704</v>
      </c>
      <c r="C71" s="301">
        <v>3</v>
      </c>
    </row>
    <row r="72" spans="2:3">
      <c r="B72" s="1221" t="s">
        <v>705</v>
      </c>
      <c r="C72" s="301">
        <v>41</v>
      </c>
    </row>
    <row r="73" spans="2:3">
      <c r="B73" s="1221" t="s">
        <v>706</v>
      </c>
      <c r="C73" s="301">
        <v>3</v>
      </c>
    </row>
    <row r="74" spans="2:3">
      <c r="B74" s="942" t="s">
        <v>682</v>
      </c>
      <c r="C74" s="942">
        <f>SUM(C56:C73)</f>
        <v>124</v>
      </c>
    </row>
  </sheetData>
  <phoneticPr fontId="16" type="noConversion"/>
  <pageMargins left="0.7" right="0.7" top="0.75" bottom="0.75" header="0.3" footer="0.3"/>
  <pageSetup orientation="portrait" r:id="rId1"/>
  <rowBreaks count="1" manualBreakCount="1">
    <brk id="23" max="16383" man="1"/>
  </rowBreaks>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8C0EC-C98C-4AD5-8DC3-DAE350A16DE5}">
  <dimension ref="A1:G23"/>
  <sheetViews>
    <sheetView zoomScaleNormal="100" workbookViewId="0">
      <selection sqref="A1:P1"/>
    </sheetView>
  </sheetViews>
  <sheetFormatPr baseColWidth="10" defaultColWidth="12.54296875" defaultRowHeight="14"/>
  <cols>
    <col min="1" max="1" width="24.54296875" style="1082" customWidth="1"/>
    <col min="2" max="2" width="37.54296875" style="1082" customWidth="1"/>
    <col min="3" max="3" width="30.453125" style="1082" customWidth="1"/>
    <col min="4" max="16384" width="12.54296875" style="1082"/>
  </cols>
  <sheetData>
    <row r="1" spans="1:3" ht="39.65" customHeight="1" thickBot="1">
      <c r="A1" s="1530" t="str">
        <f>+'Presupuesto Interventoría'!A1</f>
        <v>IMPLEMENTACIÓN DE SOLUCIONES ENERGÉTICAS CON FUENTES NO CONVENCIONALES DE ENERGÍA PARA USUARIOS EN ZONAS RURALES DEL MUNICIPIO DE TEORAMA EN EL DEPARTAMENTO DE NORTE DE SANTANDER</v>
      </c>
      <c r="B1" s="1531"/>
      <c r="C1" s="1532"/>
    </row>
    <row r="2" spans="1:3">
      <c r="A2" s="1091" t="s">
        <v>707</v>
      </c>
      <c r="B2" s="1091" t="s">
        <v>708</v>
      </c>
      <c r="C2" s="1091" t="s">
        <v>709</v>
      </c>
    </row>
    <row r="3" spans="1:3" ht="28">
      <c r="A3" s="1537" t="s">
        <v>710</v>
      </c>
      <c r="B3" s="1086" t="s">
        <v>711</v>
      </c>
      <c r="C3" s="1533" t="s">
        <v>712</v>
      </c>
    </row>
    <row r="4" spans="1:3" ht="28">
      <c r="A4" s="1537"/>
      <c r="B4" s="1086" t="s">
        <v>713</v>
      </c>
      <c r="C4" s="1534"/>
    </row>
    <row r="5" spans="1:3" ht="28">
      <c r="A5" s="1537"/>
      <c r="B5" s="1086" t="s">
        <v>714</v>
      </c>
      <c r="C5" s="1534"/>
    </row>
    <row r="6" spans="1:3" ht="28">
      <c r="A6" s="1537"/>
      <c r="B6" s="1090" t="s">
        <v>715</v>
      </c>
      <c r="C6" s="1535"/>
    </row>
    <row r="7" spans="1:3" ht="28">
      <c r="A7" s="1537" t="s">
        <v>716</v>
      </c>
      <c r="B7" s="1086" t="s">
        <v>717</v>
      </c>
      <c r="C7" s="1533" t="s">
        <v>718</v>
      </c>
    </row>
    <row r="8" spans="1:3" ht="28">
      <c r="A8" s="1537"/>
      <c r="B8" s="1087" t="s">
        <v>719</v>
      </c>
      <c r="C8" s="1534"/>
    </row>
    <row r="9" spans="1:3" ht="28">
      <c r="A9" s="1537"/>
      <c r="B9" s="1087" t="s">
        <v>720</v>
      </c>
      <c r="C9" s="1535"/>
    </row>
    <row r="10" spans="1:3" ht="28">
      <c r="A10" s="1086" t="s">
        <v>721</v>
      </c>
      <c r="B10" s="1089" t="s">
        <v>722</v>
      </c>
      <c r="C10" s="1088">
        <v>249900</v>
      </c>
    </row>
    <row r="11" spans="1:3" ht="42">
      <c r="A11" s="1086" t="s">
        <v>723</v>
      </c>
      <c r="B11" s="1086" t="s">
        <v>724</v>
      </c>
      <c r="C11" s="1088">
        <v>3648380</v>
      </c>
    </row>
    <row r="12" spans="1:3" ht="48" customHeight="1">
      <c r="A12" s="1086" t="s">
        <v>725</v>
      </c>
      <c r="B12" s="1087" t="s">
        <v>726</v>
      </c>
      <c r="C12" s="1087" t="s">
        <v>727</v>
      </c>
    </row>
    <row r="13" spans="1:3" ht="72.75" customHeight="1">
      <c r="A13" s="1086" t="s">
        <v>728</v>
      </c>
      <c r="B13" s="1086" t="s">
        <v>729</v>
      </c>
      <c r="C13" s="1085" t="s">
        <v>730</v>
      </c>
    </row>
    <row r="14" spans="1:3" ht="33" customHeight="1">
      <c r="A14" s="1086" t="s">
        <v>731</v>
      </c>
      <c r="B14" s="1087" t="s">
        <v>732</v>
      </c>
      <c r="C14" s="1085">
        <v>3105800</v>
      </c>
    </row>
    <row r="15" spans="1:3" ht="60.75" customHeight="1">
      <c r="A15" s="1086" t="s">
        <v>733</v>
      </c>
      <c r="B15" s="1087" t="s">
        <v>734</v>
      </c>
      <c r="C15" s="1085" t="s">
        <v>730</v>
      </c>
    </row>
    <row r="16" spans="1:3" ht="60.75" customHeight="1">
      <c r="A16" s="1086" t="s">
        <v>735</v>
      </c>
      <c r="B16" s="1086" t="s">
        <v>736</v>
      </c>
      <c r="C16" s="1085" t="s">
        <v>727</v>
      </c>
    </row>
    <row r="17" spans="1:7" ht="60.75" customHeight="1">
      <c r="A17" s="1086" t="s">
        <v>737</v>
      </c>
      <c r="B17" s="1086" t="s">
        <v>738</v>
      </c>
      <c r="C17" s="1085" t="s">
        <v>727</v>
      </c>
    </row>
    <row r="18" spans="1:7" ht="60.75" customHeight="1">
      <c r="A18" s="1086" t="s">
        <v>739</v>
      </c>
      <c r="B18" s="1086" t="s">
        <v>726</v>
      </c>
      <c r="C18" s="1085" t="s">
        <v>727</v>
      </c>
    </row>
    <row r="19" spans="1:7" ht="60.75" customHeight="1">
      <c r="A19" s="1086" t="s">
        <v>740</v>
      </c>
      <c r="B19" s="1086" t="s">
        <v>741</v>
      </c>
      <c r="C19" s="1085">
        <v>814499</v>
      </c>
    </row>
    <row r="20" spans="1:7" ht="60.75" customHeight="1">
      <c r="A20" s="1086" t="s">
        <v>742</v>
      </c>
      <c r="B20" s="1086" t="s">
        <v>743</v>
      </c>
      <c r="C20" s="1085" t="s">
        <v>727</v>
      </c>
    </row>
    <row r="21" spans="1:7" ht="42" customHeight="1">
      <c r="A21" s="1086" t="s">
        <v>744</v>
      </c>
      <c r="B21" s="1086" t="s">
        <v>745</v>
      </c>
      <c r="C21" s="1085" t="s">
        <v>727</v>
      </c>
    </row>
    <row r="22" spans="1:7">
      <c r="A22" s="1536" t="s">
        <v>746</v>
      </c>
      <c r="B22" s="1536"/>
      <c r="C22" s="1084">
        <f>C10+C11+C14+C19</f>
        <v>7818579</v>
      </c>
    </row>
    <row r="23" spans="1:7">
      <c r="G23" s="1083"/>
    </row>
  </sheetData>
  <mergeCells count="6">
    <mergeCell ref="A1:C1"/>
    <mergeCell ref="C3:C6"/>
    <mergeCell ref="C7:C9"/>
    <mergeCell ref="A22:B22"/>
    <mergeCell ref="A3:A6"/>
    <mergeCell ref="A7:A9"/>
  </mergeCells>
  <printOptions horizontalCentered="1" verticalCentered="1"/>
  <pageMargins left="0.70866141732283472" right="0.70866141732283472" top="0.74803149606299213" bottom="0.74803149606299213" header="0.31496062992125984" footer="0.31496062992125984"/>
  <pageSetup scale="78"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3A859-3263-4A88-A732-60B630E34430}">
  <dimension ref="A1:G70"/>
  <sheetViews>
    <sheetView view="pageBreakPreview" topLeftCell="B1" zoomScaleNormal="100" zoomScaleSheetLayoutView="100" workbookViewId="0">
      <selection sqref="A1:P1"/>
    </sheetView>
  </sheetViews>
  <sheetFormatPr baseColWidth="10" defaultColWidth="12.54296875" defaultRowHeight="14.5"/>
  <cols>
    <col min="1" max="1" width="18" style="1031" customWidth="1"/>
    <col min="2" max="2" width="91.54296875" style="1031" customWidth="1"/>
    <col min="3" max="3" width="13.54296875" style="1031" customWidth="1"/>
    <col min="4" max="4" width="13.453125" style="1031" bestFit="1" customWidth="1"/>
    <col min="5" max="5" width="20" style="1031" bestFit="1" customWidth="1"/>
    <col min="6" max="6" width="18" style="1031" bestFit="1" customWidth="1"/>
    <col min="7" max="7" width="17.81640625" style="1031" customWidth="1"/>
    <col min="8" max="16384" width="12.54296875" style="1031"/>
  </cols>
  <sheetData>
    <row r="1" spans="1:7" ht="57.75" customHeight="1">
      <c r="A1" s="1538" t="s">
        <v>747</v>
      </c>
      <c r="B1" s="1539"/>
      <c r="C1" s="1539"/>
      <c r="D1" s="1539"/>
      <c r="E1" s="1539"/>
      <c r="F1" s="1539"/>
      <c r="G1" s="1540"/>
    </row>
    <row r="2" spans="1:7">
      <c r="A2" s="1541" t="s">
        <v>748</v>
      </c>
      <c r="B2" s="1542"/>
      <c r="C2" s="1542"/>
      <c r="D2" s="1542"/>
      <c r="E2" s="1542"/>
      <c r="F2" s="1542"/>
      <c r="G2" s="1543"/>
    </row>
    <row r="3" spans="1:7">
      <c r="A3" s="1544" t="s">
        <v>749</v>
      </c>
      <c r="B3" s="1545"/>
      <c r="C3" s="1545"/>
      <c r="D3" s="1545"/>
      <c r="E3" s="1545"/>
      <c r="F3" s="1545"/>
      <c r="G3" s="1546"/>
    </row>
    <row r="4" spans="1:7" ht="36.65" customHeight="1">
      <c r="A4" s="1109" t="s">
        <v>750</v>
      </c>
      <c r="B4" s="1032" t="s">
        <v>1</v>
      </c>
      <c r="C4" s="1032" t="s">
        <v>185</v>
      </c>
      <c r="D4" s="1033" t="s">
        <v>334</v>
      </c>
      <c r="E4" s="1032" t="s">
        <v>751</v>
      </c>
      <c r="F4" s="1032" t="s">
        <v>752</v>
      </c>
      <c r="G4" s="1110" t="s">
        <v>753</v>
      </c>
    </row>
    <row r="5" spans="1:7" ht="50.15" customHeight="1">
      <c r="A5" s="1547">
        <v>1</v>
      </c>
      <c r="B5" s="1550" t="s">
        <v>754</v>
      </c>
      <c r="C5" s="1551"/>
      <c r="D5" s="1551"/>
      <c r="E5" s="1551"/>
      <c r="F5" s="1551"/>
      <c r="G5" s="1552"/>
    </row>
    <row r="6" spans="1:7" ht="40.4" customHeight="1">
      <c r="A6" s="1548"/>
      <c r="B6" s="1553" t="s">
        <v>755</v>
      </c>
      <c r="C6" s="1554"/>
      <c r="D6" s="1554"/>
      <c r="E6" s="1554"/>
      <c r="F6" s="1555"/>
      <c r="G6" s="1556">
        <f>SUM(F7:F13)</f>
        <v>8874176.666666666</v>
      </c>
    </row>
    <row r="7" spans="1:7" ht="42" customHeight="1">
      <c r="A7" s="1548"/>
      <c r="B7" s="1034" t="s">
        <v>756</v>
      </c>
      <c r="C7" s="1035" t="s">
        <v>757</v>
      </c>
      <c r="D7" s="1035">
        <v>1</v>
      </c>
      <c r="E7" s="1036">
        <v>142350</v>
      </c>
      <c r="F7" s="1037">
        <f>D7*E7</f>
        <v>142350</v>
      </c>
      <c r="G7" s="1557"/>
    </row>
    <row r="8" spans="1:7" ht="35.15" customHeight="1">
      <c r="A8" s="1548"/>
      <c r="B8" s="1038" t="s">
        <v>758</v>
      </c>
      <c r="C8" s="1039" t="s">
        <v>757</v>
      </c>
      <c r="D8" s="1040">
        <v>1</v>
      </c>
      <c r="E8" s="1041">
        <v>142350</v>
      </c>
      <c r="F8" s="1041">
        <f>E8*D8</f>
        <v>142350</v>
      </c>
      <c r="G8" s="1557"/>
    </row>
    <row r="9" spans="1:7" ht="87">
      <c r="A9" s="1548"/>
      <c r="B9" s="1042" t="s">
        <v>759</v>
      </c>
      <c r="C9" s="1035" t="s">
        <v>760</v>
      </c>
      <c r="D9" s="1043">
        <v>30</v>
      </c>
      <c r="E9" s="1044">
        <v>10667</v>
      </c>
      <c r="F9" s="1044">
        <f>(D9*E9)</f>
        <v>320010</v>
      </c>
      <c r="G9" s="1557"/>
    </row>
    <row r="10" spans="1:7" ht="35.15" customHeight="1">
      <c r="A10" s="1548"/>
      <c r="B10" s="1042" t="s">
        <v>761</v>
      </c>
      <c r="C10" s="1035" t="s">
        <v>760</v>
      </c>
      <c r="D10" s="1043">
        <v>30</v>
      </c>
      <c r="E10" s="1036">
        <v>18000</v>
      </c>
      <c r="F10" s="1044">
        <f>D10*E10</f>
        <v>540000</v>
      </c>
      <c r="G10" s="1557"/>
    </row>
    <row r="11" spans="1:7" ht="42" customHeight="1">
      <c r="A11" s="1548"/>
      <c r="B11" s="1038" t="s">
        <v>762</v>
      </c>
      <c r="C11" s="1045" t="s">
        <v>763</v>
      </c>
      <c r="D11" s="1046">
        <v>18</v>
      </c>
      <c r="E11" s="1047">
        <f>'[290]APU_ESTUDIO DE MERCADO'!D41*3</f>
        <v>427050</v>
      </c>
      <c r="F11" s="1048">
        <f>D11*E11</f>
        <v>7686900</v>
      </c>
      <c r="G11" s="1557"/>
    </row>
    <row r="12" spans="1:7" ht="35.15" customHeight="1">
      <c r="A12" s="1548"/>
      <c r="B12" s="1038" t="s">
        <v>764</v>
      </c>
      <c r="C12" s="1035" t="s">
        <v>760</v>
      </c>
      <c r="D12" s="1046">
        <v>0</v>
      </c>
      <c r="E12" s="1047">
        <v>0</v>
      </c>
      <c r="F12" s="1047">
        <v>0</v>
      </c>
      <c r="G12" s="1557"/>
    </row>
    <row r="13" spans="1:7" ht="35.15" customHeight="1">
      <c r="A13" s="1549"/>
      <c r="B13" s="1049" t="s">
        <v>765</v>
      </c>
      <c r="C13" s="1035" t="s">
        <v>760</v>
      </c>
      <c r="D13" s="1043">
        <v>2</v>
      </c>
      <c r="E13" s="1044">
        <v>21283.333333333332</v>
      </c>
      <c r="F13" s="1044">
        <f>E13*D13</f>
        <v>42566.666666666664</v>
      </c>
      <c r="G13" s="1558"/>
    </row>
    <row r="14" spans="1:7" ht="40.4" customHeight="1">
      <c r="A14" s="1559">
        <v>2</v>
      </c>
      <c r="B14" s="1561" t="s">
        <v>766</v>
      </c>
      <c r="C14" s="1562"/>
      <c r="D14" s="1562"/>
      <c r="E14" s="1562"/>
      <c r="F14" s="1563"/>
      <c r="G14" s="1564">
        <f>F15+F16</f>
        <v>685053</v>
      </c>
    </row>
    <row r="15" spans="1:7" ht="42" customHeight="1">
      <c r="A15" s="1560"/>
      <c r="B15" s="1050" t="s">
        <v>767</v>
      </c>
      <c r="C15" s="1051" t="s">
        <v>760</v>
      </c>
      <c r="D15" s="1051">
        <v>9</v>
      </c>
      <c r="E15" s="1052">
        <f>E10+E9</f>
        <v>28667</v>
      </c>
      <c r="F15" s="1052">
        <f>D15*E15</f>
        <v>258003</v>
      </c>
      <c r="G15" s="1565"/>
    </row>
    <row r="16" spans="1:7" ht="49.4" customHeight="1">
      <c r="A16" s="1560"/>
      <c r="B16" s="1050" t="s">
        <v>768</v>
      </c>
      <c r="C16" s="1051" t="s">
        <v>760</v>
      </c>
      <c r="D16" s="1051">
        <v>9</v>
      </c>
      <c r="E16" s="1036">
        <f>E20/30</f>
        <v>47450</v>
      </c>
      <c r="F16" s="1037">
        <f>E16*D16</f>
        <v>427050</v>
      </c>
      <c r="G16" s="1565"/>
    </row>
    <row r="17" spans="1:7" ht="40.4" customHeight="1">
      <c r="A17" s="1566">
        <v>3</v>
      </c>
      <c r="B17" s="1568" t="s">
        <v>769</v>
      </c>
      <c r="C17" s="1568"/>
      <c r="D17" s="1568"/>
      <c r="E17" s="1568"/>
      <c r="F17" s="1553"/>
      <c r="G17" s="1564">
        <f>SUM(F19:F22)</f>
        <v>4937732</v>
      </c>
    </row>
    <row r="18" spans="1:7" ht="42" customHeight="1">
      <c r="A18" s="1567"/>
      <c r="B18" s="1034" t="s">
        <v>770</v>
      </c>
      <c r="C18" s="1035" t="s">
        <v>757</v>
      </c>
      <c r="D18" s="1035">
        <v>1</v>
      </c>
      <c r="E18" s="1036">
        <v>142350</v>
      </c>
      <c r="F18" s="1037">
        <f>D18*E18</f>
        <v>142350</v>
      </c>
      <c r="G18" s="1564"/>
    </row>
    <row r="19" spans="1:7" ht="35.15" customHeight="1">
      <c r="A19" s="1548"/>
      <c r="B19" s="1053" t="s">
        <v>771</v>
      </c>
      <c r="C19" s="1054" t="s">
        <v>760</v>
      </c>
      <c r="D19" s="1055">
        <v>196</v>
      </c>
      <c r="E19" s="1036">
        <v>10667</v>
      </c>
      <c r="F19" s="1056">
        <f>D19*E19</f>
        <v>2090732</v>
      </c>
      <c r="G19" s="1564"/>
    </row>
    <row r="20" spans="1:7" ht="35.15" customHeight="1">
      <c r="A20" s="1548"/>
      <c r="B20" s="1038" t="s">
        <v>772</v>
      </c>
      <c r="C20" s="1035" t="s">
        <v>773</v>
      </c>
      <c r="D20" s="1046">
        <v>1</v>
      </c>
      <c r="E20" s="1057">
        <v>1423500</v>
      </c>
      <c r="F20" s="1047">
        <f>E20*(D20*1)</f>
        <v>1423500</v>
      </c>
      <c r="G20" s="1564"/>
    </row>
    <row r="21" spans="1:7" ht="42" customHeight="1">
      <c r="A21" s="1548"/>
      <c r="B21" s="1038" t="s">
        <v>774</v>
      </c>
      <c r="C21" s="1054" t="s">
        <v>760</v>
      </c>
      <c r="D21" s="1046">
        <v>10</v>
      </c>
      <c r="E21" s="1036">
        <v>142350</v>
      </c>
      <c r="F21" s="1058">
        <f>E21*D21</f>
        <v>1423500</v>
      </c>
      <c r="G21" s="1556"/>
    </row>
    <row r="22" spans="1:7" ht="43.5">
      <c r="A22" s="1548"/>
      <c r="B22" s="1059" t="s">
        <v>775</v>
      </c>
      <c r="C22" s="1045" t="s">
        <v>776</v>
      </c>
      <c r="D22" s="1046">
        <v>0</v>
      </c>
      <c r="E22" s="1047">
        <v>0</v>
      </c>
      <c r="F22" s="1058">
        <f>D22*E22</f>
        <v>0</v>
      </c>
      <c r="G22" s="1556"/>
    </row>
    <row r="23" spans="1:7" ht="40.4" customHeight="1">
      <c r="A23" s="1569">
        <v>4</v>
      </c>
      <c r="B23" s="1571" t="s">
        <v>777</v>
      </c>
      <c r="C23" s="1571"/>
      <c r="D23" s="1571"/>
      <c r="E23" s="1571"/>
      <c r="F23" s="1571"/>
      <c r="G23" s="1572">
        <f>SUM(F23:F31)</f>
        <v>12058806</v>
      </c>
    </row>
    <row r="24" spans="1:7" ht="40.4" customHeight="1">
      <c r="A24" s="1560"/>
      <c r="B24" s="1034" t="s">
        <v>778</v>
      </c>
      <c r="C24" s="1039" t="s">
        <v>757</v>
      </c>
      <c r="D24" s="1039">
        <v>1</v>
      </c>
      <c r="E24" s="1041">
        <v>142350</v>
      </c>
      <c r="F24" s="1060">
        <f>D24*E24</f>
        <v>142350</v>
      </c>
      <c r="G24" s="1572"/>
    </row>
    <row r="25" spans="1:7" ht="35.15" customHeight="1">
      <c r="A25" s="1560"/>
      <c r="B25" s="1061" t="s">
        <v>779</v>
      </c>
      <c r="C25" s="1039" t="s">
        <v>757</v>
      </c>
      <c r="D25" s="1040">
        <v>1</v>
      </c>
      <c r="E25" s="1041">
        <v>142350</v>
      </c>
      <c r="F25" s="1041">
        <f>E25*(D25*2)</f>
        <v>284700</v>
      </c>
      <c r="G25" s="1572"/>
    </row>
    <row r="26" spans="1:7" ht="54" customHeight="1">
      <c r="A26" s="1560"/>
      <c r="B26" s="1062" t="s">
        <v>780</v>
      </c>
      <c r="C26" s="1039" t="s">
        <v>760</v>
      </c>
      <c r="D26" s="1040">
        <v>206</v>
      </c>
      <c r="E26" s="1044">
        <v>10667</v>
      </c>
      <c r="F26" s="1063">
        <f>(D26*E26)</f>
        <v>2197402</v>
      </c>
      <c r="G26" s="1572"/>
    </row>
    <row r="27" spans="1:7" ht="35.15" customHeight="1">
      <c r="A27" s="1560"/>
      <c r="B27" s="1064" t="s">
        <v>781</v>
      </c>
      <c r="C27" s="1039" t="s">
        <v>760</v>
      </c>
      <c r="D27" s="1040">
        <v>206</v>
      </c>
      <c r="E27" s="1041">
        <v>18000</v>
      </c>
      <c r="F27" s="1063">
        <f>D27*E27</f>
        <v>3708000</v>
      </c>
      <c r="G27" s="1572"/>
    </row>
    <row r="28" spans="1:7" ht="62.15" customHeight="1">
      <c r="A28" s="1560"/>
      <c r="B28" s="1064" t="s">
        <v>782</v>
      </c>
      <c r="C28" s="1039" t="s">
        <v>783</v>
      </c>
      <c r="D28" s="1040">
        <v>88</v>
      </c>
      <c r="E28" s="1041">
        <f>E20/30</f>
        <v>47450</v>
      </c>
      <c r="F28" s="1063">
        <f>D28*E28</f>
        <v>4175600</v>
      </c>
      <c r="G28" s="1572"/>
    </row>
    <row r="29" spans="1:7" ht="35.15" customHeight="1">
      <c r="A29" s="1560"/>
      <c r="B29" s="1064" t="s">
        <v>784</v>
      </c>
      <c r="C29" s="1039" t="s">
        <v>760</v>
      </c>
      <c r="D29" s="1040">
        <v>1</v>
      </c>
      <c r="E29" s="1041">
        <v>127254</v>
      </c>
      <c r="F29" s="1041">
        <f>E29*D29</f>
        <v>127254</v>
      </c>
      <c r="G29" s="1572"/>
    </row>
    <row r="30" spans="1:7" ht="42" customHeight="1">
      <c r="A30" s="1560"/>
      <c r="B30" s="1038" t="s">
        <v>774</v>
      </c>
      <c r="C30" s="1054" t="s">
        <v>760</v>
      </c>
      <c r="D30" s="1046">
        <v>10</v>
      </c>
      <c r="E30" s="1036">
        <v>142350</v>
      </c>
      <c r="F30" s="1058">
        <f>E30*D30</f>
        <v>1423500</v>
      </c>
      <c r="G30" s="1572"/>
    </row>
    <row r="31" spans="1:7" ht="70.400000000000006" customHeight="1">
      <c r="A31" s="1570"/>
      <c r="B31" s="1061" t="s">
        <v>785</v>
      </c>
      <c r="C31" s="1039" t="s">
        <v>776</v>
      </c>
      <c r="D31" s="1040">
        <v>0</v>
      </c>
      <c r="E31" s="1063">
        <v>0</v>
      </c>
      <c r="F31" s="1063">
        <f>D31*E31</f>
        <v>0</v>
      </c>
      <c r="G31" s="1572"/>
    </row>
    <row r="32" spans="1:7" ht="50.15" customHeight="1">
      <c r="A32" s="1566"/>
      <c r="B32" s="1573" t="s">
        <v>786</v>
      </c>
      <c r="C32" s="1574"/>
      <c r="D32" s="1574"/>
      <c r="E32" s="1574"/>
      <c r="F32" s="1574"/>
      <c r="G32" s="1572">
        <f>SUM(F33:F49)</f>
        <v>26555511</v>
      </c>
    </row>
    <row r="33" spans="1:7" ht="72.5">
      <c r="A33" s="1567"/>
      <c r="B33" s="1053" t="s">
        <v>787</v>
      </c>
      <c r="C33" s="1051" t="s">
        <v>757</v>
      </c>
      <c r="D33" s="1051">
        <v>3</v>
      </c>
      <c r="E33" s="1036">
        <v>142350</v>
      </c>
      <c r="F33" s="1065">
        <f>D33*E33</f>
        <v>427050</v>
      </c>
      <c r="G33" s="1572"/>
    </row>
    <row r="34" spans="1:7" ht="42" customHeight="1">
      <c r="A34" s="1567"/>
      <c r="B34" s="1061" t="s">
        <v>788</v>
      </c>
      <c r="C34" s="1035" t="s">
        <v>773</v>
      </c>
      <c r="D34" s="1046">
        <v>1</v>
      </c>
      <c r="E34" s="1066">
        <v>1423500</v>
      </c>
      <c r="F34" s="1058">
        <f>E34*(D34*2)</f>
        <v>2847000</v>
      </c>
      <c r="G34" s="1572"/>
    </row>
    <row r="35" spans="1:7" ht="54" customHeight="1">
      <c r="A35" s="1567"/>
      <c r="B35" s="1061" t="s">
        <v>789</v>
      </c>
      <c r="C35" s="1039" t="s">
        <v>776</v>
      </c>
      <c r="D35" s="1040">
        <v>0</v>
      </c>
      <c r="E35" s="1063">
        <v>0</v>
      </c>
      <c r="F35" s="1067">
        <f>D35*E35</f>
        <v>0</v>
      </c>
      <c r="G35" s="1572"/>
    </row>
    <row r="36" spans="1:7" ht="42" customHeight="1">
      <c r="A36" s="1567"/>
      <c r="B36" s="1038" t="s">
        <v>774</v>
      </c>
      <c r="C36" s="1035" t="s">
        <v>773</v>
      </c>
      <c r="D36" s="1046">
        <v>1</v>
      </c>
      <c r="E36" s="1066">
        <v>1423500</v>
      </c>
      <c r="F36" s="1058">
        <f>E36*(D36*8)</f>
        <v>11388000</v>
      </c>
      <c r="G36" s="1572"/>
    </row>
    <row r="37" spans="1:7" ht="64.400000000000006" customHeight="1">
      <c r="A37" s="1567"/>
      <c r="B37" s="1064" t="s">
        <v>790</v>
      </c>
      <c r="C37" s="1039" t="s">
        <v>776</v>
      </c>
      <c r="D37" s="1040">
        <v>0</v>
      </c>
      <c r="E37" s="1063">
        <v>0</v>
      </c>
      <c r="F37" s="1067">
        <f>D37*E37</f>
        <v>0</v>
      </c>
      <c r="G37" s="1572"/>
    </row>
    <row r="38" spans="1:7" ht="40.4" customHeight="1">
      <c r="A38" s="1575">
        <v>1</v>
      </c>
      <c r="B38" s="1571" t="s">
        <v>791</v>
      </c>
      <c r="C38" s="1571"/>
      <c r="D38" s="1571"/>
      <c r="E38" s="1571"/>
      <c r="F38" s="1571"/>
      <c r="G38" s="1576">
        <f>SUM(F40:F49)</f>
        <v>11893461</v>
      </c>
    </row>
    <row r="39" spans="1:7" ht="38.15" customHeight="1">
      <c r="A39" s="1575"/>
      <c r="B39" s="1579" t="s">
        <v>792</v>
      </c>
      <c r="C39" s="1579"/>
      <c r="D39" s="1579"/>
      <c r="E39" s="1579"/>
      <c r="F39" s="1579"/>
      <c r="G39" s="1577"/>
    </row>
    <row r="40" spans="1:7" ht="35.15" customHeight="1">
      <c r="A40" s="1575"/>
      <c r="B40" s="1064" t="s">
        <v>793</v>
      </c>
      <c r="C40" s="1054" t="s">
        <v>794</v>
      </c>
      <c r="D40" s="1068">
        <v>60</v>
      </c>
      <c r="E40" s="1044">
        <v>10667</v>
      </c>
      <c r="F40" s="1069">
        <f>E40*(D40*2)</f>
        <v>1280040</v>
      </c>
      <c r="G40" s="1577"/>
    </row>
    <row r="41" spans="1:7" ht="35.15" customHeight="1">
      <c r="A41" s="1575"/>
      <c r="B41" s="1064" t="s">
        <v>795</v>
      </c>
      <c r="C41" s="1039" t="s">
        <v>760</v>
      </c>
      <c r="D41" s="1040">
        <v>1</v>
      </c>
      <c r="E41" s="1063">
        <v>38845</v>
      </c>
      <c r="F41" s="1063">
        <f>E41*D41</f>
        <v>38845</v>
      </c>
      <c r="G41" s="1577"/>
    </row>
    <row r="42" spans="1:7" ht="35.15" customHeight="1">
      <c r="A42" s="1575"/>
      <c r="B42" s="1064" t="s">
        <v>796</v>
      </c>
      <c r="C42" s="1039" t="s">
        <v>760</v>
      </c>
      <c r="D42" s="1068">
        <v>60</v>
      </c>
      <c r="E42" s="1041">
        <v>18000</v>
      </c>
      <c r="F42" s="1070">
        <f>D42*E42</f>
        <v>1080000</v>
      </c>
      <c r="G42" s="1577"/>
    </row>
    <row r="43" spans="1:7" ht="38.15" customHeight="1">
      <c r="A43" s="1575"/>
      <c r="B43" s="1580" t="s">
        <v>797</v>
      </c>
      <c r="C43" s="1581"/>
      <c r="D43" s="1581"/>
      <c r="E43" s="1581"/>
      <c r="F43" s="1582"/>
      <c r="G43" s="1577"/>
    </row>
    <row r="44" spans="1:7" ht="35.15" customHeight="1">
      <c r="A44" s="1575"/>
      <c r="B44" s="1064" t="s">
        <v>798</v>
      </c>
      <c r="C44" s="1035" t="s">
        <v>794</v>
      </c>
      <c r="D44" s="1043">
        <v>45</v>
      </c>
      <c r="E44" s="1044">
        <v>10667</v>
      </c>
      <c r="F44" s="1044">
        <f>D44*(E44*2)</f>
        <v>960030</v>
      </c>
      <c r="G44" s="1577"/>
    </row>
    <row r="45" spans="1:7" ht="35.15" customHeight="1">
      <c r="A45" s="1575"/>
      <c r="B45" s="1064" t="s">
        <v>799</v>
      </c>
      <c r="C45" s="1035" t="s">
        <v>794</v>
      </c>
      <c r="D45" s="1040">
        <v>1</v>
      </c>
      <c r="E45" s="1063">
        <v>128823</v>
      </c>
      <c r="F45" s="1044">
        <f>D45*E45</f>
        <v>128823</v>
      </c>
      <c r="G45" s="1577"/>
    </row>
    <row r="46" spans="1:7" ht="35.15" customHeight="1">
      <c r="A46" s="1575"/>
      <c r="B46" s="1071" t="s">
        <v>796</v>
      </c>
      <c r="C46" s="1045" t="s">
        <v>794</v>
      </c>
      <c r="D46" s="1046">
        <v>45</v>
      </c>
      <c r="E46" s="1072">
        <v>18000</v>
      </c>
      <c r="F46" s="1048">
        <f>D46*E46</f>
        <v>810000</v>
      </c>
      <c r="G46" s="1577"/>
    </row>
    <row r="47" spans="1:7" ht="38.15" customHeight="1">
      <c r="A47" s="1575"/>
      <c r="B47" s="1579" t="s">
        <v>800</v>
      </c>
      <c r="C47" s="1579"/>
      <c r="D47" s="1579"/>
      <c r="E47" s="1579"/>
      <c r="F47" s="1579"/>
      <c r="G47" s="1577"/>
    </row>
    <row r="48" spans="1:7" ht="35.15" customHeight="1">
      <c r="A48" s="1575"/>
      <c r="B48" s="1073" t="s">
        <v>801</v>
      </c>
      <c r="C48" s="1054" t="s">
        <v>794</v>
      </c>
      <c r="D48" s="1074">
        <v>70</v>
      </c>
      <c r="E48" s="1044">
        <v>10667</v>
      </c>
      <c r="F48" s="1075">
        <f>E48*(D48*10)</f>
        <v>7466900</v>
      </c>
      <c r="G48" s="1577"/>
    </row>
    <row r="49" spans="1:7" ht="35.15" customHeight="1">
      <c r="A49" s="1575"/>
      <c r="B49" s="1064" t="s">
        <v>802</v>
      </c>
      <c r="C49" s="1039" t="s">
        <v>760</v>
      </c>
      <c r="D49" s="1040">
        <v>1</v>
      </c>
      <c r="E49" s="1063">
        <v>128823</v>
      </c>
      <c r="F49" s="1063">
        <f>E49*D49</f>
        <v>128823</v>
      </c>
      <c r="G49" s="1578"/>
    </row>
    <row r="50" spans="1:7" ht="45" customHeight="1">
      <c r="A50" s="1585"/>
      <c r="B50" s="1587">
        <v>70</v>
      </c>
      <c r="C50" s="1588"/>
      <c r="D50" s="1588"/>
      <c r="E50" s="1588"/>
      <c r="F50" s="1589"/>
      <c r="G50" s="1590">
        <f>SUM(F51:F54)</f>
        <v>28325491</v>
      </c>
    </row>
    <row r="51" spans="1:7" ht="42" customHeight="1">
      <c r="A51" s="1586"/>
      <c r="B51" s="1064" t="s">
        <v>803</v>
      </c>
      <c r="C51" s="1039" t="s">
        <v>794</v>
      </c>
      <c r="D51" s="1040">
        <v>98</v>
      </c>
      <c r="E51" s="1044">
        <v>10667</v>
      </c>
      <c r="F51" s="1063">
        <f>E51*(D51*10)</f>
        <v>10453660</v>
      </c>
      <c r="G51" s="1577"/>
    </row>
    <row r="52" spans="1:7" ht="35.15" customHeight="1">
      <c r="A52" s="1586"/>
      <c r="B52" s="1064" t="s">
        <v>804</v>
      </c>
      <c r="C52" s="1039" t="s">
        <v>794</v>
      </c>
      <c r="D52" s="1040">
        <v>1</v>
      </c>
      <c r="E52" s="1063">
        <v>128823</v>
      </c>
      <c r="F52" s="1044">
        <f>D52*E52</f>
        <v>128823</v>
      </c>
      <c r="G52" s="1577"/>
    </row>
    <row r="53" spans="1:7" ht="35.15" customHeight="1">
      <c r="A53" s="1586"/>
      <c r="B53" s="1076" t="s">
        <v>805</v>
      </c>
      <c r="C53" s="1035" t="s">
        <v>794</v>
      </c>
      <c r="D53" s="1046">
        <v>98</v>
      </c>
      <c r="E53" s="1048">
        <v>93296</v>
      </c>
      <c r="F53" s="1048">
        <f>D53*E53</f>
        <v>9143008</v>
      </c>
      <c r="G53" s="1577"/>
    </row>
    <row r="54" spans="1:7" ht="35.15" customHeight="1">
      <c r="A54" s="1586"/>
      <c r="B54" s="1064" t="s">
        <v>806</v>
      </c>
      <c r="C54" s="1035" t="s">
        <v>794</v>
      </c>
      <c r="D54" s="1040">
        <v>1</v>
      </c>
      <c r="E54" s="1063">
        <v>8600000</v>
      </c>
      <c r="F54" s="1044">
        <f>D54*E54</f>
        <v>8600000</v>
      </c>
      <c r="G54" s="1577"/>
    </row>
    <row r="55" spans="1:7" ht="40.4" customHeight="1">
      <c r="A55" s="1585"/>
      <c r="B55" s="1587" t="s">
        <v>807</v>
      </c>
      <c r="C55" s="1588"/>
      <c r="D55" s="1588"/>
      <c r="E55" s="1588"/>
      <c r="F55" s="1588"/>
      <c r="G55" s="1572">
        <f>SUM(F57:F69)</f>
        <v>1424662</v>
      </c>
    </row>
    <row r="56" spans="1:7" ht="38.15" customHeight="1">
      <c r="A56" s="1586"/>
      <c r="B56" s="1591" t="s">
        <v>808</v>
      </c>
      <c r="C56" s="1592"/>
      <c r="D56" s="1592"/>
      <c r="E56" s="1592"/>
      <c r="F56" s="1592"/>
      <c r="G56" s="1572"/>
    </row>
    <row r="57" spans="1:7" ht="35.15" customHeight="1">
      <c r="A57" s="1586"/>
      <c r="B57" s="1064" t="s">
        <v>809</v>
      </c>
      <c r="C57" s="1039" t="s">
        <v>794</v>
      </c>
      <c r="D57" s="1040">
        <v>24</v>
      </c>
      <c r="E57" s="1063">
        <v>10667</v>
      </c>
      <c r="F57" s="1067">
        <f>D57*E57</f>
        <v>256008</v>
      </c>
      <c r="G57" s="1572"/>
    </row>
    <row r="58" spans="1:7" ht="42" customHeight="1">
      <c r="A58" s="1586"/>
      <c r="B58" s="1061" t="s">
        <v>810</v>
      </c>
      <c r="C58" s="1039" t="s">
        <v>760</v>
      </c>
      <c r="D58" s="1040">
        <v>1</v>
      </c>
      <c r="E58" s="1041">
        <v>128823</v>
      </c>
      <c r="F58" s="1077">
        <f>E58*D58</f>
        <v>128823</v>
      </c>
      <c r="G58" s="1572"/>
    </row>
    <row r="59" spans="1:7" ht="35.15" customHeight="1">
      <c r="A59" s="1586"/>
      <c r="B59" s="1061" t="s">
        <v>811</v>
      </c>
      <c r="C59" s="1078" t="s">
        <v>794</v>
      </c>
      <c r="D59" s="1078">
        <v>1</v>
      </c>
      <c r="E59" s="1041">
        <v>50000</v>
      </c>
      <c r="F59" s="1077">
        <v>50000</v>
      </c>
      <c r="G59" s="1572"/>
    </row>
    <row r="60" spans="1:7" ht="42" customHeight="1">
      <c r="A60" s="1586"/>
      <c r="B60" s="1061" t="s">
        <v>812</v>
      </c>
      <c r="C60" s="1078" t="s">
        <v>794</v>
      </c>
      <c r="D60" s="1078">
        <v>1</v>
      </c>
      <c r="E60" s="1041">
        <v>50000</v>
      </c>
      <c r="F60" s="1077">
        <v>50000</v>
      </c>
      <c r="G60" s="1572"/>
    </row>
    <row r="61" spans="1:7" ht="35.15" customHeight="1">
      <c r="A61" s="1586"/>
      <c r="B61" s="1079" t="s">
        <v>813</v>
      </c>
      <c r="C61" s="1078" t="s">
        <v>794</v>
      </c>
      <c r="D61" s="1078">
        <v>1</v>
      </c>
      <c r="E61" s="1063">
        <v>45000</v>
      </c>
      <c r="F61" s="1067">
        <v>45000</v>
      </c>
      <c r="G61" s="1572"/>
    </row>
    <row r="62" spans="1:7" ht="35.15" customHeight="1">
      <c r="A62" s="1586"/>
      <c r="B62" s="1061" t="s">
        <v>814</v>
      </c>
      <c r="C62" s="1078" t="s">
        <v>794</v>
      </c>
      <c r="D62" s="1078">
        <v>3</v>
      </c>
      <c r="E62" s="1041">
        <v>100000</v>
      </c>
      <c r="F62" s="1077">
        <f>D62*E62</f>
        <v>300000</v>
      </c>
      <c r="G62" s="1572"/>
    </row>
    <row r="63" spans="1:7" ht="35.15" customHeight="1">
      <c r="A63" s="1586"/>
      <c r="B63" s="1061" t="s">
        <v>815</v>
      </c>
      <c r="C63" s="1078" t="s">
        <v>794</v>
      </c>
      <c r="D63" s="1078">
        <v>1</v>
      </c>
      <c r="E63" s="1041">
        <v>60000</v>
      </c>
      <c r="F63" s="1077">
        <v>60000</v>
      </c>
      <c r="G63" s="1572"/>
    </row>
    <row r="64" spans="1:7" ht="35.15" customHeight="1">
      <c r="A64" s="1586"/>
      <c r="B64" s="1061" t="s">
        <v>816</v>
      </c>
      <c r="C64" s="1078" t="s">
        <v>794</v>
      </c>
      <c r="D64" s="1078">
        <v>1</v>
      </c>
      <c r="E64" s="1041">
        <v>60000</v>
      </c>
      <c r="F64" s="1077">
        <v>60000</v>
      </c>
      <c r="G64" s="1572"/>
    </row>
    <row r="65" spans="1:7" ht="38.15" customHeight="1">
      <c r="A65" s="1586"/>
      <c r="B65" s="1591" t="s">
        <v>817</v>
      </c>
      <c r="C65" s="1592"/>
      <c r="D65" s="1592"/>
      <c r="E65" s="1592"/>
      <c r="F65" s="1592"/>
      <c r="G65" s="1572"/>
    </row>
    <row r="66" spans="1:7" ht="35.15" customHeight="1">
      <c r="A66" s="1586"/>
      <c r="B66" s="1064" t="s">
        <v>809</v>
      </c>
      <c r="C66" s="1035" t="s">
        <v>794</v>
      </c>
      <c r="D66" s="1043">
        <v>24</v>
      </c>
      <c r="E66" s="1044">
        <v>10667</v>
      </c>
      <c r="F66" s="1080">
        <f>D66*E66</f>
        <v>256008</v>
      </c>
      <c r="G66" s="1572"/>
    </row>
    <row r="67" spans="1:7" ht="35.15" customHeight="1">
      <c r="A67" s="1586"/>
      <c r="B67" s="1064" t="s">
        <v>818</v>
      </c>
      <c r="C67" s="1035" t="s">
        <v>794</v>
      </c>
      <c r="D67" s="1040">
        <v>1</v>
      </c>
      <c r="E67" s="1041">
        <v>128823</v>
      </c>
      <c r="F67" s="1077">
        <f>E67*D67</f>
        <v>128823</v>
      </c>
      <c r="G67" s="1572"/>
    </row>
    <row r="68" spans="1:7" ht="35.15" customHeight="1">
      <c r="A68" s="1586"/>
      <c r="B68" s="1061" t="s">
        <v>819</v>
      </c>
      <c r="C68" s="1078" t="s">
        <v>794</v>
      </c>
      <c r="D68" s="1078">
        <v>1</v>
      </c>
      <c r="E68" s="1072">
        <v>60000</v>
      </c>
      <c r="F68" s="1081">
        <v>60000</v>
      </c>
      <c r="G68" s="1572"/>
    </row>
    <row r="69" spans="1:7" ht="35.15" customHeight="1">
      <c r="A69" s="1586"/>
      <c r="B69" s="1061" t="s">
        <v>820</v>
      </c>
      <c r="C69" s="1078" t="s">
        <v>794</v>
      </c>
      <c r="D69" s="1078">
        <v>1</v>
      </c>
      <c r="E69" s="1072">
        <v>30000</v>
      </c>
      <c r="F69" s="1081">
        <v>30000</v>
      </c>
      <c r="G69" s="1572"/>
    </row>
    <row r="70" spans="1:7" ht="39.75" customHeight="1">
      <c r="A70" s="1111"/>
      <c r="B70" s="1112"/>
      <c r="C70" s="1112"/>
      <c r="D70" s="1112"/>
      <c r="E70" s="1583" t="s">
        <v>682</v>
      </c>
      <c r="F70" s="1584"/>
      <c r="G70" s="1113">
        <f>ROUND((SUM(G6:G69)),0)</f>
        <v>94754893</v>
      </c>
    </row>
  </sheetData>
  <mergeCells count="34">
    <mergeCell ref="E70:F70"/>
    <mergeCell ref="A50:A54"/>
    <mergeCell ref="B50:F50"/>
    <mergeCell ref="G50:G54"/>
    <mergeCell ref="A55:A69"/>
    <mergeCell ref="B55:F55"/>
    <mergeCell ref="G55:G69"/>
    <mergeCell ref="B56:F56"/>
    <mergeCell ref="B65:F65"/>
    <mergeCell ref="A38:A49"/>
    <mergeCell ref="B38:F38"/>
    <mergeCell ref="G38:G49"/>
    <mergeCell ref="B39:F39"/>
    <mergeCell ref="B43:F43"/>
    <mergeCell ref="B47:F47"/>
    <mergeCell ref="A23:A31"/>
    <mergeCell ref="B23:F23"/>
    <mergeCell ref="G23:G31"/>
    <mergeCell ref="A32:A37"/>
    <mergeCell ref="B32:F32"/>
    <mergeCell ref="G32:G37"/>
    <mergeCell ref="A14:A16"/>
    <mergeCell ref="B14:F14"/>
    <mergeCell ref="G14:G16"/>
    <mergeCell ref="A17:A22"/>
    <mergeCell ref="B17:F17"/>
    <mergeCell ref="G17:G22"/>
    <mergeCell ref="A1:G1"/>
    <mergeCell ref="A2:G2"/>
    <mergeCell ref="A3:G3"/>
    <mergeCell ref="A5:A13"/>
    <mergeCell ref="B5:G5"/>
    <mergeCell ref="B6:F6"/>
    <mergeCell ref="G6:G13"/>
  </mergeCells>
  <pageMargins left="0.7" right="0.7" top="0.75" bottom="0.75" header="0.3" footer="0.3"/>
  <pageSetup scale="4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10F85-E552-422F-96EA-3E438CAF6B25}">
  <dimension ref="A1:G11"/>
  <sheetViews>
    <sheetView view="pageBreakPreview" zoomScaleNormal="120" zoomScaleSheetLayoutView="100" workbookViewId="0">
      <selection sqref="A1:P1"/>
    </sheetView>
  </sheetViews>
  <sheetFormatPr baseColWidth="10" defaultColWidth="11.54296875" defaultRowHeight="12.5"/>
  <cols>
    <col min="1" max="1" width="6.453125" style="790" customWidth="1"/>
    <col min="2" max="2" width="26.453125" style="790" customWidth="1"/>
    <col min="3" max="3" width="9" style="790" customWidth="1"/>
    <col min="4" max="4" width="15" style="790" customWidth="1"/>
    <col min="5" max="5" width="10" style="790" customWidth="1"/>
    <col min="6" max="6" width="15.54296875" style="790" customWidth="1"/>
    <col min="7" max="16384" width="11.54296875" style="790"/>
  </cols>
  <sheetData>
    <row r="1" spans="1:7" ht="39.65" customHeight="1">
      <c r="A1" s="1593" t="str">
        <f>+'PRES GENERAL MR(OXI)'!A1</f>
        <v>IMPLEMENTACIÓN DE SOLUCIONES ENERGÉTICAS CON FUENTES NO CONVENCIONALES DE ENERGÍA PARA USUARIOS EN ZONAS RURALES DEL MUNICIPIO DE TEORAMA EN EL DEPARTAMENTO DE NORTE DE SANTANDER</v>
      </c>
      <c r="B1" s="1593"/>
      <c r="C1" s="1593"/>
      <c r="D1" s="1593"/>
      <c r="E1" s="1593"/>
      <c r="F1" s="1593"/>
    </row>
    <row r="3" spans="1:7" ht="13">
      <c r="A3" s="1594" t="s">
        <v>821</v>
      </c>
      <c r="B3" s="1594"/>
      <c r="C3" s="1594"/>
      <c r="D3" s="1594"/>
      <c r="E3" s="1594"/>
      <c r="F3" s="1594"/>
    </row>
    <row r="4" spans="1:7" ht="26">
      <c r="A4" s="841" t="s">
        <v>584</v>
      </c>
      <c r="B4" s="841" t="s">
        <v>517</v>
      </c>
      <c r="C4" s="841" t="s">
        <v>259</v>
      </c>
      <c r="D4" s="841" t="s">
        <v>822</v>
      </c>
      <c r="E4" s="842" t="s">
        <v>823</v>
      </c>
      <c r="F4" s="841" t="s">
        <v>824</v>
      </c>
    </row>
    <row r="5" spans="1:7">
      <c r="A5" s="843">
        <v>1</v>
      </c>
      <c r="B5" s="844" t="s">
        <v>825</v>
      </c>
      <c r="C5" s="843" t="s">
        <v>826</v>
      </c>
      <c r="D5" s="845">
        <f>3*1423500</f>
        <v>4270500</v>
      </c>
      <c r="E5" s="846">
        <v>12</v>
      </c>
      <c r="F5" s="847">
        <f>D5*E5</f>
        <v>51246000</v>
      </c>
    </row>
    <row r="6" spans="1:7">
      <c r="A6" s="843">
        <v>2</v>
      </c>
      <c r="B6" s="844" t="s">
        <v>827</v>
      </c>
      <c r="C6" s="843" t="s">
        <v>826</v>
      </c>
      <c r="D6" s="845">
        <f>ROUND(D5*1.0835,0)</f>
        <v>4627087</v>
      </c>
      <c r="E6" s="846">
        <v>8</v>
      </c>
      <c r="F6" s="847">
        <f>D6*E6</f>
        <v>37016696</v>
      </c>
    </row>
    <row r="7" spans="1:7" ht="13">
      <c r="A7" s="844"/>
      <c r="B7" s="1595" t="s">
        <v>828</v>
      </c>
      <c r="C7" s="1595"/>
      <c r="D7" s="1595"/>
      <c r="E7" s="1595"/>
      <c r="F7" s="848">
        <f>ROUND(19%*SUM(F5:F6),0)</f>
        <v>16769912</v>
      </c>
    </row>
    <row r="8" spans="1:7" ht="13">
      <c r="A8" s="844"/>
      <c r="B8" s="1595" t="s">
        <v>829</v>
      </c>
      <c r="C8" s="1595"/>
      <c r="D8" s="1595"/>
      <c r="E8" s="1595"/>
      <c r="F8" s="849">
        <f>SUM(F5:F7)</f>
        <v>105032608</v>
      </c>
      <c r="G8" s="850" t="e">
        <f>+F8/'PRES GENERAL MR(OXI)'!P44</f>
        <v>#DIV/0!</v>
      </c>
    </row>
    <row r="9" spans="1:7" ht="59.5" customHeight="1">
      <c r="A9" s="840"/>
      <c r="B9" s="840"/>
    </row>
    <row r="10" spans="1:7" ht="14">
      <c r="A10" s="840" t="s">
        <v>830</v>
      </c>
      <c r="B10" s="840" t="s">
        <v>831</v>
      </c>
    </row>
    <row r="11" spans="1:7" ht="14">
      <c r="A11" s="840"/>
      <c r="B11" s="840" t="s">
        <v>832</v>
      </c>
    </row>
  </sheetData>
  <mergeCells count="4">
    <mergeCell ref="A1:F1"/>
    <mergeCell ref="A3:F3"/>
    <mergeCell ref="B7:E7"/>
    <mergeCell ref="B8:E8"/>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11310-1E7D-4DA7-BF60-3773C6099339}">
  <sheetPr>
    <pageSetUpPr fitToPage="1"/>
  </sheetPr>
  <dimension ref="A1:M49"/>
  <sheetViews>
    <sheetView view="pageBreakPreview" topLeftCell="A9" zoomScale="70" zoomScaleNormal="90" zoomScaleSheetLayoutView="70" workbookViewId="0">
      <selection sqref="A1:P1"/>
    </sheetView>
  </sheetViews>
  <sheetFormatPr baseColWidth="10" defaultColWidth="11.54296875" defaultRowHeight="12.5"/>
  <cols>
    <col min="1" max="1" width="5.54296875" style="790" customWidth="1"/>
    <col min="2" max="2" width="45.54296875" style="790" customWidth="1"/>
    <col min="3" max="3" width="16.54296875" style="790" customWidth="1"/>
    <col min="4" max="4" width="13.81640625" style="790" customWidth="1"/>
    <col min="5" max="5" width="13.54296875" style="790" customWidth="1"/>
    <col min="6" max="6" width="15.81640625" style="790" customWidth="1"/>
    <col min="7" max="7" width="17.54296875" style="790" customWidth="1"/>
    <col min="8" max="8" width="16" style="790" customWidth="1"/>
    <col min="9" max="9" width="17.1796875" style="790" customWidth="1"/>
    <col min="10" max="10" width="16.81640625" style="790" customWidth="1"/>
    <col min="11" max="11" width="15.453125" style="790" customWidth="1"/>
    <col min="12" max="12" width="11.54296875" style="790"/>
    <col min="13" max="13" width="20.54296875" style="790" customWidth="1"/>
    <col min="14" max="16384" width="11.54296875" style="790"/>
  </cols>
  <sheetData>
    <row r="1" spans="1:12" ht="52.4" customHeight="1" thickBot="1">
      <c r="A1" s="1600" t="str">
        <f>+'PRES GENERAL MR(OXI)'!A1</f>
        <v>IMPLEMENTACIÓN DE SOLUCIONES ENERGÉTICAS CON FUENTES NO CONVENCIONALES DE ENERGÍA PARA USUARIOS EN ZONAS RURALES DEL MUNICIPIO DE TEORAMA EN EL DEPARTAMENTO DE NORTE DE SANTANDER</v>
      </c>
      <c r="B1" s="1601"/>
      <c r="C1" s="1601"/>
      <c r="D1" s="1601"/>
      <c r="E1" s="1601"/>
      <c r="F1" s="1601"/>
      <c r="G1" s="1601"/>
      <c r="H1" s="1602"/>
      <c r="I1" s="990"/>
      <c r="J1" s="990"/>
      <c r="K1" s="990"/>
      <c r="L1" s="990"/>
    </row>
    <row r="2" spans="1:12" ht="13">
      <c r="A2" s="1603" t="s">
        <v>833</v>
      </c>
      <c r="B2" s="1604"/>
      <c r="C2" s="1604"/>
      <c r="D2" s="1604"/>
      <c r="E2" s="1604"/>
      <c r="F2" s="1604"/>
      <c r="G2" s="1604"/>
      <c r="H2" s="1604"/>
      <c r="J2" s="791">
        <v>2024</v>
      </c>
      <c r="K2" s="791">
        <v>2025</v>
      </c>
      <c r="L2" s="792" t="s">
        <v>402</v>
      </c>
    </row>
    <row r="3" spans="1:12" ht="14.5">
      <c r="A3" s="793" t="s">
        <v>834</v>
      </c>
      <c r="B3" s="794"/>
      <c r="C3" s="795"/>
      <c r="D3" s="795"/>
      <c r="E3" s="795"/>
      <c r="F3" s="795"/>
      <c r="G3" s="795"/>
      <c r="H3" s="796"/>
      <c r="I3" s="797" t="s">
        <v>835</v>
      </c>
      <c r="J3" s="798">
        <v>1300000</v>
      </c>
      <c r="K3" s="799">
        <v>1423500</v>
      </c>
      <c r="L3" s="800">
        <v>8.3500000000000005E-2</v>
      </c>
    </row>
    <row r="4" spans="1:12" ht="14.5">
      <c r="A4" s="1605" t="s">
        <v>836</v>
      </c>
      <c r="B4" s="1605" t="s">
        <v>1</v>
      </c>
      <c r="C4" s="1596" t="s">
        <v>837</v>
      </c>
      <c r="D4" s="1596" t="s">
        <v>838</v>
      </c>
      <c r="E4" s="1596" t="s">
        <v>839</v>
      </c>
      <c r="F4" s="1597" t="s">
        <v>840</v>
      </c>
      <c r="G4" s="1598"/>
      <c r="H4" s="1599"/>
      <c r="I4" s="797" t="s">
        <v>841</v>
      </c>
      <c r="J4" s="798">
        <v>162000</v>
      </c>
      <c r="K4" s="799">
        <v>200000</v>
      </c>
      <c r="L4" s="791"/>
    </row>
    <row r="5" spans="1:12" ht="13">
      <c r="A5" s="1605"/>
      <c r="B5" s="1605"/>
      <c r="C5" s="1596"/>
      <c r="D5" s="1596"/>
      <c r="E5" s="1596"/>
      <c r="F5" s="801" t="s">
        <v>842</v>
      </c>
      <c r="G5" s="801" t="s">
        <v>843</v>
      </c>
      <c r="H5" s="801" t="s">
        <v>674</v>
      </c>
      <c r="I5" s="802" t="s">
        <v>844</v>
      </c>
      <c r="J5" s="803"/>
    </row>
    <row r="6" spans="1:12" ht="13">
      <c r="A6" s="804" t="s">
        <v>845</v>
      </c>
      <c r="B6" s="805" t="s">
        <v>846</v>
      </c>
      <c r="C6" s="806">
        <v>15</v>
      </c>
      <c r="D6" s="806">
        <v>1</v>
      </c>
      <c r="E6" s="807">
        <v>0.3</v>
      </c>
      <c r="F6" s="808">
        <f>'MANO DE OBRA'!D30</f>
        <v>5275528</v>
      </c>
      <c r="G6" s="808">
        <f>+IF(AND(F6&lt;=($K$3*2),F6&gt;0),$K$4,0)</f>
        <v>0</v>
      </c>
      <c r="H6" s="808">
        <f>ROUND(C6*D6*E6*(F6+G6),0)</f>
        <v>23739876</v>
      </c>
      <c r="I6" s="809" t="s">
        <v>847</v>
      </c>
    </row>
    <row r="7" spans="1:12" ht="13">
      <c r="A7" s="804" t="s">
        <v>848</v>
      </c>
      <c r="B7" s="805" t="s">
        <v>849</v>
      </c>
      <c r="C7" s="806">
        <v>9</v>
      </c>
      <c r="D7" s="806">
        <v>1</v>
      </c>
      <c r="E7" s="807">
        <v>0.3</v>
      </c>
      <c r="F7" s="808">
        <f>+'MANO DE OBRA'!D19</f>
        <v>2961448</v>
      </c>
      <c r="G7" s="808">
        <f t="shared" ref="G7:G11" si="0">+IF(AND(F7&lt;=($K$3*2),F7&gt;0),$K$4,0)</f>
        <v>0</v>
      </c>
      <c r="H7" s="808">
        <f t="shared" ref="H7:H11" si="1">ROUND(C7*D7*E7*(F7+G7),0)</f>
        <v>7995910</v>
      </c>
      <c r="I7" s="809" t="s">
        <v>850</v>
      </c>
    </row>
    <row r="8" spans="1:12" ht="13">
      <c r="A8" s="804" t="s">
        <v>851</v>
      </c>
      <c r="B8" s="805" t="s">
        <v>852</v>
      </c>
      <c r="C8" s="806">
        <v>8</v>
      </c>
      <c r="D8" s="806">
        <v>1</v>
      </c>
      <c r="E8" s="807">
        <v>0.2</v>
      </c>
      <c r="F8" s="808">
        <f>+'MANO DE OBRA'!D22</f>
        <v>2597308</v>
      </c>
      <c r="G8" s="808">
        <f t="shared" si="0"/>
        <v>200000</v>
      </c>
      <c r="H8" s="808">
        <f t="shared" si="1"/>
        <v>4475693</v>
      </c>
      <c r="I8" s="809" t="s">
        <v>853</v>
      </c>
    </row>
    <row r="9" spans="1:12" ht="13">
      <c r="A9" s="804" t="s">
        <v>854</v>
      </c>
      <c r="B9" s="805" t="s">
        <v>855</v>
      </c>
      <c r="C9" s="806">
        <v>3</v>
      </c>
      <c r="D9" s="806">
        <v>1</v>
      </c>
      <c r="E9" s="807">
        <v>0.3</v>
      </c>
      <c r="F9" s="808">
        <f>+'MANO DE OBRA'!D25</f>
        <v>3281783</v>
      </c>
      <c r="G9" s="808">
        <f t="shared" si="0"/>
        <v>0</v>
      </c>
      <c r="H9" s="808">
        <f t="shared" si="1"/>
        <v>2953605</v>
      </c>
      <c r="I9" s="809" t="s">
        <v>856</v>
      </c>
    </row>
    <row r="10" spans="1:12" ht="13">
      <c r="A10" s="804" t="s">
        <v>857</v>
      </c>
      <c r="B10" s="805" t="s">
        <v>858</v>
      </c>
      <c r="C10" s="806">
        <v>8</v>
      </c>
      <c r="D10" s="806">
        <v>1</v>
      </c>
      <c r="E10" s="807">
        <v>0.3</v>
      </c>
      <c r="F10" s="808">
        <f>+'MANO DE OBRA'!D21</f>
        <v>2453824</v>
      </c>
      <c r="G10" s="808">
        <f t="shared" si="0"/>
        <v>200000</v>
      </c>
      <c r="H10" s="808">
        <f t="shared" si="1"/>
        <v>6369178</v>
      </c>
      <c r="I10" s="809" t="s">
        <v>859</v>
      </c>
    </row>
    <row r="11" spans="1:12" ht="13">
      <c r="A11" s="804" t="s">
        <v>860</v>
      </c>
      <c r="B11" s="805" t="s">
        <v>512</v>
      </c>
      <c r="C11" s="806">
        <f t="shared" ref="C11" si="2">+C10</f>
        <v>8</v>
      </c>
      <c r="D11" s="806">
        <v>1</v>
      </c>
      <c r="E11" s="807">
        <v>0.3</v>
      </c>
      <c r="F11" s="808">
        <f>+'MANO DE OBRA'!D23</f>
        <v>2451532</v>
      </c>
      <c r="G11" s="808">
        <f t="shared" si="0"/>
        <v>200000</v>
      </c>
      <c r="H11" s="808">
        <f t="shared" si="1"/>
        <v>6363677</v>
      </c>
      <c r="I11" s="810" t="s">
        <v>861</v>
      </c>
    </row>
    <row r="12" spans="1:12" ht="14">
      <c r="A12" s="1607" t="s">
        <v>862</v>
      </c>
      <c r="B12" s="1607"/>
      <c r="C12" s="1607"/>
      <c r="D12" s="1607"/>
      <c r="E12" s="1607"/>
      <c r="F12" s="1607"/>
      <c r="G12" s="811"/>
      <c r="H12" s="812">
        <f>SUM(H6:H11)</f>
        <v>51897939</v>
      </c>
      <c r="I12" s="813"/>
    </row>
    <row r="13" spans="1:12" ht="14">
      <c r="A13" s="1607" t="s">
        <v>863</v>
      </c>
      <c r="B13" s="1607"/>
      <c r="C13" s="1607"/>
      <c r="D13" s="1607"/>
      <c r="E13" s="1607"/>
      <c r="F13" s="1607"/>
      <c r="G13" s="811"/>
      <c r="H13" s="814">
        <f>[291]FP!E27</f>
        <v>1.61</v>
      </c>
      <c r="I13" s="813"/>
    </row>
    <row r="14" spans="1:12" ht="14">
      <c r="A14" s="1607" t="s">
        <v>864</v>
      </c>
      <c r="B14" s="1607"/>
      <c r="C14" s="1607"/>
      <c r="D14" s="1607"/>
      <c r="E14" s="1607"/>
      <c r="F14" s="1607"/>
      <c r="G14" s="811"/>
      <c r="H14" s="815">
        <f>ROUND(H12*H13,0)</f>
        <v>83555682</v>
      </c>
      <c r="I14" s="813"/>
    </row>
    <row r="15" spans="1:12" ht="13">
      <c r="A15" s="1608" t="s">
        <v>865</v>
      </c>
      <c r="B15" s="1608"/>
      <c r="C15" s="1608"/>
      <c r="D15" s="1608"/>
      <c r="E15" s="1608"/>
      <c r="F15" s="1608"/>
    </row>
    <row r="16" spans="1:12" ht="13">
      <c r="A16" s="816" t="s">
        <v>836</v>
      </c>
      <c r="B16" s="816" t="s">
        <v>1</v>
      </c>
      <c r="C16" s="817" t="s">
        <v>185</v>
      </c>
      <c r="D16" s="818" t="s">
        <v>866</v>
      </c>
      <c r="E16" s="816" t="s">
        <v>867</v>
      </c>
      <c r="F16" s="816" t="s">
        <v>868</v>
      </c>
      <c r="G16" s="819"/>
    </row>
    <row r="17" spans="1:13" ht="13">
      <c r="A17" s="820" t="s">
        <v>869</v>
      </c>
      <c r="B17" s="821" t="s">
        <v>870</v>
      </c>
      <c r="C17" s="822"/>
      <c r="D17" s="822"/>
      <c r="E17" s="823"/>
      <c r="F17" s="823"/>
    </row>
    <row r="18" spans="1:13">
      <c r="A18" s="822" t="s">
        <v>871</v>
      </c>
      <c r="B18" s="824" t="s">
        <v>846</v>
      </c>
      <c r="C18" s="822" t="s">
        <v>757</v>
      </c>
      <c r="D18" s="825">
        <v>120000</v>
      </c>
      <c r="E18" s="826">
        <f>2*8</f>
        <v>16</v>
      </c>
      <c r="F18" s="823">
        <f>E18*D18</f>
        <v>1920000</v>
      </c>
    </row>
    <row r="19" spans="1:13">
      <c r="A19" s="822" t="s">
        <v>872</v>
      </c>
      <c r="B19" s="824" t="s">
        <v>873</v>
      </c>
      <c r="C19" s="822" t="s">
        <v>185</v>
      </c>
      <c r="D19" s="825">
        <f>2*TRANSPORTE!E8</f>
        <v>405000</v>
      </c>
      <c r="E19" s="826">
        <v>8</v>
      </c>
      <c r="F19" s="823">
        <f>E19*D19</f>
        <v>3240000</v>
      </c>
    </row>
    <row r="20" spans="1:13" ht="13">
      <c r="A20" s="820" t="s">
        <v>874</v>
      </c>
      <c r="B20" s="821" t="s">
        <v>875</v>
      </c>
      <c r="C20" s="822"/>
      <c r="D20" s="822"/>
      <c r="E20" s="827"/>
      <c r="F20" s="823"/>
    </row>
    <row r="21" spans="1:13">
      <c r="A21" s="822" t="s">
        <v>876</v>
      </c>
      <c r="B21" s="824" t="s">
        <v>244</v>
      </c>
      <c r="C21" s="828" t="s">
        <v>757</v>
      </c>
      <c r="D21" s="829">
        <f>+TRANSPORTE!F10/30</f>
        <v>250000</v>
      </c>
      <c r="E21" s="826">
        <f>+E18</f>
        <v>16</v>
      </c>
      <c r="F21" s="823">
        <f>D21*E21</f>
        <v>4000000</v>
      </c>
    </row>
    <row r="22" spans="1:13">
      <c r="A22" s="822" t="s">
        <v>877</v>
      </c>
      <c r="B22" s="824" t="s">
        <v>419</v>
      </c>
      <c r="C22" s="828" t="s">
        <v>826</v>
      </c>
      <c r="D22" s="829">
        <v>825000</v>
      </c>
      <c r="E22" s="826">
        <v>15</v>
      </c>
      <c r="F22" s="823">
        <f>D22*E22</f>
        <v>12375000</v>
      </c>
    </row>
    <row r="23" spans="1:13" ht="13">
      <c r="A23" s="820" t="s">
        <v>878</v>
      </c>
      <c r="B23" s="821" t="s">
        <v>879</v>
      </c>
      <c r="C23" s="828"/>
      <c r="D23" s="830"/>
      <c r="E23" s="827"/>
      <c r="F23" s="823"/>
    </row>
    <row r="24" spans="1:13" ht="25">
      <c r="A24" s="822" t="s">
        <v>880</v>
      </c>
      <c r="B24" s="831" t="s">
        <v>881</v>
      </c>
      <c r="C24" s="822" t="s">
        <v>826</v>
      </c>
      <c r="D24" s="825">
        <v>175000</v>
      </c>
      <c r="E24" s="826">
        <f>+C6</f>
        <v>15</v>
      </c>
      <c r="F24" s="823">
        <f>D24*E24</f>
        <v>2625000</v>
      </c>
    </row>
    <row r="25" spans="1:13" ht="25">
      <c r="A25" s="822" t="s">
        <v>882</v>
      </c>
      <c r="B25" s="831" t="s">
        <v>543</v>
      </c>
      <c r="C25" s="822" t="s">
        <v>826</v>
      </c>
      <c r="D25" s="825">
        <v>220000</v>
      </c>
      <c r="E25" s="826">
        <f>+E24</f>
        <v>15</v>
      </c>
      <c r="F25" s="823">
        <f>D25*E25</f>
        <v>3300000</v>
      </c>
    </row>
    <row r="26" spans="1:13" ht="25">
      <c r="A26" s="822" t="s">
        <v>883</v>
      </c>
      <c r="B26" s="831" t="s">
        <v>884</v>
      </c>
      <c r="C26" s="822" t="s">
        <v>826</v>
      </c>
      <c r="D26" s="825">
        <v>90000</v>
      </c>
      <c r="E26" s="826">
        <f>+E25</f>
        <v>15</v>
      </c>
      <c r="F26" s="823">
        <f>D26*E26</f>
        <v>1350000</v>
      </c>
    </row>
    <row r="27" spans="1:13">
      <c r="A27" s="822" t="s">
        <v>885</v>
      </c>
      <c r="B27" s="831" t="s">
        <v>886</v>
      </c>
      <c r="C27" s="822" t="s">
        <v>826</v>
      </c>
      <c r="D27" s="825">
        <v>150000</v>
      </c>
      <c r="E27" s="826">
        <f>+E26</f>
        <v>15</v>
      </c>
      <c r="F27" s="823">
        <f>D27*E27</f>
        <v>2250000</v>
      </c>
    </row>
    <row r="28" spans="1:13" ht="13">
      <c r="A28" s="820" t="s">
        <v>887</v>
      </c>
      <c r="B28" s="821" t="s">
        <v>888</v>
      </c>
      <c r="C28" s="822"/>
      <c r="D28" s="822"/>
      <c r="E28" s="827"/>
      <c r="F28" s="823"/>
    </row>
    <row r="29" spans="1:13">
      <c r="A29" s="822" t="s">
        <v>889</v>
      </c>
      <c r="B29" s="1149" t="s">
        <v>890</v>
      </c>
      <c r="C29" s="828"/>
      <c r="D29" s="829"/>
      <c r="E29" s="826"/>
      <c r="F29" s="823"/>
    </row>
    <row r="30" spans="1:13">
      <c r="A30" s="822"/>
      <c r="B30" s="1149" t="s">
        <v>551</v>
      </c>
      <c r="C30" s="828" t="s">
        <v>545</v>
      </c>
      <c r="D30" s="1150"/>
      <c r="E30" s="1151">
        <v>0.01</v>
      </c>
      <c r="F30" s="823">
        <f>+E30*$M$31</f>
        <v>1659348.3333333333</v>
      </c>
    </row>
    <row r="31" spans="1:13" ht="25">
      <c r="A31" s="822"/>
      <c r="B31" s="1149" t="s">
        <v>555</v>
      </c>
      <c r="C31" s="828" t="s">
        <v>545</v>
      </c>
      <c r="D31" s="1152"/>
      <c r="E31" s="1151">
        <v>4.0000000000000001E-3</v>
      </c>
      <c r="F31" s="823">
        <f t="shared" ref="F31:F36" si="3">+E31*$M$31</f>
        <v>663739.33333333326</v>
      </c>
      <c r="L31" s="1153" t="s">
        <v>554</v>
      </c>
      <c r="M31" s="1154">
        <v>165934833.33333331</v>
      </c>
    </row>
    <row r="32" spans="1:13" ht="13">
      <c r="A32" s="822"/>
      <c r="B32" s="1149" t="s">
        <v>630</v>
      </c>
      <c r="C32" s="828" t="s">
        <v>545</v>
      </c>
      <c r="D32" s="1152"/>
      <c r="E32" s="1151">
        <v>0.02</v>
      </c>
      <c r="F32" s="823">
        <f t="shared" si="3"/>
        <v>3318696.6666666665</v>
      </c>
      <c r="L32" s="1153"/>
      <c r="M32" s="1153"/>
    </row>
    <row r="33" spans="1:13" ht="13">
      <c r="A33" s="822" t="s">
        <v>891</v>
      </c>
      <c r="B33" s="1149" t="s">
        <v>892</v>
      </c>
      <c r="C33" s="828"/>
      <c r="D33" s="829"/>
      <c r="E33" s="1151"/>
      <c r="F33" s="823"/>
      <c r="L33" s="1155" t="s">
        <v>557</v>
      </c>
      <c r="M33" s="1154">
        <f>+$C$46</f>
        <v>165934833.33333331</v>
      </c>
    </row>
    <row r="34" spans="1:13" ht="13">
      <c r="A34" s="822"/>
      <c r="B34" s="1149" t="s">
        <v>560</v>
      </c>
      <c r="C34" s="828" t="s">
        <v>545</v>
      </c>
      <c r="D34" s="829"/>
      <c r="E34" s="1151">
        <v>2E-3</v>
      </c>
      <c r="F34" s="823">
        <f t="shared" si="3"/>
        <v>331869.66666666663</v>
      </c>
      <c r="L34" s="1155"/>
      <c r="M34" s="1155"/>
    </row>
    <row r="35" spans="1:13" ht="13">
      <c r="A35" s="822"/>
      <c r="B35" s="1149" t="s">
        <v>631</v>
      </c>
      <c r="C35" s="828" t="s">
        <v>545</v>
      </c>
      <c r="D35" s="829"/>
      <c r="E35" s="1151">
        <v>3.0000000000000001E-3</v>
      </c>
      <c r="F35" s="823">
        <f t="shared" si="3"/>
        <v>497804.49999999994</v>
      </c>
      <c r="L35" s="1155"/>
      <c r="M35" s="1156" t="s">
        <v>559</v>
      </c>
    </row>
    <row r="36" spans="1:13" ht="13">
      <c r="A36" s="822"/>
      <c r="B36" s="1149" t="s">
        <v>563</v>
      </c>
      <c r="C36" s="828" t="s">
        <v>545</v>
      </c>
      <c r="D36" s="829"/>
      <c r="E36" s="1151">
        <v>1E-3</v>
      </c>
      <c r="F36" s="823">
        <f t="shared" si="3"/>
        <v>165934.83333333331</v>
      </c>
      <c r="L36" s="1155"/>
      <c r="M36" s="1157" t="s">
        <v>561</v>
      </c>
    </row>
    <row r="37" spans="1:13" ht="13">
      <c r="A37" s="1609" t="s">
        <v>893</v>
      </c>
      <c r="B37" s="1610"/>
      <c r="C37" s="1610"/>
      <c r="D37" s="1610"/>
      <c r="E37" s="1611"/>
      <c r="F37" s="832">
        <f>SUM(F17:F36)</f>
        <v>37697393.333333328</v>
      </c>
    </row>
    <row r="38" spans="1:13" ht="13">
      <c r="A38" s="1612" t="s">
        <v>894</v>
      </c>
      <c r="B38" s="1612"/>
      <c r="C38" s="1612"/>
    </row>
    <row r="39" spans="1:13">
      <c r="A39" s="1606" t="s">
        <v>836</v>
      </c>
      <c r="B39" s="1606" t="s">
        <v>1</v>
      </c>
      <c r="C39" s="1606" t="s">
        <v>840</v>
      </c>
    </row>
    <row r="40" spans="1:13">
      <c r="A40" s="1606"/>
      <c r="B40" s="1606"/>
      <c r="C40" s="1606"/>
    </row>
    <row r="41" spans="1:13" ht="13">
      <c r="A41" s="833">
        <v>1</v>
      </c>
      <c r="B41" s="834" t="s">
        <v>895</v>
      </c>
      <c r="C41" s="835">
        <f>H14</f>
        <v>83555682</v>
      </c>
    </row>
    <row r="42" spans="1:13" ht="13">
      <c r="A42" s="833">
        <v>2</v>
      </c>
      <c r="B42" s="834" t="s">
        <v>896</v>
      </c>
      <c r="C42" s="835">
        <f>F37</f>
        <v>37697393.333333328</v>
      </c>
    </row>
    <row r="43" spans="1:13" ht="13">
      <c r="A43" s="833">
        <v>3</v>
      </c>
      <c r="B43" s="834" t="s">
        <v>897</v>
      </c>
      <c r="C43" s="835">
        <f>+C41+C42</f>
        <v>121253075.33333333</v>
      </c>
    </row>
    <row r="44" spans="1:13" ht="13">
      <c r="A44" s="833">
        <v>4</v>
      </c>
      <c r="B44" s="834" t="s">
        <v>634</v>
      </c>
      <c r="C44" s="835">
        <f>ROUND(C43*0.15,0)</f>
        <v>18187961</v>
      </c>
    </row>
    <row r="45" spans="1:13" ht="13">
      <c r="A45" s="833">
        <v>5</v>
      </c>
      <c r="B45" s="834" t="s">
        <v>898</v>
      </c>
      <c r="C45" s="835">
        <f>ROUND((C43+C44)*19%,0)</f>
        <v>26493797</v>
      </c>
    </row>
    <row r="46" spans="1:13" ht="13">
      <c r="A46" s="836">
        <v>6</v>
      </c>
      <c r="B46" s="837" t="s">
        <v>899</v>
      </c>
      <c r="C46" s="838">
        <f>SUM(C43:C45)</f>
        <v>165934833.33333331</v>
      </c>
      <c r="D46" s="839" t="e">
        <f>+C46/'PRES GENERAL MR(OXI)'!P44</f>
        <v>#DIV/0!</v>
      </c>
    </row>
    <row r="47" spans="1:13" ht="45" customHeight="1">
      <c r="A47" s="840"/>
      <c r="B47" s="840"/>
    </row>
    <row r="48" spans="1:13" ht="14">
      <c r="A48" s="840" t="s">
        <v>830</v>
      </c>
      <c r="B48" s="840" t="s">
        <v>900</v>
      </c>
    </row>
    <row r="49" spans="1:2" ht="14">
      <c r="A49" s="840"/>
      <c r="B49" s="840" t="s">
        <v>832</v>
      </c>
    </row>
  </sheetData>
  <mergeCells count="17">
    <mergeCell ref="A39:A40"/>
    <mergeCell ref="B39:B40"/>
    <mergeCell ref="C39:C40"/>
    <mergeCell ref="A12:F12"/>
    <mergeCell ref="A13:F13"/>
    <mergeCell ref="A14:F14"/>
    <mergeCell ref="A15:F15"/>
    <mergeCell ref="A37:E37"/>
    <mergeCell ref="A38:C38"/>
    <mergeCell ref="C4:C5"/>
    <mergeCell ref="D4:D5"/>
    <mergeCell ref="E4:E5"/>
    <mergeCell ref="F4:H4"/>
    <mergeCell ref="A1:H1"/>
    <mergeCell ref="A2:H2"/>
    <mergeCell ref="A4:A5"/>
    <mergeCell ref="B4:B5"/>
  </mergeCells>
  <conditionalFormatting sqref="M35">
    <cfRule type="expression" dxfId="2" priority="2">
      <formula>$M$31=$M$33</formula>
    </cfRule>
  </conditionalFormatting>
  <conditionalFormatting sqref="M36">
    <cfRule type="expression" dxfId="1" priority="1">
      <formula>$M$31&lt;&gt;$M$35</formula>
    </cfRule>
  </conditionalFormatting>
  <hyperlinks>
    <hyperlink ref="I7" r:id="rId1" xr:uid="{AF3FB49B-6775-419C-A388-444D2D3B1AD0}"/>
    <hyperlink ref="I11" r:id="rId2" xr:uid="{ACFED3C8-4F74-4D62-9394-943E2BF70AA2}"/>
    <hyperlink ref="I6" r:id="rId3" xr:uid="{6E2EDEC0-B73C-4F6B-A13C-C7C3AE0AF89F}"/>
    <hyperlink ref="I9" r:id="rId4" xr:uid="{F371D996-E6D9-4CE4-83B1-4E35054AE891}"/>
    <hyperlink ref="I10" r:id="rId5" xr:uid="{6B331A81-C000-46C7-9771-CCD8300DBC39}"/>
    <hyperlink ref="I8" r:id="rId6" xr:uid="{61EB6090-41E5-41EB-BB0E-32D05B0F0CFA}"/>
  </hyperlinks>
  <pageMargins left="0.70866141732283472" right="0.70866141732283472" top="0.74803149606299213" bottom="0.74803149606299213" header="0.31496062992125984" footer="0.31496062992125984"/>
  <pageSetup scale="66" orientation="landscape" r:id="rId7"/>
  <colBreaks count="1" manualBreakCount="1">
    <brk id="9" max="40" man="1"/>
  </colBreak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3">
    <tabColor theme="6" tint="0.59999389629810485"/>
  </sheetPr>
  <dimension ref="A1:F19"/>
  <sheetViews>
    <sheetView topLeftCell="B1" workbookViewId="0">
      <selection activeCell="F3" sqref="F3:F5"/>
    </sheetView>
  </sheetViews>
  <sheetFormatPr baseColWidth="10" defaultColWidth="11.453125" defaultRowHeight="12.5"/>
  <cols>
    <col min="2" max="2" width="67.54296875" bestFit="1" customWidth="1"/>
    <col min="3" max="3" width="25.453125" customWidth="1"/>
    <col min="4" max="4" width="11.81640625" customWidth="1"/>
    <col min="5" max="5" width="50.453125" customWidth="1"/>
    <col min="6" max="6" width="14.1796875" customWidth="1"/>
  </cols>
  <sheetData>
    <row r="1" spans="1:6" ht="13">
      <c r="A1" s="1422" t="s">
        <v>183</v>
      </c>
      <c r="B1" s="1422"/>
      <c r="C1" s="1422"/>
      <c r="D1" s="1422"/>
      <c r="E1" s="1422"/>
      <c r="F1" s="1423"/>
    </row>
    <row r="2" spans="1:6" ht="13">
      <c r="A2" s="129" t="s">
        <v>184</v>
      </c>
      <c r="B2" s="129" t="s">
        <v>1</v>
      </c>
      <c r="C2" s="129" t="s">
        <v>185</v>
      </c>
      <c r="D2" s="129" t="s">
        <v>186</v>
      </c>
      <c r="E2" s="130" t="s">
        <v>5</v>
      </c>
      <c r="F2" s="131" t="s">
        <v>6</v>
      </c>
    </row>
    <row r="3" spans="1:6">
      <c r="A3">
        <v>1</v>
      </c>
      <c r="B3" s="103" t="s">
        <v>187</v>
      </c>
      <c r="C3" s="103" t="s">
        <v>188</v>
      </c>
      <c r="D3" s="128">
        <v>24840</v>
      </c>
      <c r="E3" s="78" t="s">
        <v>189</v>
      </c>
      <c r="F3" s="113">
        <v>2025</v>
      </c>
    </row>
    <row r="4" spans="1:6">
      <c r="A4">
        <v>2</v>
      </c>
      <c r="B4" s="103" t="s">
        <v>190</v>
      </c>
      <c r="C4" s="103" t="s">
        <v>188</v>
      </c>
      <c r="D4" s="105">
        <v>30000</v>
      </c>
      <c r="E4" s="106" t="s">
        <v>191</v>
      </c>
      <c r="F4" s="113">
        <v>2025</v>
      </c>
    </row>
    <row r="5" spans="1:6">
      <c r="A5">
        <v>3</v>
      </c>
      <c r="B5" s="103" t="s">
        <v>192</v>
      </c>
      <c r="C5" s="103" t="s">
        <v>188</v>
      </c>
      <c r="D5" s="105">
        <f>ROUND(126979*1.1,0)</f>
        <v>139677</v>
      </c>
      <c r="E5" s="106" t="s">
        <v>193</v>
      </c>
      <c r="F5" s="113">
        <v>2025</v>
      </c>
    </row>
    <row r="6" spans="1:6">
      <c r="A6">
        <v>4</v>
      </c>
      <c r="B6" s="103" t="s">
        <v>194</v>
      </c>
      <c r="C6" s="103" t="s">
        <v>188</v>
      </c>
      <c r="D6" s="105">
        <v>18333</v>
      </c>
      <c r="E6" s="87"/>
      <c r="F6" s="113">
        <v>2025</v>
      </c>
    </row>
    <row r="7" spans="1:6">
      <c r="A7">
        <v>5</v>
      </c>
      <c r="B7" s="340" t="str">
        <f>+'HERRAMIENTA CIVIL'!C3</f>
        <v xml:space="preserve">Mezcladora de concreto tipo trompo						</v>
      </c>
      <c r="C7" s="336" t="s">
        <v>195</v>
      </c>
      <c r="D7" s="357">
        <f>+'HERRAMIENTA CIVIL'!F3</f>
        <v>16285</v>
      </c>
      <c r="E7" s="341"/>
      <c r="F7" s="113">
        <v>2025</v>
      </c>
    </row>
    <row r="8" spans="1:6">
      <c r="A8">
        <v>6</v>
      </c>
      <c r="B8" s="340" t="str">
        <f>+'HERRAMIENTA CIVIL'!C6</f>
        <v>Vibrador de concreto, potencia aproximada de 3 hp, mangueras de 4 a 6 metros</v>
      </c>
      <c r="C8" s="336" t="s">
        <v>195</v>
      </c>
      <c r="D8" s="357">
        <f>+'HERRAMIENTA CIVIL'!F6</f>
        <v>7367</v>
      </c>
      <c r="E8" s="78"/>
      <c r="F8" s="113">
        <v>2025</v>
      </c>
    </row>
    <row r="9" spans="1:6">
      <c r="A9">
        <v>7</v>
      </c>
      <c r="B9" s="340" t="str">
        <f>+'HERRAMIENTA CIVIL'!C9</f>
        <v>Cizalla manual de 90 cm</v>
      </c>
      <c r="C9" s="336" t="s">
        <v>195</v>
      </c>
      <c r="D9" s="357">
        <f>+'HERRAMIENTA CIVIL'!F9</f>
        <v>2785</v>
      </c>
      <c r="E9" s="78"/>
      <c r="F9" s="113">
        <v>2025</v>
      </c>
    </row>
    <row r="10" spans="1:6">
      <c r="A10">
        <v>8</v>
      </c>
      <c r="B10" s="340" t="str">
        <f>+'HERRAMIENTA CIVIL'!C11</f>
        <v>Taladro</v>
      </c>
      <c r="C10" s="336" t="s">
        <v>195</v>
      </c>
      <c r="D10" s="357">
        <f>+'HERRAMIENTA CIVIL'!F11</f>
        <v>4189</v>
      </c>
      <c r="E10" s="78"/>
      <c r="F10" s="113">
        <v>2025</v>
      </c>
    </row>
    <row r="11" spans="1:6">
      <c r="A11">
        <v>9</v>
      </c>
      <c r="B11" s="340" t="str">
        <f>+'HERRAMIENTA CIVIL'!C14</f>
        <v>Equipo de oxicorte y soldadura, capacidad de corte 6"-14", incluye soldadura</v>
      </c>
      <c r="C11" s="336" t="s">
        <v>195</v>
      </c>
      <c r="D11" s="357">
        <f>+'HERRAMIENTA CIVIL'!F14</f>
        <v>13408</v>
      </c>
      <c r="E11" s="78"/>
      <c r="F11" s="113">
        <v>2025</v>
      </c>
    </row>
    <row r="12" spans="1:6">
      <c r="A12">
        <v>10</v>
      </c>
      <c r="B12" s="340" t="str">
        <f>+'HERRAMIENTA CIVIL'!C17</f>
        <v>Equipo de soldadura 600 AMP</v>
      </c>
      <c r="C12" s="336" t="s">
        <v>195</v>
      </c>
      <c r="D12" s="357">
        <f>+'HERRAMIENTA CIVIL'!F17</f>
        <v>40836</v>
      </c>
      <c r="E12" s="78"/>
      <c r="F12" s="113">
        <v>2025</v>
      </c>
    </row>
    <row r="13" spans="1:6">
      <c r="A13">
        <v>11</v>
      </c>
      <c r="B13" s="340" t="str">
        <f>+'HERRAMIENTA CIVIL'!C19</f>
        <v>Diferencial de 3 toneladas</v>
      </c>
      <c r="C13" s="336" t="s">
        <v>195</v>
      </c>
      <c r="D13" s="357">
        <f>+'HERRAMIENTA CIVIL'!F17</f>
        <v>40836</v>
      </c>
      <c r="E13" s="78"/>
      <c r="F13" s="113">
        <v>2025</v>
      </c>
    </row>
    <row r="14" spans="1:6">
      <c r="A14">
        <v>12</v>
      </c>
      <c r="B14" s="340" t="str">
        <f>+'HERRAMIENTA CIVIL'!C21</f>
        <v>Compactador manual (saltarín) peso de operación (kg.) 52, fuerza de impacto por golpe (KN) 12</v>
      </c>
      <c r="C14" s="336" t="s">
        <v>195</v>
      </c>
      <c r="D14" s="357">
        <f>+'HERRAMIENTA CIVIL'!F21</f>
        <v>13379</v>
      </c>
      <c r="E14" s="78"/>
      <c r="F14" s="113">
        <v>2025</v>
      </c>
    </row>
    <row r="15" spans="1:6">
      <c r="A15">
        <v>13</v>
      </c>
      <c r="B15" s="340" t="str">
        <f>+'HERRAMIENTA CIVIL'!C23</f>
        <v>Retroexcavadora mini con balde de 30 o 60 cm, incluye operario y combustible</v>
      </c>
      <c r="C15" s="336" t="s">
        <v>195</v>
      </c>
      <c r="D15" s="357">
        <f>+'HERRAMIENTA CIVIL'!F23</f>
        <v>222824</v>
      </c>
      <c r="E15" s="78"/>
      <c r="F15" s="113">
        <v>2025</v>
      </c>
    </row>
    <row r="16" spans="1:6">
      <c r="A16">
        <v>14</v>
      </c>
      <c r="B16" s="340" t="s">
        <v>196</v>
      </c>
      <c r="C16" s="336" t="s">
        <v>195</v>
      </c>
      <c r="D16" s="368">
        <v>19044</v>
      </c>
      <c r="E16" s="341"/>
      <c r="F16" s="113">
        <v>2025</v>
      </c>
    </row>
    <row r="17" spans="1:6">
      <c r="A17">
        <v>15</v>
      </c>
      <c r="B17" s="340" t="s">
        <v>197</v>
      </c>
      <c r="C17" s="336" t="s">
        <v>195</v>
      </c>
      <c r="D17" s="368">
        <v>10000</v>
      </c>
      <c r="E17" s="341"/>
      <c r="F17" s="113">
        <v>2025</v>
      </c>
    </row>
    <row r="18" spans="1:6">
      <c r="A18">
        <v>16</v>
      </c>
      <c r="B18" s="777" t="s">
        <v>198</v>
      </c>
      <c r="C18" s="778" t="s">
        <v>199</v>
      </c>
      <c r="D18" s="779">
        <v>145000</v>
      </c>
      <c r="E18" s="78"/>
      <c r="F18" s="113">
        <v>2025</v>
      </c>
    </row>
    <row r="19" spans="1:6">
      <c r="B19" s="340"/>
      <c r="C19" s="336"/>
      <c r="D19" s="368"/>
      <c r="E19" s="341"/>
      <c r="F19" s="113"/>
    </row>
  </sheetData>
  <mergeCells count="1">
    <mergeCell ref="A1:F1"/>
  </mergeCells>
  <hyperlinks>
    <hyperlink ref="E4" r:id="rId1" xr:uid="{00000000-0004-0000-0C00-000000000000}"/>
    <hyperlink ref="E5" r:id="rId2" xr:uid="{00000000-0004-0000-0C00-000001000000}"/>
  </hyperlinks>
  <pageMargins left="0.7" right="0.7" top="0.75" bottom="0.75" header="0.3" footer="0.3"/>
  <pageSetup paperSize="9" orientation="portrait"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D30D5-F27D-43E7-B7E8-63B470309174}">
  <dimension ref="A1:N7"/>
  <sheetViews>
    <sheetView workbookViewId="0">
      <selection sqref="A1:P1"/>
    </sheetView>
  </sheetViews>
  <sheetFormatPr baseColWidth="10" defaultColWidth="11.54296875" defaultRowHeight="12.5"/>
  <cols>
    <col min="1" max="5" width="11.54296875" style="766"/>
    <col min="6" max="6" width="16.1796875" style="766" bestFit="1" customWidth="1"/>
    <col min="7" max="9" width="11.54296875" style="766"/>
    <col min="10" max="10" width="15" style="766" bestFit="1" customWidth="1"/>
    <col min="11" max="13" width="12.453125" style="766" bestFit="1" customWidth="1"/>
    <col min="14" max="14" width="15" style="766" bestFit="1" customWidth="1"/>
    <col min="15" max="16384" width="11.54296875" style="766"/>
  </cols>
  <sheetData>
    <row r="1" spans="1:14">
      <c r="B1" s="766" t="s">
        <v>901</v>
      </c>
      <c r="F1" s="766" t="s">
        <v>902</v>
      </c>
      <c r="J1" s="766" t="s">
        <v>903</v>
      </c>
      <c r="N1" s="766" t="s">
        <v>682</v>
      </c>
    </row>
    <row r="2" spans="1:14">
      <c r="B2" s="766" t="s">
        <v>904</v>
      </c>
      <c r="C2" s="766" t="s">
        <v>905</v>
      </c>
      <c r="D2" s="766" t="s">
        <v>906</v>
      </c>
      <c r="E2" s="766" t="s">
        <v>907</v>
      </c>
      <c r="F2" s="766" t="s">
        <v>904</v>
      </c>
      <c r="G2" s="766" t="s">
        <v>905</v>
      </c>
      <c r="H2" s="766" t="s">
        <v>906</v>
      </c>
      <c r="I2" s="766" t="s">
        <v>907</v>
      </c>
      <c r="J2" s="766" t="s">
        <v>904</v>
      </c>
      <c r="K2" s="766" t="s">
        <v>905</v>
      </c>
      <c r="L2" s="766" t="s">
        <v>906</v>
      </c>
      <c r="M2" s="766" t="s">
        <v>907</v>
      </c>
    </row>
    <row r="3" spans="1:14">
      <c r="A3" s="766" t="s">
        <v>908</v>
      </c>
      <c r="B3" s="766">
        <v>3</v>
      </c>
      <c r="C3" s="766">
        <v>16</v>
      </c>
      <c r="D3" s="766">
        <v>32</v>
      </c>
      <c r="E3" s="766">
        <v>48</v>
      </c>
      <c r="F3" s="767">
        <f>+'211'!F8</f>
        <v>867147</v>
      </c>
      <c r="G3" s="767">
        <f>+F3</f>
        <v>867147</v>
      </c>
      <c r="H3" s="767">
        <f t="shared" ref="H3:I3" si="0">+G3</f>
        <v>867147</v>
      </c>
      <c r="I3" s="767">
        <f t="shared" si="0"/>
        <v>867147</v>
      </c>
      <c r="J3" s="768">
        <f>+B3*F3*'PRES GENERAL MR(OXI)'!$D$7</f>
        <v>137876373</v>
      </c>
      <c r="K3" s="768">
        <f>+C3*G3*'PRES GENERAL MR(OXI)'!$D$13</f>
        <v>27748704</v>
      </c>
      <c r="L3" s="768">
        <f>+D3*H3*'PRES GENERAL MR(OXI)'!$D$21</f>
        <v>27748704</v>
      </c>
      <c r="M3" s="768">
        <f>+E3*I3*'PRES GENERAL MR(OXI)'!$D$29</f>
        <v>41623056</v>
      </c>
      <c r="N3" s="768">
        <f>+SUM(J3:M3)</f>
        <v>234996837</v>
      </c>
    </row>
    <row r="4" spans="1:14">
      <c r="A4" s="766" t="s">
        <v>909</v>
      </c>
      <c r="B4" s="766">
        <v>1</v>
      </c>
      <c r="C4" s="766">
        <v>4</v>
      </c>
      <c r="D4" s="766">
        <v>8</v>
      </c>
      <c r="E4" s="766">
        <v>12</v>
      </c>
      <c r="F4" s="767">
        <f>+'215 (2)'!F8</f>
        <v>11165150</v>
      </c>
      <c r="G4" s="767">
        <f>+MATERIALES!F331</f>
        <v>10512974</v>
      </c>
      <c r="H4" s="767">
        <f>+G4</f>
        <v>10512974</v>
      </c>
      <c r="I4" s="767">
        <f>+H4</f>
        <v>10512974</v>
      </c>
      <c r="J4" s="768">
        <f>+B4*F4*'PRES GENERAL MR(OXI)'!$D$7</f>
        <v>591752950</v>
      </c>
      <c r="K4" s="768">
        <f>+C4*G4*'PRES GENERAL MR(OXI)'!$D$13</f>
        <v>84103792</v>
      </c>
      <c r="L4" s="768">
        <f>+D4*H4*'PRES GENERAL MR(OXI)'!$D$21</f>
        <v>84103792</v>
      </c>
      <c r="M4" s="768">
        <f>+E4*I4*'PRES GENERAL MR(OXI)'!$D$29</f>
        <v>126155688</v>
      </c>
      <c r="N4" s="768">
        <f t="shared" ref="N4:N6" si="1">+SUM(J4:M4)</f>
        <v>886116222</v>
      </c>
    </row>
    <row r="5" spans="1:14">
      <c r="A5" s="766" t="s">
        <v>910</v>
      </c>
      <c r="B5" s="766">
        <v>1</v>
      </c>
      <c r="C5" s="766">
        <v>1</v>
      </c>
      <c r="D5" s="766">
        <v>2</v>
      </c>
      <c r="E5" s="766">
        <v>3</v>
      </c>
      <c r="F5" s="767">
        <f>+'214'!F8</f>
        <v>904822</v>
      </c>
      <c r="G5" s="767">
        <f>+MATERIALES!F19</f>
        <v>3920455</v>
      </c>
      <c r="H5" s="767">
        <f t="shared" ref="H5:I6" si="2">+G5</f>
        <v>3920455</v>
      </c>
      <c r="I5" s="767">
        <f t="shared" si="2"/>
        <v>3920455</v>
      </c>
      <c r="J5" s="768">
        <f>+B5*F5*'PRES GENERAL MR(OXI)'!$D$7</f>
        <v>47955566</v>
      </c>
      <c r="K5" s="768">
        <f>+C5*G5*'PRES GENERAL MR(OXI)'!$D$13</f>
        <v>7840910</v>
      </c>
      <c r="L5" s="768">
        <f>+D5*H5*'PRES GENERAL MR(OXI)'!$D$21</f>
        <v>7840910</v>
      </c>
      <c r="M5" s="768">
        <f>+E5*I5*'PRES GENERAL MR(OXI)'!$D$29</f>
        <v>11761365</v>
      </c>
      <c r="N5" s="768">
        <f t="shared" si="1"/>
        <v>75398751</v>
      </c>
    </row>
    <row r="6" spans="1:14">
      <c r="A6" s="766" t="s">
        <v>911</v>
      </c>
      <c r="B6" s="766">
        <v>1</v>
      </c>
      <c r="C6" s="766">
        <v>1</v>
      </c>
      <c r="D6" s="766">
        <v>2</v>
      </c>
      <c r="E6" s="766">
        <v>3</v>
      </c>
      <c r="F6" s="767">
        <f>+'216'!F8</f>
        <v>1233020</v>
      </c>
      <c r="G6" s="767">
        <f>+MATERIALES!F34</f>
        <v>11574806</v>
      </c>
      <c r="H6" s="767">
        <f t="shared" si="2"/>
        <v>11574806</v>
      </c>
      <c r="I6" s="767">
        <f t="shared" si="2"/>
        <v>11574806</v>
      </c>
      <c r="J6" s="768">
        <f>+B6*F6*'PRES GENERAL MR(OXI)'!$D$7</f>
        <v>65350060</v>
      </c>
      <c r="K6" s="768">
        <f>+C6*G6*'PRES GENERAL MR(OXI)'!$D$13</f>
        <v>23149612</v>
      </c>
      <c r="L6" s="768">
        <f>+D6*H6*'PRES GENERAL MR(OXI)'!$D$21</f>
        <v>23149612</v>
      </c>
      <c r="M6" s="768">
        <f>+E6*I6*'PRES GENERAL MR(OXI)'!$D$29</f>
        <v>34724418</v>
      </c>
      <c r="N6" s="768">
        <f t="shared" si="1"/>
        <v>146373702</v>
      </c>
    </row>
    <row r="7" spans="1:14">
      <c r="J7" s="768">
        <f t="shared" ref="J7:L7" si="3">SUM(J3:J6)</f>
        <v>842934949</v>
      </c>
      <c r="K7" s="768">
        <f t="shared" si="3"/>
        <v>142843018</v>
      </c>
      <c r="L7" s="768">
        <f t="shared" si="3"/>
        <v>142843018</v>
      </c>
      <c r="M7" s="768">
        <f t="shared" ref="M7" si="4">SUM(M3:M6)</f>
        <v>214264527</v>
      </c>
      <c r="N7" s="768">
        <f>SUM(N3:N6)</f>
        <v>1342885512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91E4D-FA68-4844-B374-433F6C2286B2}">
  <sheetPr>
    <pageSetUpPr fitToPage="1"/>
  </sheetPr>
  <dimension ref="A1:BC69"/>
  <sheetViews>
    <sheetView showGridLines="0" view="pageBreakPreview" topLeftCell="AD1" zoomScale="55" zoomScaleNormal="80" zoomScaleSheetLayoutView="55" workbookViewId="0">
      <selection sqref="A1:P1"/>
    </sheetView>
  </sheetViews>
  <sheetFormatPr baseColWidth="10" defaultColWidth="11.453125" defaultRowHeight="12.5"/>
  <cols>
    <col min="1" max="1" width="5.81640625" style="466" bestFit="1" customWidth="1"/>
    <col min="2" max="2" width="57.453125" style="466" customWidth="1"/>
    <col min="3" max="3" width="8" style="466" bestFit="1" customWidth="1"/>
    <col min="4" max="4" width="8" style="466" customWidth="1"/>
    <col min="5" max="5" width="18.81640625" style="466" customWidth="1"/>
    <col min="6" max="8" width="11.453125" style="466" bestFit="1" customWidth="1"/>
    <col min="9" max="9" width="12.54296875" style="466" customWidth="1"/>
    <col min="10" max="10" width="12.453125" style="466" bestFit="1" customWidth="1"/>
    <col min="11" max="11" width="14.453125" style="466" customWidth="1"/>
    <col min="12" max="14" width="13" style="466" customWidth="1"/>
    <col min="15" max="16" width="15.54296875" style="466" bestFit="1" customWidth="1"/>
    <col min="17" max="26" width="13" style="466" bestFit="1" customWidth="1"/>
    <col min="27" max="40" width="14" style="466" bestFit="1" customWidth="1"/>
    <col min="41" max="48" width="16.453125" style="466" customWidth="1"/>
    <col min="49" max="53" width="14.453125" style="466" customWidth="1"/>
    <col min="54" max="54" width="15.54296875" style="466" customWidth="1"/>
    <col min="55" max="55" width="16.453125" style="466" customWidth="1"/>
    <col min="56" max="56" width="7.453125" style="466" bestFit="1" customWidth="1"/>
    <col min="57" max="57" width="11.453125" style="466" customWidth="1"/>
    <col min="58" max="16384" width="11.453125" style="466"/>
  </cols>
  <sheetData>
    <row r="1" spans="1:53" ht="30.65" customHeight="1">
      <c r="A1" s="1613"/>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c r="AO1" s="1614"/>
      <c r="AP1" s="1614"/>
      <c r="AQ1" s="1614"/>
      <c r="AR1" s="1614"/>
      <c r="AS1" s="1614"/>
      <c r="AT1" s="1614"/>
      <c r="AU1" s="1614"/>
      <c r="AV1" s="1614"/>
      <c r="AW1" s="1614"/>
      <c r="AX1" s="1614"/>
      <c r="AY1" s="1614"/>
      <c r="AZ1" s="1614"/>
      <c r="BA1" s="1615"/>
    </row>
    <row r="2" spans="1:53" ht="30.65" customHeight="1">
      <c r="A2" s="1616" t="str">
        <f>'PRES GENERAL MR(OXI)'!A1</f>
        <v>IMPLEMENTACIÓN DE SOLUCIONES ENERGÉTICAS CON FUENTES NO CONVENCIONALES DE ENERGÍA PARA USUARIOS EN ZONAS RURALES DEL MUNICIPIO DE TEORAMA EN EL DEPARTAMENTO DE NORTE DE SANTANDER</v>
      </c>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c r="AO2" s="1617"/>
      <c r="AP2" s="1617"/>
      <c r="AQ2" s="1617"/>
      <c r="AR2" s="1617"/>
      <c r="AS2" s="1617"/>
      <c r="AT2" s="1617"/>
      <c r="AU2" s="1617"/>
      <c r="AV2" s="1617"/>
      <c r="AW2" s="1617"/>
      <c r="AX2" s="1617"/>
      <c r="AY2" s="1617"/>
      <c r="AZ2" s="1617"/>
      <c r="BA2" s="1618"/>
    </row>
    <row r="3" spans="1:53" ht="30.65" customHeight="1" thickBot="1">
      <c r="A3" s="1619" t="s">
        <v>912</v>
      </c>
      <c r="B3" s="1620"/>
      <c r="C3" s="1620"/>
      <c r="D3" s="1620"/>
      <c r="E3" s="1620"/>
      <c r="F3" s="1620"/>
      <c r="G3" s="1620"/>
      <c r="H3" s="1620"/>
      <c r="I3" s="1620"/>
      <c r="J3" s="1620"/>
      <c r="K3" s="1620"/>
      <c r="L3" s="1620"/>
      <c r="M3" s="1620"/>
      <c r="N3" s="1620"/>
      <c r="O3" s="1620"/>
      <c r="P3" s="1620"/>
      <c r="Q3" s="1620"/>
      <c r="R3" s="1620"/>
      <c r="S3" s="1620"/>
      <c r="T3" s="1620"/>
      <c r="U3" s="1620"/>
      <c r="V3" s="1620"/>
      <c r="W3" s="1620"/>
      <c r="X3" s="1620"/>
      <c r="Y3" s="1620"/>
      <c r="Z3" s="1620"/>
      <c r="AA3" s="1620"/>
      <c r="AB3" s="1620"/>
      <c r="AC3" s="1620"/>
      <c r="AD3" s="1620"/>
      <c r="AE3" s="1620"/>
      <c r="AF3" s="1620"/>
      <c r="AG3" s="1620"/>
      <c r="AH3" s="1620"/>
      <c r="AI3" s="1620"/>
      <c r="AJ3" s="1620"/>
      <c r="AK3" s="1620"/>
      <c r="AL3" s="1620"/>
      <c r="AM3" s="1620"/>
      <c r="AN3" s="1620"/>
      <c r="AO3" s="1620"/>
      <c r="AP3" s="1620"/>
      <c r="AQ3" s="1620"/>
      <c r="AR3" s="1620"/>
      <c r="AS3" s="1620"/>
      <c r="AT3" s="1620"/>
      <c r="AU3" s="1620"/>
      <c r="AV3" s="1620"/>
      <c r="AW3" s="1620"/>
      <c r="AX3" s="1620"/>
      <c r="AY3" s="1620"/>
      <c r="AZ3" s="1620"/>
      <c r="BA3" s="1621"/>
    </row>
    <row r="4" spans="1:53" ht="12.75" customHeight="1" thickBot="1">
      <c r="A4" s="1622" t="s">
        <v>584</v>
      </c>
      <c r="B4" s="1623" t="s">
        <v>913</v>
      </c>
      <c r="C4" s="1623" t="s">
        <v>259</v>
      </c>
      <c r="D4" s="1623" t="s">
        <v>914</v>
      </c>
      <c r="E4" s="1623" t="s">
        <v>915</v>
      </c>
      <c r="F4" s="607"/>
      <c r="G4" s="740"/>
      <c r="H4" s="740"/>
      <c r="I4" s="740"/>
      <c r="J4" s="740"/>
      <c r="K4" s="741"/>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3"/>
      <c r="BA4" s="744"/>
    </row>
    <row r="5" spans="1:53" ht="16" thickBot="1">
      <c r="A5" s="1622"/>
      <c r="B5" s="1623"/>
      <c r="C5" s="1623"/>
      <c r="D5" s="1623"/>
      <c r="E5" s="1623"/>
      <c r="F5" s="745" t="s">
        <v>916</v>
      </c>
      <c r="G5" s="745" t="s">
        <v>917</v>
      </c>
      <c r="H5" s="745" t="s">
        <v>918</v>
      </c>
      <c r="I5" s="745" t="s">
        <v>919</v>
      </c>
      <c r="J5" s="745" t="s">
        <v>920</v>
      </c>
      <c r="K5" s="1624" t="s">
        <v>921</v>
      </c>
      <c r="L5" s="1625"/>
      <c r="M5" s="1624" t="s">
        <v>922</v>
      </c>
      <c r="N5" s="1626"/>
      <c r="O5" s="1626"/>
      <c r="P5" s="1625"/>
      <c r="Q5" s="1624" t="s">
        <v>923</v>
      </c>
      <c r="R5" s="1626"/>
      <c r="S5" s="1626"/>
      <c r="T5" s="1625"/>
      <c r="U5" s="1624" t="s">
        <v>924</v>
      </c>
      <c r="V5" s="1626"/>
      <c r="W5" s="1626"/>
      <c r="X5" s="1625"/>
      <c r="Y5" s="1624" t="s">
        <v>925</v>
      </c>
      <c r="Z5" s="1626"/>
      <c r="AA5" s="1626"/>
      <c r="AB5" s="1625"/>
      <c r="AC5" s="1624" t="s">
        <v>926</v>
      </c>
      <c r="AD5" s="1626"/>
      <c r="AE5" s="1626"/>
      <c r="AF5" s="1625"/>
      <c r="AG5" s="1624" t="s">
        <v>927</v>
      </c>
      <c r="AH5" s="1626"/>
      <c r="AI5" s="1626"/>
      <c r="AJ5" s="1625"/>
      <c r="AK5" s="1624" t="s">
        <v>928</v>
      </c>
      <c r="AL5" s="1626"/>
      <c r="AM5" s="1626"/>
      <c r="AN5" s="1625"/>
      <c r="AO5" s="1624" t="s">
        <v>929</v>
      </c>
      <c r="AP5" s="1626"/>
      <c r="AQ5" s="1626"/>
      <c r="AR5" s="1625"/>
      <c r="AS5" s="1624" t="s">
        <v>930</v>
      </c>
      <c r="AT5" s="1626"/>
      <c r="AU5" s="1626"/>
      <c r="AV5" s="1625"/>
      <c r="AW5" s="746" t="s">
        <v>931</v>
      </c>
      <c r="AX5" s="746" t="s">
        <v>932</v>
      </c>
      <c r="AY5" s="746" t="s">
        <v>933</v>
      </c>
      <c r="AZ5" s="746" t="s">
        <v>934</v>
      </c>
      <c r="BA5" s="746" t="s">
        <v>935</v>
      </c>
    </row>
    <row r="6" spans="1:53" ht="16" thickBot="1">
      <c r="A6" s="468"/>
      <c r="B6" s="469" t="s">
        <v>936</v>
      </c>
      <c r="C6" s="469"/>
      <c r="D6" s="469"/>
      <c r="E6" s="470"/>
      <c r="F6" s="747" t="s">
        <v>937</v>
      </c>
      <c r="G6" s="747" t="s">
        <v>938</v>
      </c>
      <c r="H6" s="747" t="s">
        <v>939</v>
      </c>
      <c r="I6" s="747" t="s">
        <v>940</v>
      </c>
      <c r="J6" s="747" t="s">
        <v>941</v>
      </c>
      <c r="K6" s="747" t="s">
        <v>942</v>
      </c>
      <c r="L6" s="747" t="s">
        <v>943</v>
      </c>
      <c r="M6" s="748" t="s">
        <v>944</v>
      </c>
      <c r="N6" s="748" t="s">
        <v>945</v>
      </c>
      <c r="O6" s="748" t="s">
        <v>946</v>
      </c>
      <c r="P6" s="748" t="s">
        <v>947</v>
      </c>
      <c r="Q6" s="748" t="s">
        <v>948</v>
      </c>
      <c r="R6" s="748" t="s">
        <v>949</v>
      </c>
      <c r="S6" s="748" t="s">
        <v>950</v>
      </c>
      <c r="T6" s="748" t="s">
        <v>951</v>
      </c>
      <c r="U6" s="748" t="s">
        <v>952</v>
      </c>
      <c r="V6" s="748" t="s">
        <v>953</v>
      </c>
      <c r="W6" s="748" t="s">
        <v>954</v>
      </c>
      <c r="X6" s="748" t="s">
        <v>955</v>
      </c>
      <c r="Y6" s="748" t="s">
        <v>956</v>
      </c>
      <c r="Z6" s="748" t="s">
        <v>957</v>
      </c>
      <c r="AA6" s="748" t="s">
        <v>958</v>
      </c>
      <c r="AB6" s="748" t="s">
        <v>959</v>
      </c>
      <c r="AC6" s="748" t="s">
        <v>960</v>
      </c>
      <c r="AD6" s="748" t="s">
        <v>961</v>
      </c>
      <c r="AE6" s="748" t="s">
        <v>962</v>
      </c>
      <c r="AF6" s="748" t="s">
        <v>963</v>
      </c>
      <c r="AG6" s="748" t="s">
        <v>964</v>
      </c>
      <c r="AH6" s="748" t="s">
        <v>965</v>
      </c>
      <c r="AI6" s="748" t="s">
        <v>966</v>
      </c>
      <c r="AJ6" s="748" t="s">
        <v>967</v>
      </c>
      <c r="AK6" s="748" t="s">
        <v>968</v>
      </c>
      <c r="AL6" s="748" t="s">
        <v>969</v>
      </c>
      <c r="AM6" s="748" t="s">
        <v>970</v>
      </c>
      <c r="AN6" s="748" t="s">
        <v>971</v>
      </c>
      <c r="AO6" s="748" t="s">
        <v>972</v>
      </c>
      <c r="AP6" s="748" t="s">
        <v>973</v>
      </c>
      <c r="AQ6" s="748" t="s">
        <v>974</v>
      </c>
      <c r="AR6" s="748" t="s">
        <v>975</v>
      </c>
      <c r="AS6" s="748" t="s">
        <v>976</v>
      </c>
      <c r="AT6" s="748" t="s">
        <v>977</v>
      </c>
      <c r="AU6" s="748" t="s">
        <v>978</v>
      </c>
      <c r="AV6" s="748" t="s">
        <v>979</v>
      </c>
      <c r="AW6" s="748" t="s">
        <v>980</v>
      </c>
      <c r="AX6" s="748" t="s">
        <v>981</v>
      </c>
      <c r="AY6" s="748" t="s">
        <v>982</v>
      </c>
      <c r="AZ6" s="748" t="s">
        <v>983</v>
      </c>
      <c r="BA6" s="748" t="s">
        <v>984</v>
      </c>
    </row>
    <row r="7" spans="1:53" ht="16" thickBot="1">
      <c r="A7" s="467"/>
      <c r="B7" s="473" t="s">
        <v>985</v>
      </c>
      <c r="C7" s="474" t="s">
        <v>524</v>
      </c>
      <c r="D7" s="474">
        <v>30</v>
      </c>
      <c r="E7" s="475"/>
      <c r="F7" s="749"/>
      <c r="G7" s="750"/>
      <c r="H7" s="750"/>
      <c r="I7" s="750"/>
      <c r="J7" s="751"/>
      <c r="K7" s="750"/>
      <c r="L7" s="750"/>
      <c r="M7" s="750"/>
      <c r="N7" s="750"/>
      <c r="O7" s="750"/>
      <c r="P7" s="750"/>
      <c r="Q7" s="750"/>
      <c r="R7" s="750"/>
      <c r="S7" s="750"/>
      <c r="T7" s="750"/>
      <c r="U7" s="750"/>
      <c r="V7" s="750"/>
      <c r="W7" s="750"/>
      <c r="X7" s="750"/>
      <c r="Y7" s="750"/>
      <c r="Z7" s="750"/>
      <c r="AA7" s="750"/>
      <c r="AB7" s="750"/>
      <c r="AC7" s="750"/>
      <c r="AD7" s="750"/>
      <c r="AE7" s="750"/>
      <c r="AF7" s="750"/>
      <c r="AG7" s="750"/>
      <c r="AH7" s="750"/>
      <c r="AI7" s="750"/>
      <c r="AJ7" s="750"/>
      <c r="AK7" s="750"/>
      <c r="AL7" s="750"/>
      <c r="AM7" s="750"/>
      <c r="AN7" s="750"/>
      <c r="AO7" s="750"/>
      <c r="AP7" s="750"/>
      <c r="AQ7" s="750"/>
      <c r="AR7" s="750"/>
      <c r="AS7" s="750"/>
      <c r="AT7" s="750"/>
      <c r="AU7" s="750"/>
      <c r="AV7" s="750"/>
      <c r="AW7" s="750"/>
      <c r="AX7" s="750"/>
      <c r="AY7" s="750"/>
      <c r="AZ7" s="750"/>
      <c r="BA7" s="750"/>
    </row>
    <row r="8" spans="1:53" ht="16" thickBot="1">
      <c r="A8" s="467"/>
      <c r="B8" s="473" t="s">
        <v>986</v>
      </c>
      <c r="C8" s="474" t="s">
        <v>524</v>
      </c>
      <c r="D8" s="474">
        <v>60</v>
      </c>
      <c r="E8" s="475"/>
      <c r="F8" s="752"/>
      <c r="G8" s="753"/>
      <c r="H8" s="753"/>
      <c r="I8" s="750"/>
      <c r="J8" s="751"/>
      <c r="K8" s="750"/>
      <c r="L8" s="750"/>
      <c r="M8" s="750"/>
      <c r="N8" s="750"/>
      <c r="O8" s="750"/>
      <c r="P8" s="750"/>
      <c r="Q8" s="750"/>
      <c r="R8" s="750"/>
      <c r="S8" s="750"/>
      <c r="T8" s="750"/>
      <c r="U8" s="750"/>
      <c r="V8" s="750"/>
      <c r="W8" s="750"/>
      <c r="X8" s="750"/>
      <c r="Y8" s="750"/>
      <c r="Z8" s="750"/>
      <c r="AA8" s="750"/>
      <c r="AB8" s="750"/>
      <c r="AC8" s="750"/>
      <c r="AD8" s="750"/>
      <c r="AE8" s="750"/>
      <c r="AF8" s="750"/>
      <c r="AG8" s="750"/>
      <c r="AH8" s="750"/>
      <c r="AI8" s="750"/>
      <c r="AJ8" s="750"/>
      <c r="AK8" s="750"/>
      <c r="AL8" s="750"/>
      <c r="AM8" s="750"/>
      <c r="AN8" s="750"/>
      <c r="AO8" s="750"/>
      <c r="AP8" s="750"/>
      <c r="AQ8" s="750"/>
      <c r="AR8" s="750"/>
      <c r="AS8" s="750"/>
      <c r="AT8" s="750"/>
      <c r="AU8" s="750"/>
      <c r="AV8" s="750"/>
      <c r="AW8" s="750"/>
      <c r="AX8" s="750"/>
      <c r="AY8" s="750"/>
      <c r="AZ8" s="750"/>
      <c r="BA8" s="750"/>
    </row>
    <row r="9" spans="1:53" ht="16" thickBot="1">
      <c r="A9" s="467"/>
      <c r="B9" s="473" t="s">
        <v>987</v>
      </c>
      <c r="C9" s="474" t="s">
        <v>524</v>
      </c>
      <c r="D9" s="474">
        <f>+D8</f>
        <v>60</v>
      </c>
      <c r="E9" s="475"/>
      <c r="F9" s="752"/>
      <c r="G9" s="750"/>
      <c r="H9" s="753"/>
      <c r="I9" s="753"/>
      <c r="J9" s="751"/>
      <c r="K9" s="750"/>
      <c r="L9" s="750"/>
      <c r="M9" s="750"/>
      <c r="N9" s="750"/>
      <c r="O9" s="750"/>
      <c r="P9" s="750"/>
      <c r="Q9" s="750"/>
      <c r="R9" s="750"/>
      <c r="S9" s="750"/>
      <c r="T9" s="750"/>
      <c r="U9" s="750"/>
      <c r="V9" s="750"/>
      <c r="W9" s="750"/>
      <c r="X9" s="750"/>
      <c r="Y9" s="750"/>
      <c r="Z9" s="750"/>
      <c r="AA9" s="750"/>
      <c r="AB9" s="750"/>
      <c r="AC9" s="750"/>
      <c r="AD9" s="750"/>
      <c r="AE9" s="750"/>
      <c r="AF9" s="750"/>
      <c r="AG9" s="750"/>
      <c r="AH9" s="750"/>
      <c r="AI9" s="750"/>
      <c r="AJ9" s="750"/>
      <c r="AK9" s="750"/>
      <c r="AL9" s="750"/>
      <c r="AM9" s="750"/>
      <c r="AN9" s="750"/>
      <c r="AO9" s="750"/>
      <c r="AP9" s="750"/>
      <c r="AQ9" s="750"/>
      <c r="AR9" s="750"/>
      <c r="AS9" s="750"/>
      <c r="AT9" s="750"/>
      <c r="AU9" s="750"/>
      <c r="AV9" s="750"/>
      <c r="AW9" s="750"/>
      <c r="AX9" s="750"/>
      <c r="AY9" s="750"/>
      <c r="AZ9" s="750"/>
      <c r="BA9" s="750"/>
    </row>
    <row r="10" spans="1:53" ht="16" thickBot="1">
      <c r="A10" s="467"/>
      <c r="B10" s="473" t="s">
        <v>988</v>
      </c>
      <c r="C10" s="474" t="s">
        <v>524</v>
      </c>
      <c r="D10" s="474">
        <f>+D9</f>
        <v>60</v>
      </c>
      <c r="E10" s="475"/>
      <c r="F10" s="754"/>
      <c r="G10" s="755"/>
      <c r="H10" s="755"/>
      <c r="I10" s="756"/>
      <c r="J10" s="756"/>
      <c r="K10" s="755"/>
      <c r="L10" s="755"/>
      <c r="M10" s="755"/>
      <c r="N10" s="755"/>
      <c r="O10" s="755"/>
      <c r="P10" s="755"/>
      <c r="Q10" s="755"/>
      <c r="R10" s="755"/>
      <c r="S10" s="755"/>
      <c r="T10" s="755"/>
      <c r="U10" s="755"/>
      <c r="V10" s="755"/>
      <c r="W10" s="755"/>
      <c r="X10" s="755"/>
      <c r="Y10" s="755"/>
      <c r="Z10" s="755"/>
      <c r="AA10" s="755"/>
      <c r="AB10" s="755"/>
      <c r="AC10" s="755"/>
      <c r="AD10" s="755"/>
      <c r="AE10" s="755"/>
      <c r="AF10" s="755"/>
      <c r="AG10" s="755"/>
      <c r="AH10" s="755"/>
      <c r="AI10" s="755"/>
      <c r="AJ10" s="755"/>
      <c r="AK10" s="755"/>
      <c r="AL10" s="755"/>
      <c r="AM10" s="755"/>
      <c r="AN10" s="755"/>
      <c r="AO10" s="755"/>
      <c r="AP10" s="755"/>
      <c r="AQ10" s="755"/>
      <c r="AR10" s="755"/>
      <c r="AS10" s="755"/>
      <c r="AT10" s="755"/>
      <c r="AU10" s="755"/>
      <c r="AV10" s="755"/>
      <c r="AW10" s="755"/>
      <c r="AX10" s="755"/>
      <c r="AY10" s="755"/>
      <c r="AZ10" s="755"/>
      <c r="BA10" s="755"/>
    </row>
    <row r="11" spans="1:53" ht="13">
      <c r="A11" s="468"/>
      <c r="B11" s="469" t="s">
        <v>989</v>
      </c>
      <c r="C11" s="476"/>
      <c r="D11" s="469"/>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0"/>
      <c r="AC11" s="470"/>
      <c r="AD11" s="470"/>
      <c r="AE11" s="470"/>
      <c r="AF11" s="470"/>
      <c r="AG11" s="470"/>
      <c r="AH11" s="470"/>
      <c r="AI11" s="470"/>
      <c r="AJ11" s="470"/>
      <c r="AK11" s="470"/>
      <c r="AL11" s="470"/>
      <c r="AM11" s="470"/>
      <c r="AN11" s="470"/>
      <c r="AO11" s="470"/>
      <c r="AP11" s="470"/>
      <c r="AQ11" s="470"/>
      <c r="AR11" s="470"/>
      <c r="AS11" s="470"/>
      <c r="AT11" s="470"/>
      <c r="AU11" s="470"/>
      <c r="AV11" s="470"/>
      <c r="AW11" s="470"/>
      <c r="AX11" s="470"/>
      <c r="AY11" s="470"/>
      <c r="AZ11" s="471"/>
      <c r="BA11" s="472"/>
    </row>
    <row r="12" spans="1:53" s="483" customFormat="1" ht="13">
      <c r="A12" s="477">
        <v>1</v>
      </c>
      <c r="B12" s="684" t="str">
        <f>'PRES GENERAL MR(OXI)'!B5</f>
        <v>REALIZAR REPLANTEO DE OBRA</v>
      </c>
      <c r="C12" s="478" t="s">
        <v>990</v>
      </c>
      <c r="D12" s="478">
        <f>'PRES GENERAL MR(OXI)'!D5</f>
        <v>98</v>
      </c>
      <c r="E12" s="479">
        <f>'PRES GENERAL MR(OXI)'!P5</f>
        <v>0</v>
      </c>
      <c r="F12" s="480"/>
      <c r="G12" s="480"/>
      <c r="H12" s="480"/>
      <c r="I12" s="480"/>
      <c r="J12" s="480"/>
      <c r="K12" s="481">
        <f>+$E12/4</f>
        <v>0</v>
      </c>
      <c r="L12" s="481">
        <f t="shared" ref="L12:N12" si="0">+$E12/4</f>
        <v>0</v>
      </c>
      <c r="M12" s="481">
        <f t="shared" si="0"/>
        <v>0</v>
      </c>
      <c r="N12" s="481">
        <f t="shared" si="0"/>
        <v>0</v>
      </c>
      <c r="O12" s="480"/>
      <c r="P12" s="480"/>
      <c r="Q12" s="480"/>
      <c r="R12" s="480"/>
      <c r="S12" s="480"/>
      <c r="T12" s="480"/>
      <c r="U12" s="480"/>
      <c r="V12" s="480"/>
      <c r="W12" s="480"/>
      <c r="X12" s="480"/>
      <c r="Y12" s="480"/>
      <c r="Z12" s="480"/>
      <c r="AA12" s="480"/>
      <c r="AB12" s="480"/>
      <c r="AC12" s="480"/>
      <c r="AD12" s="480"/>
      <c r="AE12" s="480"/>
      <c r="AF12" s="480"/>
      <c r="AG12" s="480"/>
      <c r="AH12" s="480"/>
      <c r="AI12" s="480"/>
      <c r="AJ12" s="480"/>
      <c r="AK12" s="480"/>
      <c r="AL12" s="480"/>
      <c r="AM12" s="480"/>
      <c r="AN12" s="480"/>
      <c r="AO12" s="480"/>
      <c r="AP12" s="480"/>
      <c r="AQ12" s="480"/>
      <c r="AR12" s="480"/>
      <c r="AS12" s="480"/>
      <c r="AT12" s="480"/>
      <c r="AU12" s="480"/>
      <c r="AV12" s="480"/>
      <c r="AW12" s="480"/>
      <c r="AX12" s="480"/>
      <c r="AY12" s="480"/>
      <c r="AZ12" s="480"/>
      <c r="BA12" s="482"/>
    </row>
    <row r="13" spans="1:53" s="483" customFormat="1" ht="13">
      <c r="A13" s="477"/>
      <c r="B13" s="684" t="s">
        <v>991</v>
      </c>
      <c r="C13" s="478"/>
      <c r="D13" s="478"/>
      <c r="E13" s="479"/>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c r="AH13" s="480"/>
      <c r="AI13" s="480"/>
      <c r="AJ13" s="480"/>
      <c r="AK13" s="480"/>
      <c r="AL13" s="480"/>
      <c r="AM13" s="480"/>
      <c r="AN13" s="480"/>
      <c r="AO13" s="480"/>
      <c r="AP13" s="480"/>
      <c r="AQ13" s="480"/>
      <c r="AR13" s="480"/>
      <c r="AS13" s="480"/>
      <c r="AT13" s="480"/>
      <c r="AU13" s="480"/>
      <c r="AV13" s="480"/>
      <c r="AW13" s="480"/>
      <c r="AX13" s="480"/>
      <c r="AY13" s="480"/>
      <c r="AZ13" s="480"/>
      <c r="BA13" s="482"/>
    </row>
    <row r="14" spans="1:53" s="483" customFormat="1" ht="13">
      <c r="A14" s="477"/>
      <c r="B14" s="684" t="s">
        <v>992</v>
      </c>
      <c r="C14" s="478" t="s">
        <v>990</v>
      </c>
      <c r="D14" s="478"/>
      <c r="E14" s="479">
        <f>+equipos!N7*0.9</f>
        <v>1208596960.8</v>
      </c>
      <c r="F14" s="480"/>
      <c r="G14" s="480"/>
      <c r="H14" s="480"/>
      <c r="I14" s="480"/>
      <c r="J14" s="480"/>
      <c r="K14" s="480"/>
      <c r="L14" s="480"/>
      <c r="M14" s="480"/>
      <c r="N14" s="480"/>
      <c r="O14" s="481">
        <f>+$E14/2</f>
        <v>604298480.39999998</v>
      </c>
      <c r="P14" s="481">
        <f>+$E14/2</f>
        <v>604298480.39999998</v>
      </c>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c r="AO14" s="480"/>
      <c r="AP14" s="480"/>
      <c r="AQ14" s="480"/>
      <c r="AR14" s="480"/>
      <c r="AS14" s="480"/>
      <c r="AT14" s="480"/>
      <c r="AU14" s="480"/>
      <c r="AV14" s="480"/>
      <c r="AW14" s="480"/>
      <c r="AX14" s="480"/>
      <c r="AY14" s="480"/>
      <c r="AZ14" s="480"/>
      <c r="BA14" s="482"/>
    </row>
    <row r="15" spans="1:53" s="483" customFormat="1" ht="13">
      <c r="A15" s="477"/>
      <c r="B15" s="684" t="s">
        <v>993</v>
      </c>
      <c r="C15" s="478" t="s">
        <v>990</v>
      </c>
      <c r="D15" s="478"/>
      <c r="E15" s="479">
        <f>equipos!N7*0.06</f>
        <v>80573130.719999999</v>
      </c>
      <c r="F15" s="480"/>
      <c r="G15" s="480"/>
      <c r="H15" s="480"/>
      <c r="I15" s="480"/>
      <c r="J15" s="480"/>
      <c r="K15" s="480"/>
      <c r="L15" s="480"/>
      <c r="M15" s="480"/>
      <c r="N15" s="480"/>
      <c r="O15" s="480"/>
      <c r="P15" s="480"/>
      <c r="Q15" s="481">
        <f>+$E15/10</f>
        <v>8057313.0719999997</v>
      </c>
      <c r="R15" s="481">
        <f t="shared" ref="R15:Z15" si="1">+$E15/10</f>
        <v>8057313.0719999997</v>
      </c>
      <c r="S15" s="481">
        <f t="shared" si="1"/>
        <v>8057313.0719999997</v>
      </c>
      <c r="T15" s="481">
        <f t="shared" si="1"/>
        <v>8057313.0719999997</v>
      </c>
      <c r="U15" s="481">
        <f t="shared" si="1"/>
        <v>8057313.0719999997</v>
      </c>
      <c r="V15" s="481">
        <f t="shared" si="1"/>
        <v>8057313.0719999997</v>
      </c>
      <c r="W15" s="481">
        <f t="shared" si="1"/>
        <v>8057313.0719999997</v>
      </c>
      <c r="X15" s="481">
        <f t="shared" si="1"/>
        <v>8057313.0719999997</v>
      </c>
      <c r="Y15" s="481">
        <f t="shared" si="1"/>
        <v>8057313.0719999997</v>
      </c>
      <c r="Z15" s="481">
        <f t="shared" si="1"/>
        <v>8057313.0719999997</v>
      </c>
      <c r="AA15" s="480"/>
      <c r="AB15" s="480"/>
      <c r="AC15" s="480"/>
      <c r="AD15" s="480"/>
      <c r="AE15" s="480"/>
      <c r="AF15" s="480"/>
      <c r="AG15" s="480"/>
      <c r="AH15" s="480"/>
      <c r="AI15" s="480"/>
      <c r="AJ15" s="480"/>
      <c r="AK15" s="480"/>
      <c r="AL15" s="480"/>
      <c r="AM15" s="480"/>
      <c r="AN15" s="480"/>
      <c r="AO15" s="480"/>
      <c r="AP15" s="480"/>
      <c r="AQ15" s="480"/>
      <c r="AR15" s="480"/>
      <c r="AS15" s="480"/>
      <c r="AT15" s="480"/>
      <c r="AU15" s="480"/>
      <c r="AV15" s="480"/>
      <c r="AW15" s="480"/>
      <c r="AX15" s="480"/>
      <c r="AY15" s="480"/>
      <c r="AZ15" s="480"/>
      <c r="BA15" s="482"/>
    </row>
    <row r="16" spans="1:53" s="483" customFormat="1" ht="13">
      <c r="A16" s="477"/>
      <c r="B16" s="684" t="s">
        <v>994</v>
      </c>
      <c r="C16" s="478" t="s">
        <v>990</v>
      </c>
      <c r="D16" s="478"/>
      <c r="E16" s="479">
        <f>equipos!N7*0.04</f>
        <v>53715420.480000004</v>
      </c>
      <c r="F16" s="480"/>
      <c r="G16" s="480"/>
      <c r="H16" s="480"/>
      <c r="I16" s="480"/>
      <c r="J16" s="480"/>
      <c r="K16" s="480"/>
      <c r="L16" s="480"/>
      <c r="M16" s="480"/>
      <c r="N16" s="480"/>
      <c r="O16" s="480"/>
      <c r="P16" s="480"/>
      <c r="Q16" s="480"/>
      <c r="R16" s="480"/>
      <c r="S16" s="480"/>
      <c r="T16" s="480"/>
      <c r="U16" s="480"/>
      <c r="V16" s="480"/>
      <c r="W16" s="480"/>
      <c r="X16" s="480"/>
      <c r="Y16" s="480"/>
      <c r="Z16" s="480"/>
      <c r="AA16" s="481">
        <f>+$E16/2</f>
        <v>26857710.240000002</v>
      </c>
      <c r="AB16" s="481">
        <f>+$E16/2</f>
        <v>26857710.240000002</v>
      </c>
      <c r="AC16" s="480"/>
      <c r="AD16" s="480"/>
      <c r="AE16" s="480"/>
      <c r="AF16" s="480"/>
      <c r="AG16" s="480"/>
      <c r="AH16" s="480"/>
      <c r="AI16" s="480"/>
      <c r="AJ16" s="480"/>
      <c r="AK16" s="480"/>
      <c r="AL16" s="480"/>
      <c r="AM16" s="480"/>
      <c r="AN16" s="480"/>
      <c r="AO16" s="480"/>
      <c r="AP16" s="480"/>
      <c r="AQ16" s="480"/>
      <c r="AR16" s="480"/>
      <c r="AS16" s="480"/>
      <c r="AT16" s="480"/>
      <c r="AU16" s="480"/>
      <c r="AV16" s="480"/>
      <c r="AW16" s="480"/>
      <c r="AX16" s="480"/>
      <c r="AY16" s="480"/>
      <c r="AZ16" s="480"/>
      <c r="BA16" s="482"/>
    </row>
    <row r="17" spans="1:55">
      <c r="A17" s="477">
        <v>2</v>
      </c>
      <c r="B17" s="684" t="str">
        <f>'PRES GENERAL MR(OXI)'!B6</f>
        <v>IMPLEMENTAR SISTEMA INDIVIDUAL SOLAR FOTOVOLTAICO</v>
      </c>
      <c r="C17" s="478" t="s">
        <v>990</v>
      </c>
      <c r="D17" s="478">
        <f>'PRES GENERAL MR(OXI)'!D7</f>
        <v>53</v>
      </c>
      <c r="E17" s="479">
        <f>'PRES GENERAL MR(OXI)'!P6-equipos!J7</f>
        <v>-842934949</v>
      </c>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1">
        <f>+$E17/20</f>
        <v>-42146747.450000003</v>
      </c>
      <c r="AD17" s="481">
        <f t="shared" ref="AD17:AV22" si="2">+$E17/20</f>
        <v>-42146747.450000003</v>
      </c>
      <c r="AE17" s="481">
        <f t="shared" si="2"/>
        <v>-42146747.450000003</v>
      </c>
      <c r="AF17" s="481">
        <f t="shared" si="2"/>
        <v>-42146747.450000003</v>
      </c>
      <c r="AG17" s="481">
        <f t="shared" si="2"/>
        <v>-42146747.450000003</v>
      </c>
      <c r="AH17" s="481">
        <f t="shared" si="2"/>
        <v>-42146747.450000003</v>
      </c>
      <c r="AI17" s="481">
        <f t="shared" si="2"/>
        <v>-42146747.450000003</v>
      </c>
      <c r="AJ17" s="481">
        <f t="shared" si="2"/>
        <v>-42146747.450000003</v>
      </c>
      <c r="AK17" s="481">
        <f t="shared" si="2"/>
        <v>-42146747.450000003</v>
      </c>
      <c r="AL17" s="481">
        <f t="shared" si="2"/>
        <v>-42146747.450000003</v>
      </c>
      <c r="AM17" s="481">
        <f t="shared" si="2"/>
        <v>-42146747.450000003</v>
      </c>
      <c r="AN17" s="481">
        <f t="shared" si="2"/>
        <v>-42146747.450000003</v>
      </c>
      <c r="AO17" s="481">
        <f t="shared" si="2"/>
        <v>-42146747.450000003</v>
      </c>
      <c r="AP17" s="481">
        <f t="shared" si="2"/>
        <v>-42146747.450000003</v>
      </c>
      <c r="AQ17" s="481">
        <f t="shared" si="2"/>
        <v>-42146747.450000003</v>
      </c>
      <c r="AR17" s="481">
        <f t="shared" si="2"/>
        <v>-42146747.450000003</v>
      </c>
      <c r="AS17" s="481">
        <f t="shared" si="2"/>
        <v>-42146747.450000003</v>
      </c>
      <c r="AT17" s="481">
        <f t="shared" si="2"/>
        <v>-42146747.450000003</v>
      </c>
      <c r="AU17" s="481">
        <f t="shared" si="2"/>
        <v>-42146747.450000003</v>
      </c>
      <c r="AV17" s="481">
        <f t="shared" si="2"/>
        <v>-42146747.450000003</v>
      </c>
      <c r="AW17" s="480"/>
      <c r="AX17" s="480"/>
      <c r="AY17" s="480"/>
      <c r="AZ17" s="480"/>
      <c r="BA17" s="482"/>
      <c r="BB17" s="484"/>
    </row>
    <row r="18" spans="1:55">
      <c r="A18" s="477">
        <v>3</v>
      </c>
      <c r="B18" s="684" t="str">
        <f>'PRES GENERAL MR(OXI)'!B12</f>
        <v>IMPLEMENTAR SSFV MICRORED 5 KW</v>
      </c>
      <c r="C18" s="478" t="s">
        <v>990</v>
      </c>
      <c r="D18" s="485">
        <f>'PRES GENERAL MR(OXI)'!D13</f>
        <v>2</v>
      </c>
      <c r="E18" s="479">
        <f>'PRES GENERAL MR(OXI)'!P12-equipos!K7</f>
        <v>-142843018</v>
      </c>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1">
        <f t="shared" ref="AC18:AC22" si="3">+$E18/20</f>
        <v>-7142150.9000000004</v>
      </c>
      <c r="AD18" s="481">
        <f t="shared" si="2"/>
        <v>-7142150.9000000004</v>
      </c>
      <c r="AE18" s="481">
        <f t="shared" si="2"/>
        <v>-7142150.9000000004</v>
      </c>
      <c r="AF18" s="481">
        <f t="shared" si="2"/>
        <v>-7142150.9000000004</v>
      </c>
      <c r="AG18" s="481">
        <f t="shared" si="2"/>
        <v>-7142150.9000000004</v>
      </c>
      <c r="AH18" s="481">
        <f t="shared" si="2"/>
        <v>-7142150.9000000004</v>
      </c>
      <c r="AI18" s="481">
        <f t="shared" si="2"/>
        <v>-7142150.9000000004</v>
      </c>
      <c r="AJ18" s="481">
        <f t="shared" si="2"/>
        <v>-7142150.9000000004</v>
      </c>
      <c r="AK18" s="481">
        <f t="shared" si="2"/>
        <v>-7142150.9000000004</v>
      </c>
      <c r="AL18" s="481">
        <f t="shared" si="2"/>
        <v>-7142150.9000000004</v>
      </c>
      <c r="AM18" s="481">
        <f t="shared" si="2"/>
        <v>-7142150.9000000004</v>
      </c>
      <c r="AN18" s="481">
        <f t="shared" si="2"/>
        <v>-7142150.9000000004</v>
      </c>
      <c r="AO18" s="481">
        <f t="shared" si="2"/>
        <v>-7142150.9000000004</v>
      </c>
      <c r="AP18" s="481">
        <f t="shared" si="2"/>
        <v>-7142150.9000000004</v>
      </c>
      <c r="AQ18" s="481">
        <f t="shared" si="2"/>
        <v>-7142150.9000000004</v>
      </c>
      <c r="AR18" s="481">
        <f t="shared" si="2"/>
        <v>-7142150.9000000004</v>
      </c>
      <c r="AS18" s="481">
        <f t="shared" si="2"/>
        <v>-7142150.9000000004</v>
      </c>
      <c r="AT18" s="481">
        <f t="shared" si="2"/>
        <v>-7142150.9000000004</v>
      </c>
      <c r="AU18" s="481">
        <f t="shared" si="2"/>
        <v>-7142150.9000000004</v>
      </c>
      <c r="AV18" s="481">
        <f t="shared" si="2"/>
        <v>-7142150.9000000004</v>
      </c>
      <c r="AW18" s="480"/>
      <c r="AX18" s="480"/>
      <c r="AY18" s="480"/>
      <c r="AZ18" s="480"/>
      <c r="BA18" s="482"/>
      <c r="BB18" s="484"/>
    </row>
    <row r="19" spans="1:55">
      <c r="A19" s="477">
        <v>4</v>
      </c>
      <c r="B19" s="684" t="str">
        <f>'PRES GENERAL MR(OXI)'!B20</f>
        <v>IMPLEMENTAR SSFV MICRORED 10 KW</v>
      </c>
      <c r="C19" s="478" t="s">
        <v>990</v>
      </c>
      <c r="D19" s="485">
        <f>'PRES GENERAL MR(OXI)'!D21</f>
        <v>1</v>
      </c>
      <c r="E19" s="479">
        <f>'PRES GENERAL MR(OXI)'!P20-equipos!L7</f>
        <v>-142843018</v>
      </c>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1">
        <f t="shared" si="3"/>
        <v>-7142150.9000000004</v>
      </c>
      <c r="AD19" s="481">
        <f t="shared" si="2"/>
        <v>-7142150.9000000004</v>
      </c>
      <c r="AE19" s="481">
        <f t="shared" si="2"/>
        <v>-7142150.9000000004</v>
      </c>
      <c r="AF19" s="481">
        <f t="shared" si="2"/>
        <v>-7142150.9000000004</v>
      </c>
      <c r="AG19" s="481">
        <f t="shared" si="2"/>
        <v>-7142150.9000000004</v>
      </c>
      <c r="AH19" s="481">
        <f t="shared" si="2"/>
        <v>-7142150.9000000004</v>
      </c>
      <c r="AI19" s="481">
        <f t="shared" si="2"/>
        <v>-7142150.9000000004</v>
      </c>
      <c r="AJ19" s="481">
        <f t="shared" si="2"/>
        <v>-7142150.9000000004</v>
      </c>
      <c r="AK19" s="481">
        <f t="shared" si="2"/>
        <v>-7142150.9000000004</v>
      </c>
      <c r="AL19" s="481">
        <f t="shared" si="2"/>
        <v>-7142150.9000000004</v>
      </c>
      <c r="AM19" s="481">
        <f t="shared" si="2"/>
        <v>-7142150.9000000004</v>
      </c>
      <c r="AN19" s="481">
        <f t="shared" si="2"/>
        <v>-7142150.9000000004</v>
      </c>
      <c r="AO19" s="481">
        <f t="shared" si="2"/>
        <v>-7142150.9000000004</v>
      </c>
      <c r="AP19" s="481">
        <f t="shared" si="2"/>
        <v>-7142150.9000000004</v>
      </c>
      <c r="AQ19" s="481">
        <f t="shared" si="2"/>
        <v>-7142150.9000000004</v>
      </c>
      <c r="AR19" s="481">
        <f t="shared" si="2"/>
        <v>-7142150.9000000004</v>
      </c>
      <c r="AS19" s="481">
        <f t="shared" si="2"/>
        <v>-7142150.9000000004</v>
      </c>
      <c r="AT19" s="481">
        <f t="shared" si="2"/>
        <v>-7142150.9000000004</v>
      </c>
      <c r="AU19" s="481">
        <f t="shared" si="2"/>
        <v>-7142150.9000000004</v>
      </c>
      <c r="AV19" s="481">
        <f t="shared" si="2"/>
        <v>-7142150.9000000004</v>
      </c>
      <c r="AW19" s="480"/>
      <c r="AX19" s="480"/>
      <c r="AY19" s="480"/>
      <c r="AZ19" s="480"/>
      <c r="BA19" s="482"/>
      <c r="BB19" s="484"/>
    </row>
    <row r="20" spans="1:55">
      <c r="A20" s="477">
        <v>5</v>
      </c>
      <c r="B20" s="684" t="str">
        <f>'PRES GENERAL MR(OXI)'!B28</f>
        <v>IMPLEMENTAR SSFV MICRORED 15 KW</v>
      </c>
      <c r="C20" s="478" t="s">
        <v>990</v>
      </c>
      <c r="D20" s="485">
        <f>'PRES GENERAL MR(OXI)'!D29</f>
        <v>1</v>
      </c>
      <c r="E20" s="479">
        <f>'PRES GENERAL MR(OXI)'!P28-equipos!M7</f>
        <v>-214264527</v>
      </c>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1">
        <f t="shared" si="3"/>
        <v>-10713226.35</v>
      </c>
      <c r="AD20" s="481">
        <f t="shared" si="2"/>
        <v>-10713226.35</v>
      </c>
      <c r="AE20" s="481">
        <f t="shared" si="2"/>
        <v>-10713226.35</v>
      </c>
      <c r="AF20" s="481">
        <f t="shared" si="2"/>
        <v>-10713226.35</v>
      </c>
      <c r="AG20" s="481">
        <f t="shared" si="2"/>
        <v>-10713226.35</v>
      </c>
      <c r="AH20" s="481">
        <f t="shared" si="2"/>
        <v>-10713226.35</v>
      </c>
      <c r="AI20" s="481">
        <f t="shared" si="2"/>
        <v>-10713226.35</v>
      </c>
      <c r="AJ20" s="481">
        <f t="shared" si="2"/>
        <v>-10713226.35</v>
      </c>
      <c r="AK20" s="481">
        <f t="shared" si="2"/>
        <v>-10713226.35</v>
      </c>
      <c r="AL20" s="481">
        <f t="shared" si="2"/>
        <v>-10713226.35</v>
      </c>
      <c r="AM20" s="481">
        <f t="shared" si="2"/>
        <v>-10713226.35</v>
      </c>
      <c r="AN20" s="481">
        <f t="shared" si="2"/>
        <v>-10713226.35</v>
      </c>
      <c r="AO20" s="481">
        <f t="shared" si="2"/>
        <v>-10713226.35</v>
      </c>
      <c r="AP20" s="481">
        <f t="shared" si="2"/>
        <v>-10713226.35</v>
      </c>
      <c r="AQ20" s="481">
        <f t="shared" si="2"/>
        <v>-10713226.35</v>
      </c>
      <c r="AR20" s="481">
        <f t="shared" si="2"/>
        <v>-10713226.35</v>
      </c>
      <c r="AS20" s="481">
        <f t="shared" si="2"/>
        <v>-10713226.35</v>
      </c>
      <c r="AT20" s="481">
        <f t="shared" si="2"/>
        <v>-10713226.35</v>
      </c>
      <c r="AU20" s="481">
        <f t="shared" si="2"/>
        <v>-10713226.35</v>
      </c>
      <c r="AV20" s="481">
        <f t="shared" si="2"/>
        <v>-10713226.35</v>
      </c>
      <c r="AW20" s="480"/>
      <c r="AX20" s="480"/>
      <c r="AY20" s="480"/>
      <c r="AZ20" s="480"/>
      <c r="BA20" s="482"/>
      <c r="BB20" s="484"/>
    </row>
    <row r="21" spans="1:55">
      <c r="A21" s="477"/>
      <c r="B21" s="684"/>
      <c r="C21" s="478"/>
      <c r="D21" s="485"/>
      <c r="E21" s="479"/>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1"/>
      <c r="AD21" s="481"/>
      <c r="AE21" s="481"/>
      <c r="AF21" s="481"/>
      <c r="AG21" s="481"/>
      <c r="AH21" s="481"/>
      <c r="AI21" s="481"/>
      <c r="AJ21" s="481"/>
      <c r="AK21" s="481"/>
      <c r="AL21" s="481"/>
      <c r="AM21" s="481"/>
      <c r="AN21" s="481"/>
      <c r="AO21" s="481"/>
      <c r="AP21" s="481"/>
      <c r="AQ21" s="481"/>
      <c r="AR21" s="481"/>
      <c r="AS21" s="481"/>
      <c r="AT21" s="481"/>
      <c r="AU21" s="481"/>
      <c r="AV21" s="481"/>
      <c r="AW21" s="480"/>
      <c r="AX21" s="480"/>
      <c r="AY21" s="480"/>
      <c r="AZ21" s="480"/>
      <c r="BA21" s="482"/>
      <c r="BB21" s="484"/>
    </row>
    <row r="22" spans="1:55">
      <c r="A22" s="477">
        <v>6</v>
      </c>
      <c r="B22" s="685" t="str">
        <f>'PRES GENERAL MR(OXI)'!B36</f>
        <v>IMPLEMENTAR INSTALACIONES INTERNAS EN AC</v>
      </c>
      <c r="C22" s="478" t="s">
        <v>990</v>
      </c>
      <c r="D22" s="485">
        <f>'PRES GENERAL MR(OXI)'!D37</f>
        <v>98</v>
      </c>
      <c r="E22" s="479">
        <f>'PRES GENERAL MR(OXI)'!P37</f>
        <v>0</v>
      </c>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1">
        <f t="shared" si="3"/>
        <v>0</v>
      </c>
      <c r="AD22" s="481">
        <f t="shared" si="2"/>
        <v>0</v>
      </c>
      <c r="AE22" s="481">
        <f t="shared" si="2"/>
        <v>0</v>
      </c>
      <c r="AF22" s="481">
        <f t="shared" si="2"/>
        <v>0</v>
      </c>
      <c r="AG22" s="481">
        <f t="shared" si="2"/>
        <v>0</v>
      </c>
      <c r="AH22" s="481">
        <f t="shared" si="2"/>
        <v>0</v>
      </c>
      <c r="AI22" s="481">
        <f t="shared" si="2"/>
        <v>0</v>
      </c>
      <c r="AJ22" s="481">
        <f t="shared" si="2"/>
        <v>0</v>
      </c>
      <c r="AK22" s="481">
        <f t="shared" si="2"/>
        <v>0</v>
      </c>
      <c r="AL22" s="481">
        <f t="shared" si="2"/>
        <v>0</v>
      </c>
      <c r="AM22" s="481">
        <f t="shared" si="2"/>
        <v>0</v>
      </c>
      <c r="AN22" s="481">
        <f t="shared" si="2"/>
        <v>0</v>
      </c>
      <c r="AO22" s="481">
        <f t="shared" si="2"/>
        <v>0</v>
      </c>
      <c r="AP22" s="481">
        <f t="shared" si="2"/>
        <v>0</v>
      </c>
      <c r="AQ22" s="481">
        <f t="shared" si="2"/>
        <v>0</v>
      </c>
      <c r="AR22" s="481">
        <f t="shared" si="2"/>
        <v>0</v>
      </c>
      <c r="AS22" s="481">
        <f t="shared" si="2"/>
        <v>0</v>
      </c>
      <c r="AT22" s="481">
        <f t="shared" si="2"/>
        <v>0</v>
      </c>
      <c r="AU22" s="481">
        <f t="shared" si="2"/>
        <v>0</v>
      </c>
      <c r="AV22" s="481">
        <f t="shared" si="2"/>
        <v>0</v>
      </c>
      <c r="AW22" s="480"/>
      <c r="AX22" s="480"/>
      <c r="AY22" s="480"/>
      <c r="AZ22" s="480"/>
      <c r="BA22" s="482"/>
      <c r="BB22" s="484"/>
    </row>
    <row r="23" spans="1:55" ht="13">
      <c r="A23" s="468"/>
      <c r="B23" s="469" t="s">
        <v>995</v>
      </c>
      <c r="C23" s="476"/>
      <c r="D23" s="469"/>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1"/>
      <c r="BA23" s="472"/>
    </row>
    <row r="24" spans="1:55" s="483" customFormat="1" ht="20">
      <c r="A24" s="477"/>
      <c r="B24" s="788" t="s">
        <v>996</v>
      </c>
      <c r="C24" s="478" t="s">
        <v>997</v>
      </c>
      <c r="D24" s="478">
        <v>30</v>
      </c>
      <c r="E24" s="479"/>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c r="AJ24" s="480"/>
      <c r="AK24" s="480"/>
      <c r="AL24" s="480"/>
      <c r="AM24" s="480"/>
      <c r="AN24" s="480"/>
      <c r="AO24" s="480"/>
      <c r="AP24" s="480"/>
      <c r="AQ24" s="480"/>
      <c r="AR24" s="480"/>
      <c r="AS24" s="480"/>
      <c r="AT24" s="480"/>
      <c r="AU24" s="480"/>
      <c r="AV24" s="480"/>
      <c r="AW24" s="789"/>
      <c r="AX24" s="480"/>
      <c r="AY24" s="480"/>
      <c r="AZ24" s="480"/>
      <c r="BA24" s="482"/>
    </row>
    <row r="25" spans="1:55" s="483" customFormat="1" ht="20">
      <c r="A25" s="477"/>
      <c r="B25" s="788" t="s">
        <v>998</v>
      </c>
      <c r="C25" s="478" t="s">
        <v>997</v>
      </c>
      <c r="D25" s="478">
        <v>60</v>
      </c>
      <c r="E25" s="479"/>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c r="AJ25" s="480"/>
      <c r="AK25" s="480"/>
      <c r="AL25" s="480"/>
      <c r="AM25" s="480"/>
      <c r="AN25" s="480"/>
      <c r="AO25" s="480"/>
      <c r="AP25" s="480"/>
      <c r="AQ25" s="480"/>
      <c r="AR25" s="480"/>
      <c r="AS25" s="480"/>
      <c r="AT25" s="480"/>
      <c r="AU25" s="480"/>
      <c r="AV25" s="480"/>
      <c r="AW25" s="789"/>
      <c r="AX25" s="789"/>
      <c r="AY25" s="480"/>
      <c r="AZ25" s="480"/>
      <c r="BA25" s="482"/>
    </row>
    <row r="26" spans="1:55" s="483" customFormat="1" ht="13">
      <c r="A26" s="477"/>
      <c r="B26" s="788" t="s">
        <v>999</v>
      </c>
      <c r="C26" s="478" t="s">
        <v>997</v>
      </c>
      <c r="D26" s="478">
        <v>90</v>
      </c>
      <c r="E26" s="479"/>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c r="AO26" s="480"/>
      <c r="AP26" s="480"/>
      <c r="AQ26" s="480"/>
      <c r="AR26" s="480"/>
      <c r="AS26" s="480"/>
      <c r="AT26" s="480"/>
      <c r="AU26" s="480"/>
      <c r="AV26" s="480"/>
      <c r="AW26" s="480"/>
      <c r="AX26" s="789"/>
      <c r="AY26" s="789"/>
      <c r="AZ26" s="789"/>
      <c r="BA26" s="482"/>
    </row>
    <row r="27" spans="1:55" s="483" customFormat="1" ht="13">
      <c r="A27" s="477"/>
      <c r="B27" s="788" t="s">
        <v>1000</v>
      </c>
      <c r="C27" s="478" t="s">
        <v>997</v>
      </c>
      <c r="D27" s="478">
        <v>30</v>
      </c>
      <c r="E27" s="479"/>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c r="AH27" s="480"/>
      <c r="AI27" s="480"/>
      <c r="AJ27" s="480"/>
      <c r="AK27" s="480"/>
      <c r="AL27" s="480"/>
      <c r="AM27" s="480"/>
      <c r="AN27" s="480"/>
      <c r="AO27" s="480"/>
      <c r="AP27" s="480"/>
      <c r="AQ27" s="480"/>
      <c r="AR27" s="480"/>
      <c r="AS27" s="480"/>
      <c r="AT27" s="480"/>
      <c r="AU27" s="480"/>
      <c r="AV27" s="480"/>
      <c r="AW27" s="480"/>
      <c r="AX27" s="480"/>
      <c r="AY27" s="480"/>
      <c r="AZ27" s="480"/>
      <c r="BA27" s="789"/>
    </row>
    <row r="28" spans="1:55" ht="13.4" customHeight="1">
      <c r="A28" s="1627" t="s">
        <v>1001</v>
      </c>
      <c r="B28" s="1628"/>
      <c r="C28" s="1628"/>
      <c r="D28" s="1629"/>
      <c r="E28" s="486">
        <f>+SUM(E12:E22)</f>
        <v>0</v>
      </c>
      <c r="F28" s="487"/>
      <c r="G28" s="487"/>
      <c r="H28" s="487"/>
      <c r="I28" s="487"/>
      <c r="J28" s="487"/>
      <c r="K28" s="486">
        <f>+SUM(K12:K22)</f>
        <v>0</v>
      </c>
      <c r="L28" s="486">
        <f t="shared" ref="L28:AV28" si="4">+SUM(L12:L22)</f>
        <v>0</v>
      </c>
      <c r="M28" s="486">
        <f t="shared" si="4"/>
        <v>0</v>
      </c>
      <c r="N28" s="486">
        <f t="shared" si="4"/>
        <v>0</v>
      </c>
      <c r="O28" s="486">
        <f t="shared" si="4"/>
        <v>604298480.39999998</v>
      </c>
      <c r="P28" s="486">
        <f t="shared" si="4"/>
        <v>604298480.39999998</v>
      </c>
      <c r="Q28" s="486">
        <f t="shared" si="4"/>
        <v>8057313.0719999997</v>
      </c>
      <c r="R28" s="486">
        <f t="shared" si="4"/>
        <v>8057313.0719999997</v>
      </c>
      <c r="S28" s="486">
        <f t="shared" si="4"/>
        <v>8057313.0719999997</v>
      </c>
      <c r="T28" s="486">
        <f t="shared" si="4"/>
        <v>8057313.0719999997</v>
      </c>
      <c r="U28" s="486">
        <f t="shared" si="4"/>
        <v>8057313.0719999997</v>
      </c>
      <c r="V28" s="486">
        <f t="shared" si="4"/>
        <v>8057313.0719999997</v>
      </c>
      <c r="W28" s="486">
        <f t="shared" si="4"/>
        <v>8057313.0719999997</v>
      </c>
      <c r="X28" s="486">
        <f t="shared" si="4"/>
        <v>8057313.0719999997</v>
      </c>
      <c r="Y28" s="486">
        <f t="shared" si="4"/>
        <v>8057313.0719999997</v>
      </c>
      <c r="Z28" s="486">
        <f t="shared" si="4"/>
        <v>8057313.0719999997</v>
      </c>
      <c r="AA28" s="486">
        <f t="shared" si="4"/>
        <v>26857710.240000002</v>
      </c>
      <c r="AB28" s="486">
        <f t="shared" si="4"/>
        <v>26857710.240000002</v>
      </c>
      <c r="AC28" s="486">
        <f t="shared" si="4"/>
        <v>-67144275.599999994</v>
      </c>
      <c r="AD28" s="486">
        <f t="shared" si="4"/>
        <v>-67144275.599999994</v>
      </c>
      <c r="AE28" s="486">
        <f t="shared" si="4"/>
        <v>-67144275.599999994</v>
      </c>
      <c r="AF28" s="486">
        <f t="shared" si="4"/>
        <v>-67144275.599999994</v>
      </c>
      <c r="AG28" s="486">
        <f t="shared" si="4"/>
        <v>-67144275.599999994</v>
      </c>
      <c r="AH28" s="486">
        <f t="shared" si="4"/>
        <v>-67144275.599999994</v>
      </c>
      <c r="AI28" s="486">
        <f t="shared" si="4"/>
        <v>-67144275.599999994</v>
      </c>
      <c r="AJ28" s="486">
        <f t="shared" si="4"/>
        <v>-67144275.599999994</v>
      </c>
      <c r="AK28" s="486">
        <f t="shared" si="4"/>
        <v>-67144275.599999994</v>
      </c>
      <c r="AL28" s="486">
        <f t="shared" si="4"/>
        <v>-67144275.599999994</v>
      </c>
      <c r="AM28" s="486">
        <f t="shared" si="4"/>
        <v>-67144275.599999994</v>
      </c>
      <c r="AN28" s="486">
        <f t="shared" si="4"/>
        <v>-67144275.599999994</v>
      </c>
      <c r="AO28" s="486">
        <f t="shared" si="4"/>
        <v>-67144275.599999994</v>
      </c>
      <c r="AP28" s="486">
        <f t="shared" si="4"/>
        <v>-67144275.599999994</v>
      </c>
      <c r="AQ28" s="486">
        <f t="shared" si="4"/>
        <v>-67144275.599999994</v>
      </c>
      <c r="AR28" s="486">
        <f t="shared" si="4"/>
        <v>-67144275.599999994</v>
      </c>
      <c r="AS28" s="486">
        <f t="shared" si="4"/>
        <v>-67144275.599999994</v>
      </c>
      <c r="AT28" s="486">
        <f t="shared" si="4"/>
        <v>-67144275.599999994</v>
      </c>
      <c r="AU28" s="486">
        <f t="shared" si="4"/>
        <v>-67144275.599999994</v>
      </c>
      <c r="AV28" s="486">
        <f t="shared" si="4"/>
        <v>-67144275.599999994</v>
      </c>
      <c r="AW28" s="486"/>
      <c r="AX28" s="486"/>
      <c r="AY28" s="486"/>
      <c r="AZ28" s="486"/>
      <c r="BA28" s="488"/>
    </row>
    <row r="29" spans="1:55" ht="13.4" customHeight="1">
      <c r="A29" s="1630" t="s">
        <v>1002</v>
      </c>
      <c r="B29" s="1631"/>
      <c r="C29" s="1631"/>
      <c r="D29" s="1632"/>
      <c r="E29" s="489">
        <f>'PRES GENERAL MR(OXI)'!P43</f>
        <v>0</v>
      </c>
      <c r="F29" s="490"/>
      <c r="G29" s="496"/>
      <c r="H29" s="496"/>
      <c r="I29" s="496"/>
      <c r="J29" s="496"/>
      <c r="K29" s="757">
        <f>+$E29/38</f>
        <v>0</v>
      </c>
      <c r="L29" s="757">
        <f t="shared" ref="L29:AV30" si="5">+$E29/38</f>
        <v>0</v>
      </c>
      <c r="M29" s="757">
        <f t="shared" si="5"/>
        <v>0</v>
      </c>
      <c r="N29" s="757">
        <f t="shared" si="5"/>
        <v>0</v>
      </c>
      <c r="O29" s="757">
        <f t="shared" si="5"/>
        <v>0</v>
      </c>
      <c r="P29" s="757">
        <f t="shared" si="5"/>
        <v>0</v>
      </c>
      <c r="Q29" s="757">
        <f t="shared" si="5"/>
        <v>0</v>
      </c>
      <c r="R29" s="757">
        <f t="shared" si="5"/>
        <v>0</v>
      </c>
      <c r="S29" s="757">
        <f t="shared" si="5"/>
        <v>0</v>
      </c>
      <c r="T29" s="757">
        <f t="shared" si="5"/>
        <v>0</v>
      </c>
      <c r="U29" s="757">
        <f t="shared" si="5"/>
        <v>0</v>
      </c>
      <c r="V29" s="757">
        <f t="shared" si="5"/>
        <v>0</v>
      </c>
      <c r="W29" s="757">
        <f t="shared" si="5"/>
        <v>0</v>
      </c>
      <c r="X29" s="757">
        <f t="shared" si="5"/>
        <v>0</v>
      </c>
      <c r="Y29" s="757">
        <f t="shared" si="5"/>
        <v>0</v>
      </c>
      <c r="Z29" s="757">
        <f t="shared" si="5"/>
        <v>0</v>
      </c>
      <c r="AA29" s="757">
        <f t="shared" si="5"/>
        <v>0</v>
      </c>
      <c r="AB29" s="757">
        <f t="shared" si="5"/>
        <v>0</v>
      </c>
      <c r="AC29" s="757">
        <f t="shared" si="5"/>
        <v>0</v>
      </c>
      <c r="AD29" s="757">
        <f t="shared" si="5"/>
        <v>0</v>
      </c>
      <c r="AE29" s="757">
        <f t="shared" si="5"/>
        <v>0</v>
      </c>
      <c r="AF29" s="757">
        <f t="shared" si="5"/>
        <v>0</v>
      </c>
      <c r="AG29" s="757">
        <f t="shared" si="5"/>
        <v>0</v>
      </c>
      <c r="AH29" s="757">
        <f t="shared" si="5"/>
        <v>0</v>
      </c>
      <c r="AI29" s="757">
        <f t="shared" si="5"/>
        <v>0</v>
      </c>
      <c r="AJ29" s="757">
        <f t="shared" si="5"/>
        <v>0</v>
      </c>
      <c r="AK29" s="757">
        <f t="shared" si="5"/>
        <v>0</v>
      </c>
      <c r="AL29" s="757">
        <f t="shared" si="5"/>
        <v>0</v>
      </c>
      <c r="AM29" s="757">
        <f t="shared" si="5"/>
        <v>0</v>
      </c>
      <c r="AN29" s="757">
        <f t="shared" si="5"/>
        <v>0</v>
      </c>
      <c r="AO29" s="757">
        <f t="shared" si="5"/>
        <v>0</v>
      </c>
      <c r="AP29" s="757">
        <f t="shared" si="5"/>
        <v>0</v>
      </c>
      <c r="AQ29" s="757">
        <f t="shared" si="5"/>
        <v>0</v>
      </c>
      <c r="AR29" s="757">
        <f t="shared" si="5"/>
        <v>0</v>
      </c>
      <c r="AS29" s="757">
        <f t="shared" si="5"/>
        <v>0</v>
      </c>
      <c r="AT29" s="757">
        <f t="shared" si="5"/>
        <v>0</v>
      </c>
      <c r="AU29" s="757">
        <f t="shared" si="5"/>
        <v>0</v>
      </c>
      <c r="AV29" s="757">
        <f t="shared" si="5"/>
        <v>0</v>
      </c>
      <c r="AW29" s="489"/>
      <c r="AX29" s="489"/>
      <c r="AY29" s="489"/>
      <c r="AZ29" s="489"/>
      <c r="BA29" s="482"/>
      <c r="BB29" s="963">
        <f>SUM(I29:BA29)</f>
        <v>0</v>
      </c>
      <c r="BC29" s="964">
        <f>+BB29-E29</f>
        <v>0</v>
      </c>
    </row>
    <row r="30" spans="1:55" ht="13.4" customHeight="1">
      <c r="A30" s="1627" t="s">
        <v>1003</v>
      </c>
      <c r="B30" s="1628"/>
      <c r="C30" s="1628"/>
      <c r="D30" s="1629"/>
      <c r="E30" s="491">
        <f>+SUM(E28:E29)</f>
        <v>0</v>
      </c>
      <c r="F30" s="492"/>
      <c r="G30" s="492"/>
      <c r="H30" s="492"/>
      <c r="I30" s="492"/>
      <c r="J30" s="492"/>
      <c r="K30" s="758">
        <f>+$E30/38</f>
        <v>0</v>
      </c>
      <c r="L30" s="758">
        <f t="shared" si="5"/>
        <v>0</v>
      </c>
      <c r="M30" s="758">
        <f t="shared" si="5"/>
        <v>0</v>
      </c>
      <c r="N30" s="758">
        <f t="shared" si="5"/>
        <v>0</v>
      </c>
      <c r="O30" s="758">
        <f t="shared" si="5"/>
        <v>0</v>
      </c>
      <c r="P30" s="758">
        <f t="shared" si="5"/>
        <v>0</v>
      </c>
      <c r="Q30" s="758">
        <f t="shared" si="5"/>
        <v>0</v>
      </c>
      <c r="R30" s="758">
        <f t="shared" si="5"/>
        <v>0</v>
      </c>
      <c r="S30" s="758">
        <f t="shared" si="5"/>
        <v>0</v>
      </c>
      <c r="T30" s="758">
        <f t="shared" si="5"/>
        <v>0</v>
      </c>
      <c r="U30" s="758">
        <f t="shared" si="5"/>
        <v>0</v>
      </c>
      <c r="V30" s="758">
        <f t="shared" si="5"/>
        <v>0</v>
      </c>
      <c r="W30" s="758">
        <f t="shared" si="5"/>
        <v>0</v>
      </c>
      <c r="X30" s="758">
        <f t="shared" si="5"/>
        <v>0</v>
      </c>
      <c r="Y30" s="758">
        <f t="shared" si="5"/>
        <v>0</v>
      </c>
      <c r="Z30" s="758">
        <f t="shared" si="5"/>
        <v>0</v>
      </c>
      <c r="AA30" s="758">
        <f t="shared" si="5"/>
        <v>0</v>
      </c>
      <c r="AB30" s="758">
        <f t="shared" si="5"/>
        <v>0</v>
      </c>
      <c r="AC30" s="758">
        <f t="shared" si="5"/>
        <v>0</v>
      </c>
      <c r="AD30" s="758">
        <f t="shared" si="5"/>
        <v>0</v>
      </c>
      <c r="AE30" s="758">
        <f t="shared" si="5"/>
        <v>0</v>
      </c>
      <c r="AF30" s="758">
        <f t="shared" si="5"/>
        <v>0</v>
      </c>
      <c r="AG30" s="758">
        <f t="shared" si="5"/>
        <v>0</v>
      </c>
      <c r="AH30" s="758">
        <f t="shared" si="5"/>
        <v>0</v>
      </c>
      <c r="AI30" s="758">
        <f t="shared" si="5"/>
        <v>0</v>
      </c>
      <c r="AJ30" s="758">
        <f t="shared" si="5"/>
        <v>0</v>
      </c>
      <c r="AK30" s="758">
        <f t="shared" si="5"/>
        <v>0</v>
      </c>
      <c r="AL30" s="758">
        <f t="shared" si="5"/>
        <v>0</v>
      </c>
      <c r="AM30" s="758">
        <f t="shared" si="5"/>
        <v>0</v>
      </c>
      <c r="AN30" s="758">
        <f t="shared" si="5"/>
        <v>0</v>
      </c>
      <c r="AO30" s="758">
        <f t="shared" si="5"/>
        <v>0</v>
      </c>
      <c r="AP30" s="758">
        <f t="shared" si="5"/>
        <v>0</v>
      </c>
      <c r="AQ30" s="758">
        <f t="shared" si="5"/>
        <v>0</v>
      </c>
      <c r="AR30" s="758">
        <f t="shared" si="5"/>
        <v>0</v>
      </c>
      <c r="AS30" s="758">
        <f t="shared" si="5"/>
        <v>0</v>
      </c>
      <c r="AT30" s="758">
        <f t="shared" si="5"/>
        <v>0</v>
      </c>
      <c r="AU30" s="758">
        <f t="shared" si="5"/>
        <v>0</v>
      </c>
      <c r="AV30" s="758">
        <f t="shared" si="5"/>
        <v>0</v>
      </c>
      <c r="AW30" s="491"/>
      <c r="AX30" s="491"/>
      <c r="AY30" s="491"/>
      <c r="AZ30" s="491"/>
      <c r="BA30" s="493"/>
      <c r="BB30" s="963">
        <f t="shared" ref="BB30:BB40" si="6">SUM(I30:BA30)</f>
        <v>0</v>
      </c>
      <c r="BC30" s="964">
        <f t="shared" ref="BC30:BC40" si="7">+BB30-E30</f>
        <v>0</v>
      </c>
    </row>
    <row r="31" spans="1:55" ht="24" customHeight="1">
      <c r="A31" s="1630" t="str">
        <f>+'PRES GENERAL MR(OXI)'!A45</f>
        <v>INTERVENTORÍA INTEGRAL (% CON RESPECTO A LOS COSTOS DIRECTOS + COSTOS INDIRECTOS)</v>
      </c>
      <c r="B31" s="1631"/>
      <c r="C31" s="1631"/>
      <c r="D31" s="1632"/>
      <c r="E31" s="489">
        <f>+'PRES GENERAL MR(OXI)'!P45</f>
        <v>257711731</v>
      </c>
      <c r="F31" s="489"/>
      <c r="G31" s="489"/>
      <c r="H31" s="489"/>
      <c r="I31" s="489"/>
      <c r="J31" s="759">
        <f>+$E31/39</f>
        <v>6607993.102564103</v>
      </c>
      <c r="K31" s="759">
        <f t="shared" ref="K31:AV31" si="8">+$E31/39</f>
        <v>6607993.102564103</v>
      </c>
      <c r="L31" s="759">
        <f t="shared" si="8"/>
        <v>6607993.102564103</v>
      </c>
      <c r="M31" s="759">
        <f t="shared" si="8"/>
        <v>6607993.102564103</v>
      </c>
      <c r="N31" s="759">
        <f t="shared" si="8"/>
        <v>6607993.102564103</v>
      </c>
      <c r="O31" s="759">
        <f t="shared" si="8"/>
        <v>6607993.102564103</v>
      </c>
      <c r="P31" s="759">
        <f t="shared" si="8"/>
        <v>6607993.102564103</v>
      </c>
      <c r="Q31" s="759">
        <f t="shared" si="8"/>
        <v>6607993.102564103</v>
      </c>
      <c r="R31" s="759">
        <f t="shared" si="8"/>
        <v>6607993.102564103</v>
      </c>
      <c r="S31" s="759">
        <f t="shared" si="8"/>
        <v>6607993.102564103</v>
      </c>
      <c r="T31" s="759">
        <f t="shared" si="8"/>
        <v>6607993.102564103</v>
      </c>
      <c r="U31" s="759">
        <f t="shared" si="8"/>
        <v>6607993.102564103</v>
      </c>
      <c r="V31" s="759">
        <f t="shared" si="8"/>
        <v>6607993.102564103</v>
      </c>
      <c r="W31" s="759">
        <f t="shared" si="8"/>
        <v>6607993.102564103</v>
      </c>
      <c r="X31" s="759">
        <f t="shared" si="8"/>
        <v>6607993.102564103</v>
      </c>
      <c r="Y31" s="759">
        <f t="shared" si="8"/>
        <v>6607993.102564103</v>
      </c>
      <c r="Z31" s="759">
        <f t="shared" si="8"/>
        <v>6607993.102564103</v>
      </c>
      <c r="AA31" s="759">
        <f t="shared" si="8"/>
        <v>6607993.102564103</v>
      </c>
      <c r="AB31" s="759">
        <f t="shared" si="8"/>
        <v>6607993.102564103</v>
      </c>
      <c r="AC31" s="759">
        <f t="shared" si="8"/>
        <v>6607993.102564103</v>
      </c>
      <c r="AD31" s="759">
        <f t="shared" si="8"/>
        <v>6607993.102564103</v>
      </c>
      <c r="AE31" s="759">
        <f t="shared" si="8"/>
        <v>6607993.102564103</v>
      </c>
      <c r="AF31" s="759">
        <f t="shared" si="8"/>
        <v>6607993.102564103</v>
      </c>
      <c r="AG31" s="759">
        <f t="shared" si="8"/>
        <v>6607993.102564103</v>
      </c>
      <c r="AH31" s="759">
        <f t="shared" si="8"/>
        <v>6607993.102564103</v>
      </c>
      <c r="AI31" s="759">
        <f t="shared" si="8"/>
        <v>6607993.102564103</v>
      </c>
      <c r="AJ31" s="759">
        <f t="shared" si="8"/>
        <v>6607993.102564103</v>
      </c>
      <c r="AK31" s="759">
        <f t="shared" si="8"/>
        <v>6607993.102564103</v>
      </c>
      <c r="AL31" s="759">
        <f t="shared" si="8"/>
        <v>6607993.102564103</v>
      </c>
      <c r="AM31" s="759">
        <f t="shared" si="8"/>
        <v>6607993.102564103</v>
      </c>
      <c r="AN31" s="759">
        <f t="shared" si="8"/>
        <v>6607993.102564103</v>
      </c>
      <c r="AO31" s="759">
        <f t="shared" si="8"/>
        <v>6607993.102564103</v>
      </c>
      <c r="AP31" s="759">
        <f t="shared" si="8"/>
        <v>6607993.102564103</v>
      </c>
      <c r="AQ31" s="759">
        <f t="shared" si="8"/>
        <v>6607993.102564103</v>
      </c>
      <c r="AR31" s="759">
        <f t="shared" si="8"/>
        <v>6607993.102564103</v>
      </c>
      <c r="AS31" s="759">
        <f t="shared" si="8"/>
        <v>6607993.102564103</v>
      </c>
      <c r="AT31" s="759">
        <f t="shared" si="8"/>
        <v>6607993.102564103</v>
      </c>
      <c r="AU31" s="759">
        <f t="shared" si="8"/>
        <v>6607993.102564103</v>
      </c>
      <c r="AV31" s="759">
        <f t="shared" si="8"/>
        <v>6607993.102564103</v>
      </c>
      <c r="AW31" s="489"/>
      <c r="AX31" s="489"/>
      <c r="AY31" s="489"/>
      <c r="AZ31" s="489"/>
      <c r="BA31" s="482"/>
      <c r="BB31" s="963">
        <f t="shared" si="6"/>
        <v>257711730.99999985</v>
      </c>
      <c r="BC31" s="964">
        <f t="shared" si="7"/>
        <v>0</v>
      </c>
    </row>
    <row r="32" spans="1:55" ht="24" customHeight="1">
      <c r="A32" s="1630" t="str">
        <f>+'PRES GENERAL MR(OXI)'!A46</f>
        <v>RETIE(% CON RESPECTO A LOS CD ELÉCTRICOS DE NANO Y MICRO REDES)</v>
      </c>
      <c r="B32" s="1631"/>
      <c r="C32" s="1631"/>
      <c r="D32" s="1632"/>
      <c r="E32" s="489">
        <f>+'PRES GENERAL MR(OXI)'!P46</f>
        <v>0</v>
      </c>
      <c r="F32" s="489"/>
      <c r="G32" s="489"/>
      <c r="H32" s="489"/>
      <c r="I32" s="489"/>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89"/>
      <c r="AN32" s="489"/>
      <c r="AO32" s="759">
        <f>+$E32/8</f>
        <v>0</v>
      </c>
      <c r="AP32" s="759">
        <f t="shared" ref="AP32:AV32" si="9">+$E32/8</f>
        <v>0</v>
      </c>
      <c r="AQ32" s="759">
        <f t="shared" si="9"/>
        <v>0</v>
      </c>
      <c r="AR32" s="759">
        <f t="shared" si="9"/>
        <v>0</v>
      </c>
      <c r="AS32" s="759">
        <f t="shared" si="9"/>
        <v>0</v>
      </c>
      <c r="AT32" s="759">
        <f t="shared" si="9"/>
        <v>0</v>
      </c>
      <c r="AU32" s="759">
        <f t="shared" si="9"/>
        <v>0</v>
      </c>
      <c r="AV32" s="759">
        <f t="shared" si="9"/>
        <v>0</v>
      </c>
      <c r="AW32" s="489"/>
      <c r="AX32" s="489"/>
      <c r="AY32" s="489"/>
      <c r="AZ32" s="489"/>
      <c r="BA32" s="482"/>
      <c r="BB32" s="963">
        <f t="shared" ref="BB32:BB39" si="10">SUM(I32:BA32)</f>
        <v>0</v>
      </c>
      <c r="BC32" s="964">
        <f t="shared" ref="BC32:BC39" si="11">+BB32-E32</f>
        <v>0</v>
      </c>
    </row>
    <row r="33" spans="1:55" ht="24" customHeight="1">
      <c r="A33" s="1630" t="str">
        <f>+'PRES GENERAL MR(OXI)'!A47</f>
        <v>REALIZAR GERENCIA DE PROYECTO (% CON RESPECTO A LOS COSTOS DIRECTOS + COSTOS INDIRECTOS)</v>
      </c>
      <c r="B33" s="1631"/>
      <c r="C33" s="1631"/>
      <c r="D33" s="1632"/>
      <c r="E33" s="489">
        <f>+'PRES GENERAL MR(OXI)'!P47</f>
        <v>0</v>
      </c>
      <c r="F33" s="155"/>
      <c r="G33" s="155"/>
      <c r="H33" s="155"/>
      <c r="I33" s="759">
        <f t="shared" ref="I33:AY37" si="12">+$E33/45</f>
        <v>0</v>
      </c>
      <c r="J33" s="759">
        <f t="shared" si="12"/>
        <v>0</v>
      </c>
      <c r="K33" s="759">
        <f t="shared" si="12"/>
        <v>0</v>
      </c>
      <c r="L33" s="759">
        <f t="shared" si="12"/>
        <v>0</v>
      </c>
      <c r="M33" s="759">
        <f t="shared" si="12"/>
        <v>0</v>
      </c>
      <c r="N33" s="759">
        <f t="shared" si="12"/>
        <v>0</v>
      </c>
      <c r="O33" s="759">
        <f t="shared" si="12"/>
        <v>0</v>
      </c>
      <c r="P33" s="759">
        <f t="shared" si="12"/>
        <v>0</v>
      </c>
      <c r="Q33" s="759">
        <f t="shared" si="12"/>
        <v>0</v>
      </c>
      <c r="R33" s="759">
        <f t="shared" si="12"/>
        <v>0</v>
      </c>
      <c r="S33" s="759">
        <f t="shared" si="12"/>
        <v>0</v>
      </c>
      <c r="T33" s="759">
        <f t="shared" si="12"/>
        <v>0</v>
      </c>
      <c r="U33" s="759">
        <f t="shared" si="12"/>
        <v>0</v>
      </c>
      <c r="V33" s="759">
        <f t="shared" si="12"/>
        <v>0</v>
      </c>
      <c r="W33" s="759">
        <f t="shared" si="12"/>
        <v>0</v>
      </c>
      <c r="X33" s="759">
        <f t="shared" si="12"/>
        <v>0</v>
      </c>
      <c r="Y33" s="759">
        <f t="shared" si="12"/>
        <v>0</v>
      </c>
      <c r="Z33" s="759">
        <f t="shared" si="12"/>
        <v>0</v>
      </c>
      <c r="AA33" s="759">
        <f t="shared" si="12"/>
        <v>0</v>
      </c>
      <c r="AB33" s="759">
        <f t="shared" si="12"/>
        <v>0</v>
      </c>
      <c r="AC33" s="759">
        <f t="shared" si="12"/>
        <v>0</v>
      </c>
      <c r="AD33" s="759">
        <f t="shared" si="12"/>
        <v>0</v>
      </c>
      <c r="AE33" s="759">
        <f t="shared" si="12"/>
        <v>0</v>
      </c>
      <c r="AF33" s="759">
        <f t="shared" si="12"/>
        <v>0</v>
      </c>
      <c r="AG33" s="759">
        <f t="shared" si="12"/>
        <v>0</v>
      </c>
      <c r="AH33" s="759">
        <f t="shared" si="12"/>
        <v>0</v>
      </c>
      <c r="AI33" s="759">
        <f t="shared" si="12"/>
        <v>0</v>
      </c>
      <c r="AJ33" s="759">
        <f t="shared" si="12"/>
        <v>0</v>
      </c>
      <c r="AK33" s="759">
        <f t="shared" si="12"/>
        <v>0</v>
      </c>
      <c r="AL33" s="759">
        <f t="shared" si="12"/>
        <v>0</v>
      </c>
      <c r="AM33" s="759">
        <f t="shared" si="12"/>
        <v>0</v>
      </c>
      <c r="AN33" s="759">
        <f t="shared" si="12"/>
        <v>0</v>
      </c>
      <c r="AO33" s="759">
        <f t="shared" si="12"/>
        <v>0</v>
      </c>
      <c r="AP33" s="759">
        <f t="shared" si="12"/>
        <v>0</v>
      </c>
      <c r="AQ33" s="759">
        <f t="shared" si="12"/>
        <v>0</v>
      </c>
      <c r="AR33" s="759">
        <f t="shared" si="12"/>
        <v>0</v>
      </c>
      <c r="AS33" s="759">
        <f t="shared" si="12"/>
        <v>0</v>
      </c>
      <c r="AT33" s="759">
        <f t="shared" si="12"/>
        <v>0</v>
      </c>
      <c r="AU33" s="759">
        <f t="shared" si="12"/>
        <v>0</v>
      </c>
      <c r="AV33" s="759">
        <f t="shared" si="12"/>
        <v>0</v>
      </c>
      <c r="AW33" s="759">
        <f t="shared" si="12"/>
        <v>0</v>
      </c>
      <c r="AX33" s="759">
        <f t="shared" si="12"/>
        <v>0</v>
      </c>
      <c r="AY33" s="759">
        <f t="shared" si="12"/>
        <v>0</v>
      </c>
      <c r="AZ33" s="759">
        <f>+$E33/45</f>
        <v>0</v>
      </c>
      <c r="BA33" s="759">
        <f>+$E33/45</f>
        <v>0</v>
      </c>
      <c r="BB33" s="963">
        <f t="shared" si="10"/>
        <v>0</v>
      </c>
      <c r="BC33" s="964">
        <f t="shared" si="11"/>
        <v>0</v>
      </c>
    </row>
    <row r="34" spans="1:55" ht="24" customHeight="1">
      <c r="A34" s="1630" t="str">
        <f>+'PRES GENERAL MR(OXI)'!A48</f>
        <v>REALIZAR FIDUCIA (% CON RESPECTO A LOS COSTOS DIRECTOS + COSTOS INDIRECTOS)</v>
      </c>
      <c r="B34" s="1631"/>
      <c r="C34" s="1631"/>
      <c r="D34" s="1632"/>
      <c r="E34" s="489">
        <f>+'PRES GENERAL MR(OXI)'!P48</f>
        <v>0</v>
      </c>
      <c r="F34" s="155"/>
      <c r="G34" s="155"/>
      <c r="H34" s="155"/>
      <c r="I34" s="759">
        <f t="shared" si="12"/>
        <v>0</v>
      </c>
      <c r="J34" s="759">
        <f t="shared" si="12"/>
        <v>0</v>
      </c>
      <c r="K34" s="759">
        <f t="shared" si="12"/>
        <v>0</v>
      </c>
      <c r="L34" s="759">
        <f t="shared" si="12"/>
        <v>0</v>
      </c>
      <c r="M34" s="759">
        <f t="shared" si="12"/>
        <v>0</v>
      </c>
      <c r="N34" s="759">
        <f t="shared" si="12"/>
        <v>0</v>
      </c>
      <c r="O34" s="759">
        <f t="shared" si="12"/>
        <v>0</v>
      </c>
      <c r="P34" s="759">
        <f t="shared" si="12"/>
        <v>0</v>
      </c>
      <c r="Q34" s="759">
        <f t="shared" si="12"/>
        <v>0</v>
      </c>
      <c r="R34" s="759">
        <f t="shared" si="12"/>
        <v>0</v>
      </c>
      <c r="S34" s="759">
        <f t="shared" si="12"/>
        <v>0</v>
      </c>
      <c r="T34" s="759">
        <f t="shared" si="12"/>
        <v>0</v>
      </c>
      <c r="U34" s="759">
        <f t="shared" si="12"/>
        <v>0</v>
      </c>
      <c r="V34" s="759">
        <f t="shared" si="12"/>
        <v>0</v>
      </c>
      <c r="W34" s="759">
        <f t="shared" si="12"/>
        <v>0</v>
      </c>
      <c r="X34" s="759">
        <f t="shared" si="12"/>
        <v>0</v>
      </c>
      <c r="Y34" s="759">
        <f t="shared" si="12"/>
        <v>0</v>
      </c>
      <c r="Z34" s="759">
        <f t="shared" si="12"/>
        <v>0</v>
      </c>
      <c r="AA34" s="759">
        <f t="shared" si="12"/>
        <v>0</v>
      </c>
      <c r="AB34" s="759">
        <f t="shared" si="12"/>
        <v>0</v>
      </c>
      <c r="AC34" s="759">
        <f t="shared" si="12"/>
        <v>0</v>
      </c>
      <c r="AD34" s="759">
        <f t="shared" si="12"/>
        <v>0</v>
      </c>
      <c r="AE34" s="759">
        <f t="shared" si="12"/>
        <v>0</v>
      </c>
      <c r="AF34" s="759">
        <f t="shared" si="12"/>
        <v>0</v>
      </c>
      <c r="AG34" s="759">
        <f t="shared" si="12"/>
        <v>0</v>
      </c>
      <c r="AH34" s="759">
        <f t="shared" si="12"/>
        <v>0</v>
      </c>
      <c r="AI34" s="759">
        <f t="shared" si="12"/>
        <v>0</v>
      </c>
      <c r="AJ34" s="759">
        <f t="shared" si="12"/>
        <v>0</v>
      </c>
      <c r="AK34" s="759">
        <f t="shared" si="12"/>
        <v>0</v>
      </c>
      <c r="AL34" s="759">
        <f t="shared" si="12"/>
        <v>0</v>
      </c>
      <c r="AM34" s="759">
        <f t="shared" si="12"/>
        <v>0</v>
      </c>
      <c r="AN34" s="759">
        <f t="shared" si="12"/>
        <v>0</v>
      </c>
      <c r="AO34" s="759">
        <f t="shared" si="12"/>
        <v>0</v>
      </c>
      <c r="AP34" s="759">
        <f t="shared" si="12"/>
        <v>0</v>
      </c>
      <c r="AQ34" s="759">
        <f t="shared" si="12"/>
        <v>0</v>
      </c>
      <c r="AR34" s="759">
        <f t="shared" si="12"/>
        <v>0</v>
      </c>
      <c r="AS34" s="759">
        <f t="shared" si="12"/>
        <v>0</v>
      </c>
      <c r="AT34" s="759">
        <f t="shared" si="12"/>
        <v>0</v>
      </c>
      <c r="AU34" s="759">
        <f t="shared" si="12"/>
        <v>0</v>
      </c>
      <c r="AV34" s="759">
        <f t="shared" si="12"/>
        <v>0</v>
      </c>
      <c r="AW34" s="759">
        <f t="shared" si="12"/>
        <v>0</v>
      </c>
      <c r="AX34" s="759">
        <f t="shared" si="12"/>
        <v>0</v>
      </c>
      <c r="AY34" s="759">
        <f t="shared" si="12"/>
        <v>0</v>
      </c>
      <c r="AZ34" s="759">
        <f t="shared" ref="J34:BA35" si="13">+$E34/45</f>
        <v>0</v>
      </c>
      <c r="BA34" s="759">
        <f t="shared" si="13"/>
        <v>0</v>
      </c>
      <c r="BB34" s="963">
        <f t="shared" si="10"/>
        <v>0</v>
      </c>
      <c r="BC34" s="964">
        <f t="shared" si="11"/>
        <v>0</v>
      </c>
    </row>
    <row r="35" spans="1:55" ht="24" customHeight="1">
      <c r="A35" s="1630" t="str">
        <f>+'PRES GENERAL MR(OXI)'!A49</f>
        <v>RUBRO CONTINGENTE (% CON RESPECTO A LOS COSTOS DIRECTOS)</v>
      </c>
      <c r="B35" s="1631"/>
      <c r="C35" s="1631"/>
      <c r="D35" s="1632"/>
      <c r="E35" s="489">
        <f>+'PRES GENERAL MR(OXI)'!P49</f>
        <v>0</v>
      </c>
      <c r="F35" s="155"/>
      <c r="G35" s="155"/>
      <c r="H35" s="155"/>
      <c r="I35" s="759">
        <f t="shared" si="12"/>
        <v>0</v>
      </c>
      <c r="J35" s="759">
        <f t="shared" si="13"/>
        <v>0</v>
      </c>
      <c r="K35" s="759">
        <f t="shared" si="13"/>
        <v>0</v>
      </c>
      <c r="L35" s="759">
        <f t="shared" si="13"/>
        <v>0</v>
      </c>
      <c r="M35" s="759">
        <f t="shared" si="13"/>
        <v>0</v>
      </c>
      <c r="N35" s="759">
        <f t="shared" si="13"/>
        <v>0</v>
      </c>
      <c r="O35" s="759">
        <f t="shared" si="13"/>
        <v>0</v>
      </c>
      <c r="P35" s="759">
        <f t="shared" si="13"/>
        <v>0</v>
      </c>
      <c r="Q35" s="759">
        <f t="shared" si="13"/>
        <v>0</v>
      </c>
      <c r="R35" s="759">
        <f t="shared" si="13"/>
        <v>0</v>
      </c>
      <c r="S35" s="759">
        <f t="shared" si="13"/>
        <v>0</v>
      </c>
      <c r="T35" s="759">
        <f t="shared" si="13"/>
        <v>0</v>
      </c>
      <c r="U35" s="759">
        <f t="shared" si="13"/>
        <v>0</v>
      </c>
      <c r="V35" s="759">
        <f t="shared" si="13"/>
        <v>0</v>
      </c>
      <c r="W35" s="759">
        <f t="shared" si="13"/>
        <v>0</v>
      </c>
      <c r="X35" s="759">
        <f t="shared" si="13"/>
        <v>0</v>
      </c>
      <c r="Y35" s="759">
        <f t="shared" si="13"/>
        <v>0</v>
      </c>
      <c r="Z35" s="759">
        <f t="shared" si="13"/>
        <v>0</v>
      </c>
      <c r="AA35" s="759">
        <f t="shared" si="13"/>
        <v>0</v>
      </c>
      <c r="AB35" s="759">
        <f t="shared" si="13"/>
        <v>0</v>
      </c>
      <c r="AC35" s="759">
        <f t="shared" si="13"/>
        <v>0</v>
      </c>
      <c r="AD35" s="759">
        <f t="shared" si="13"/>
        <v>0</v>
      </c>
      <c r="AE35" s="759">
        <f t="shared" si="13"/>
        <v>0</v>
      </c>
      <c r="AF35" s="759">
        <f t="shared" si="13"/>
        <v>0</v>
      </c>
      <c r="AG35" s="759">
        <f t="shared" si="13"/>
        <v>0</v>
      </c>
      <c r="AH35" s="759">
        <f t="shared" si="13"/>
        <v>0</v>
      </c>
      <c r="AI35" s="759">
        <f t="shared" si="13"/>
        <v>0</v>
      </c>
      <c r="AJ35" s="759">
        <f t="shared" si="13"/>
        <v>0</v>
      </c>
      <c r="AK35" s="759">
        <f t="shared" si="13"/>
        <v>0</v>
      </c>
      <c r="AL35" s="759">
        <f t="shared" si="13"/>
        <v>0</v>
      </c>
      <c r="AM35" s="759">
        <f t="shared" si="13"/>
        <v>0</v>
      </c>
      <c r="AN35" s="759">
        <f t="shared" si="13"/>
        <v>0</v>
      </c>
      <c r="AO35" s="759">
        <f t="shared" si="13"/>
        <v>0</v>
      </c>
      <c r="AP35" s="759">
        <f t="shared" si="13"/>
        <v>0</v>
      </c>
      <c r="AQ35" s="759">
        <f t="shared" si="13"/>
        <v>0</v>
      </c>
      <c r="AR35" s="759">
        <f t="shared" si="13"/>
        <v>0</v>
      </c>
      <c r="AS35" s="759">
        <f t="shared" si="13"/>
        <v>0</v>
      </c>
      <c r="AT35" s="759">
        <f t="shared" si="13"/>
        <v>0</v>
      </c>
      <c r="AU35" s="759">
        <f t="shared" si="13"/>
        <v>0</v>
      </c>
      <c r="AV35" s="759">
        <f t="shared" si="13"/>
        <v>0</v>
      </c>
      <c r="AW35" s="759">
        <f t="shared" si="13"/>
        <v>0</v>
      </c>
      <c r="AX35" s="759">
        <f t="shared" si="13"/>
        <v>0</v>
      </c>
      <c r="AY35" s="759">
        <f t="shared" si="13"/>
        <v>0</v>
      </c>
      <c r="AZ35" s="759">
        <f t="shared" si="13"/>
        <v>0</v>
      </c>
      <c r="BA35" s="759">
        <f t="shared" si="13"/>
        <v>0</v>
      </c>
      <c r="BB35" s="963">
        <f t="shared" si="10"/>
        <v>0</v>
      </c>
      <c r="BC35" s="964">
        <f t="shared" si="11"/>
        <v>0</v>
      </c>
    </row>
    <row r="36" spans="1:55" ht="24" customHeight="1">
      <c r="A36" s="1630" t="str">
        <f>+'PRES GENERAL MR(OXI)'!A50</f>
        <v>Componente Social (% CON RESPECTO A LOS COSTOS DIRECTOS)</v>
      </c>
      <c r="B36" s="1631"/>
      <c r="C36" s="1631"/>
      <c r="D36" s="1632"/>
      <c r="E36" s="489">
        <f>+'PRES GENERAL MR(OXI)'!P50</f>
        <v>0</v>
      </c>
      <c r="F36" s="155"/>
      <c r="G36" s="155"/>
      <c r="H36" s="155"/>
      <c r="I36" s="489"/>
      <c r="J36" s="489"/>
      <c r="K36" s="759">
        <f>+$E36/38</f>
        <v>0</v>
      </c>
      <c r="L36" s="759">
        <f t="shared" ref="L36:AV36" si="14">+$E36/38</f>
        <v>0</v>
      </c>
      <c r="M36" s="759">
        <f t="shared" si="14"/>
        <v>0</v>
      </c>
      <c r="N36" s="759">
        <f t="shared" si="14"/>
        <v>0</v>
      </c>
      <c r="O36" s="759">
        <f t="shared" si="14"/>
        <v>0</v>
      </c>
      <c r="P36" s="759">
        <f t="shared" si="14"/>
        <v>0</v>
      </c>
      <c r="Q36" s="759">
        <f t="shared" si="14"/>
        <v>0</v>
      </c>
      <c r="R36" s="759">
        <f t="shared" si="14"/>
        <v>0</v>
      </c>
      <c r="S36" s="759">
        <f t="shared" si="14"/>
        <v>0</v>
      </c>
      <c r="T36" s="759">
        <f t="shared" si="14"/>
        <v>0</v>
      </c>
      <c r="U36" s="759">
        <f t="shared" si="14"/>
        <v>0</v>
      </c>
      <c r="V36" s="759">
        <f t="shared" si="14"/>
        <v>0</v>
      </c>
      <c r="W36" s="759">
        <f t="shared" si="14"/>
        <v>0</v>
      </c>
      <c r="X36" s="759">
        <f t="shared" si="14"/>
        <v>0</v>
      </c>
      <c r="Y36" s="759">
        <f t="shared" si="14"/>
        <v>0</v>
      </c>
      <c r="Z36" s="759">
        <f t="shared" si="14"/>
        <v>0</v>
      </c>
      <c r="AA36" s="759">
        <f t="shared" si="14"/>
        <v>0</v>
      </c>
      <c r="AB36" s="759">
        <f t="shared" si="14"/>
        <v>0</v>
      </c>
      <c r="AC36" s="759">
        <f t="shared" si="14"/>
        <v>0</v>
      </c>
      <c r="AD36" s="759">
        <f t="shared" si="14"/>
        <v>0</v>
      </c>
      <c r="AE36" s="759">
        <f t="shared" si="14"/>
        <v>0</v>
      </c>
      <c r="AF36" s="759">
        <f t="shared" si="14"/>
        <v>0</v>
      </c>
      <c r="AG36" s="759">
        <f t="shared" si="14"/>
        <v>0</v>
      </c>
      <c r="AH36" s="759">
        <f t="shared" si="14"/>
        <v>0</v>
      </c>
      <c r="AI36" s="759">
        <f t="shared" si="14"/>
        <v>0</v>
      </c>
      <c r="AJ36" s="759">
        <f t="shared" si="14"/>
        <v>0</v>
      </c>
      <c r="AK36" s="759">
        <f t="shared" si="14"/>
        <v>0</v>
      </c>
      <c r="AL36" s="759">
        <f t="shared" si="14"/>
        <v>0</v>
      </c>
      <c r="AM36" s="759">
        <f t="shared" si="14"/>
        <v>0</v>
      </c>
      <c r="AN36" s="759">
        <f t="shared" si="14"/>
        <v>0</v>
      </c>
      <c r="AO36" s="759">
        <f t="shared" si="14"/>
        <v>0</v>
      </c>
      <c r="AP36" s="759">
        <f t="shared" si="14"/>
        <v>0</v>
      </c>
      <c r="AQ36" s="759">
        <f t="shared" si="14"/>
        <v>0</v>
      </c>
      <c r="AR36" s="759">
        <f t="shared" si="14"/>
        <v>0</v>
      </c>
      <c r="AS36" s="759">
        <f t="shared" si="14"/>
        <v>0</v>
      </c>
      <c r="AT36" s="759">
        <f t="shared" si="14"/>
        <v>0</v>
      </c>
      <c r="AU36" s="759">
        <f t="shared" si="14"/>
        <v>0</v>
      </c>
      <c r="AV36" s="759">
        <f t="shared" si="14"/>
        <v>0</v>
      </c>
      <c r="AW36" s="489"/>
      <c r="AX36" s="489"/>
      <c r="AY36" s="489"/>
      <c r="AZ36" s="489"/>
      <c r="BA36" s="482"/>
      <c r="BB36" s="963">
        <f t="shared" si="10"/>
        <v>0</v>
      </c>
      <c r="BC36" s="964">
        <f t="shared" si="11"/>
        <v>0</v>
      </c>
    </row>
    <row r="37" spans="1:55" ht="24" customHeight="1">
      <c r="A37" s="1630" t="str">
        <f>+'PRES GENERAL MR(OXI)'!A51</f>
        <v>POLIZA CONTRIBUYENTE (% CON RESPECTO A LOS COSTOS Cd + Ci + I + Gp)</v>
      </c>
      <c r="B37" s="1631"/>
      <c r="C37" s="1631"/>
      <c r="D37" s="1632"/>
      <c r="E37" s="489">
        <f>+'PRES GENERAL MR(OXI)'!P51</f>
        <v>0</v>
      </c>
      <c r="F37" s="155"/>
      <c r="G37" s="155"/>
      <c r="H37" s="155"/>
      <c r="I37" s="759">
        <f t="shared" si="12"/>
        <v>0</v>
      </c>
      <c r="J37" s="759">
        <f t="shared" si="12"/>
        <v>0</v>
      </c>
      <c r="K37" s="759">
        <f t="shared" si="12"/>
        <v>0</v>
      </c>
      <c r="L37" s="759">
        <f t="shared" si="12"/>
        <v>0</v>
      </c>
      <c r="M37" s="759">
        <f t="shared" si="12"/>
        <v>0</v>
      </c>
      <c r="N37" s="759">
        <f t="shared" si="12"/>
        <v>0</v>
      </c>
      <c r="O37" s="759">
        <f t="shared" si="12"/>
        <v>0</v>
      </c>
      <c r="P37" s="759">
        <f t="shared" si="12"/>
        <v>0</v>
      </c>
      <c r="Q37" s="759">
        <f t="shared" si="12"/>
        <v>0</v>
      </c>
      <c r="R37" s="759">
        <f t="shared" si="12"/>
        <v>0</v>
      </c>
      <c r="S37" s="759">
        <f t="shared" si="12"/>
        <v>0</v>
      </c>
      <c r="T37" s="759">
        <f t="shared" si="12"/>
        <v>0</v>
      </c>
      <c r="U37" s="759">
        <f t="shared" si="12"/>
        <v>0</v>
      </c>
      <c r="V37" s="759">
        <f t="shared" si="12"/>
        <v>0</v>
      </c>
      <c r="W37" s="759">
        <f t="shared" si="12"/>
        <v>0</v>
      </c>
      <c r="X37" s="759">
        <f t="shared" si="12"/>
        <v>0</v>
      </c>
      <c r="Y37" s="759">
        <f t="shared" si="12"/>
        <v>0</v>
      </c>
      <c r="Z37" s="759">
        <f t="shared" si="12"/>
        <v>0</v>
      </c>
      <c r="AA37" s="759">
        <f t="shared" si="12"/>
        <v>0</v>
      </c>
      <c r="AB37" s="759">
        <f t="shared" si="12"/>
        <v>0</v>
      </c>
      <c r="AC37" s="759">
        <f t="shared" si="12"/>
        <v>0</v>
      </c>
      <c r="AD37" s="759">
        <f t="shared" si="12"/>
        <v>0</v>
      </c>
      <c r="AE37" s="759">
        <f t="shared" si="12"/>
        <v>0</v>
      </c>
      <c r="AF37" s="759">
        <f t="shared" si="12"/>
        <v>0</v>
      </c>
      <c r="AG37" s="759">
        <f t="shared" si="12"/>
        <v>0</v>
      </c>
      <c r="AH37" s="759">
        <f t="shared" si="12"/>
        <v>0</v>
      </c>
      <c r="AI37" s="759">
        <f t="shared" si="12"/>
        <v>0</v>
      </c>
      <c r="AJ37" s="759">
        <f t="shared" si="12"/>
        <v>0</v>
      </c>
      <c r="AK37" s="759">
        <f t="shared" si="12"/>
        <v>0</v>
      </c>
      <c r="AL37" s="759">
        <f t="shared" si="12"/>
        <v>0</v>
      </c>
      <c r="AM37" s="759">
        <f t="shared" si="12"/>
        <v>0</v>
      </c>
      <c r="AN37" s="759">
        <f t="shared" si="12"/>
        <v>0</v>
      </c>
      <c r="AO37" s="759">
        <f t="shared" si="12"/>
        <v>0</v>
      </c>
      <c r="AP37" s="759">
        <f t="shared" si="12"/>
        <v>0</v>
      </c>
      <c r="AQ37" s="759">
        <f t="shared" si="12"/>
        <v>0</v>
      </c>
      <c r="AR37" s="759">
        <f t="shared" si="12"/>
        <v>0</v>
      </c>
      <c r="AS37" s="759">
        <f t="shared" si="12"/>
        <v>0</v>
      </c>
      <c r="AT37" s="759">
        <f t="shared" si="12"/>
        <v>0</v>
      </c>
      <c r="AU37" s="759">
        <f t="shared" si="12"/>
        <v>0</v>
      </c>
      <c r="AV37" s="759">
        <f t="shared" si="12"/>
        <v>0</v>
      </c>
      <c r="AW37" s="759">
        <f t="shared" si="12"/>
        <v>0</v>
      </c>
      <c r="AX37" s="759">
        <f t="shared" si="12"/>
        <v>0</v>
      </c>
      <c r="AY37" s="759">
        <f t="shared" si="12"/>
        <v>0</v>
      </c>
      <c r="AZ37" s="759">
        <f t="shared" ref="AZ37:BA37" si="15">+$E37/45</f>
        <v>0</v>
      </c>
      <c r="BA37" s="759">
        <f t="shared" si="15"/>
        <v>0</v>
      </c>
      <c r="BB37" s="963">
        <f t="shared" si="10"/>
        <v>0</v>
      </c>
      <c r="BC37" s="964">
        <f t="shared" si="11"/>
        <v>0</v>
      </c>
    </row>
    <row r="38" spans="1:55" ht="24" customHeight="1">
      <c r="A38" s="1630" t="str">
        <f>+'PRES GENERAL MR(OXI)'!A52</f>
        <v>PMA (% CON RESPECTO A LOS COSTOS DIRECTOS)</v>
      </c>
      <c r="B38" s="1631"/>
      <c r="C38" s="1631"/>
      <c r="D38" s="1632"/>
      <c r="E38" s="489">
        <f>+'PRES GENERAL MR(OXI)'!P52</f>
        <v>0</v>
      </c>
      <c r="F38" s="155"/>
      <c r="G38" s="155"/>
      <c r="H38" s="155"/>
      <c r="I38" s="759"/>
      <c r="J38" s="759"/>
      <c r="K38" s="759"/>
      <c r="L38" s="759"/>
      <c r="M38" s="759"/>
      <c r="N38" s="759"/>
      <c r="O38" s="759"/>
      <c r="P38" s="759"/>
      <c r="Q38" s="759"/>
      <c r="R38" s="759"/>
      <c r="S38" s="759"/>
      <c r="T38" s="759"/>
      <c r="U38" s="759"/>
      <c r="V38" s="759"/>
      <c r="W38" s="759"/>
      <c r="X38" s="759"/>
      <c r="Y38" s="759"/>
      <c r="Z38" s="759"/>
      <c r="AA38" s="759"/>
      <c r="AB38" s="759"/>
      <c r="AC38" s="759"/>
      <c r="AD38" s="759"/>
      <c r="AE38" s="759"/>
      <c r="AF38" s="759"/>
      <c r="AG38" s="759"/>
      <c r="AH38" s="759"/>
      <c r="AI38" s="759"/>
      <c r="AJ38" s="759"/>
      <c r="AK38" s="759"/>
      <c r="AL38" s="759"/>
      <c r="AM38" s="759"/>
      <c r="AN38" s="759"/>
      <c r="AO38" s="759">
        <f>+$E38/8</f>
        <v>0</v>
      </c>
      <c r="AP38" s="759">
        <f t="shared" ref="AP38:AV38" si="16">+$E38/8</f>
        <v>0</v>
      </c>
      <c r="AQ38" s="759">
        <f t="shared" si="16"/>
        <v>0</v>
      </c>
      <c r="AR38" s="759">
        <f t="shared" si="16"/>
        <v>0</v>
      </c>
      <c r="AS38" s="759">
        <f t="shared" si="16"/>
        <v>0</v>
      </c>
      <c r="AT38" s="759">
        <f t="shared" si="16"/>
        <v>0</v>
      </c>
      <c r="AU38" s="759">
        <f t="shared" si="16"/>
        <v>0</v>
      </c>
      <c r="AV38" s="759">
        <f t="shared" si="16"/>
        <v>0</v>
      </c>
      <c r="AW38" s="759"/>
      <c r="AX38" s="759"/>
      <c r="AY38" s="759"/>
      <c r="AZ38" s="759"/>
      <c r="BA38" s="759"/>
      <c r="BB38" s="963">
        <f t="shared" si="10"/>
        <v>0</v>
      </c>
      <c r="BC38" s="964">
        <f t="shared" si="11"/>
        <v>0</v>
      </c>
    </row>
    <row r="39" spans="1:55" ht="24" customHeight="1">
      <c r="A39" s="1630" t="str">
        <f>+'PRES GENERAL MR(OXI)'!A53</f>
        <v>Gravamen Movimientos Financieros (GMF 4X1000)</v>
      </c>
      <c r="B39" s="1631"/>
      <c r="C39" s="1631"/>
      <c r="D39" s="1632"/>
      <c r="E39" s="489">
        <f>+'PRES GENERAL MR(OXI)'!P53</f>
        <v>0</v>
      </c>
      <c r="F39" s="155"/>
      <c r="G39" s="155"/>
      <c r="H39" s="155"/>
      <c r="I39" s="759">
        <f t="shared" ref="I39:AY39" si="17">+$E39/45</f>
        <v>0</v>
      </c>
      <c r="J39" s="759">
        <f t="shared" si="17"/>
        <v>0</v>
      </c>
      <c r="K39" s="759">
        <f t="shared" si="17"/>
        <v>0</v>
      </c>
      <c r="L39" s="759">
        <f t="shared" si="17"/>
        <v>0</v>
      </c>
      <c r="M39" s="759">
        <f t="shared" si="17"/>
        <v>0</v>
      </c>
      <c r="N39" s="759">
        <f t="shared" si="17"/>
        <v>0</v>
      </c>
      <c r="O39" s="759">
        <f t="shared" si="17"/>
        <v>0</v>
      </c>
      <c r="P39" s="759">
        <f t="shared" si="17"/>
        <v>0</v>
      </c>
      <c r="Q39" s="759">
        <f t="shared" si="17"/>
        <v>0</v>
      </c>
      <c r="R39" s="759">
        <f t="shared" si="17"/>
        <v>0</v>
      </c>
      <c r="S39" s="759">
        <f t="shared" si="17"/>
        <v>0</v>
      </c>
      <c r="T39" s="759">
        <f t="shared" si="17"/>
        <v>0</v>
      </c>
      <c r="U39" s="759">
        <f t="shared" si="17"/>
        <v>0</v>
      </c>
      <c r="V39" s="759">
        <f t="shared" si="17"/>
        <v>0</v>
      </c>
      <c r="W39" s="759">
        <f t="shared" si="17"/>
        <v>0</v>
      </c>
      <c r="X39" s="759">
        <f t="shared" si="17"/>
        <v>0</v>
      </c>
      <c r="Y39" s="759">
        <f t="shared" si="17"/>
        <v>0</v>
      </c>
      <c r="Z39" s="759">
        <f t="shared" si="17"/>
        <v>0</v>
      </c>
      <c r="AA39" s="759">
        <f t="shared" si="17"/>
        <v>0</v>
      </c>
      <c r="AB39" s="759">
        <f t="shared" si="17"/>
        <v>0</v>
      </c>
      <c r="AC39" s="759">
        <f t="shared" si="17"/>
        <v>0</v>
      </c>
      <c r="AD39" s="759">
        <f t="shared" si="17"/>
        <v>0</v>
      </c>
      <c r="AE39" s="759">
        <f t="shared" si="17"/>
        <v>0</v>
      </c>
      <c r="AF39" s="759">
        <f t="shared" si="17"/>
        <v>0</v>
      </c>
      <c r="AG39" s="759">
        <f t="shared" si="17"/>
        <v>0</v>
      </c>
      <c r="AH39" s="759">
        <f t="shared" si="17"/>
        <v>0</v>
      </c>
      <c r="AI39" s="759">
        <f t="shared" si="17"/>
        <v>0</v>
      </c>
      <c r="AJ39" s="759">
        <f t="shared" si="17"/>
        <v>0</v>
      </c>
      <c r="AK39" s="759">
        <f t="shared" si="17"/>
        <v>0</v>
      </c>
      <c r="AL39" s="759">
        <f t="shared" si="17"/>
        <v>0</v>
      </c>
      <c r="AM39" s="759">
        <f t="shared" si="17"/>
        <v>0</v>
      </c>
      <c r="AN39" s="759">
        <f t="shared" si="17"/>
        <v>0</v>
      </c>
      <c r="AO39" s="759">
        <f t="shared" si="17"/>
        <v>0</v>
      </c>
      <c r="AP39" s="759">
        <f t="shared" si="17"/>
        <v>0</v>
      </c>
      <c r="AQ39" s="759">
        <f t="shared" si="17"/>
        <v>0</v>
      </c>
      <c r="AR39" s="759">
        <f t="shared" si="17"/>
        <v>0</v>
      </c>
      <c r="AS39" s="759">
        <f t="shared" si="17"/>
        <v>0</v>
      </c>
      <c r="AT39" s="759">
        <f t="shared" si="17"/>
        <v>0</v>
      </c>
      <c r="AU39" s="759">
        <f t="shared" si="17"/>
        <v>0</v>
      </c>
      <c r="AV39" s="759">
        <f t="shared" si="17"/>
        <v>0</v>
      </c>
      <c r="AW39" s="759">
        <f t="shared" si="17"/>
        <v>0</v>
      </c>
      <c r="AX39" s="759">
        <f t="shared" si="17"/>
        <v>0</v>
      </c>
      <c r="AY39" s="759">
        <f t="shared" si="17"/>
        <v>0</v>
      </c>
      <c r="AZ39" s="759">
        <f>+$E39/45</f>
        <v>0</v>
      </c>
      <c r="BA39" s="759">
        <f>+$E39/45</f>
        <v>0</v>
      </c>
      <c r="BB39" s="963">
        <f t="shared" si="10"/>
        <v>0</v>
      </c>
      <c r="BC39" s="964">
        <f t="shared" si="11"/>
        <v>0</v>
      </c>
    </row>
    <row r="40" spans="1:55" ht="13.4" customHeight="1">
      <c r="A40" s="1635" t="s">
        <v>1004</v>
      </c>
      <c r="B40" s="1636"/>
      <c r="C40" s="1636"/>
      <c r="D40" s="1637"/>
      <c r="E40" s="491">
        <f t="shared" ref="E40:AF40" si="18">+SUM(E30:E39)</f>
        <v>257711731</v>
      </c>
      <c r="F40" s="491">
        <f t="shared" si="18"/>
        <v>0</v>
      </c>
      <c r="G40" s="491">
        <f t="shared" si="18"/>
        <v>0</v>
      </c>
      <c r="H40" s="491">
        <f t="shared" si="18"/>
        <v>0</v>
      </c>
      <c r="I40" s="491">
        <f t="shared" si="18"/>
        <v>0</v>
      </c>
      <c r="J40" s="491">
        <f t="shared" si="18"/>
        <v>6607993.102564103</v>
      </c>
      <c r="K40" s="491">
        <f t="shared" si="18"/>
        <v>6607993.102564103</v>
      </c>
      <c r="L40" s="491">
        <f t="shared" si="18"/>
        <v>6607993.102564103</v>
      </c>
      <c r="M40" s="491">
        <f t="shared" si="18"/>
        <v>6607993.102564103</v>
      </c>
      <c r="N40" s="491">
        <f t="shared" si="18"/>
        <v>6607993.102564103</v>
      </c>
      <c r="O40" s="491">
        <f t="shared" si="18"/>
        <v>6607993.102564103</v>
      </c>
      <c r="P40" s="491">
        <f t="shared" si="18"/>
        <v>6607993.102564103</v>
      </c>
      <c r="Q40" s="491">
        <f t="shared" si="18"/>
        <v>6607993.102564103</v>
      </c>
      <c r="R40" s="491">
        <f t="shared" si="18"/>
        <v>6607993.102564103</v>
      </c>
      <c r="S40" s="491">
        <f t="shared" si="18"/>
        <v>6607993.102564103</v>
      </c>
      <c r="T40" s="491">
        <f t="shared" si="18"/>
        <v>6607993.102564103</v>
      </c>
      <c r="U40" s="491">
        <f t="shared" si="18"/>
        <v>6607993.102564103</v>
      </c>
      <c r="V40" s="491">
        <f t="shared" si="18"/>
        <v>6607993.102564103</v>
      </c>
      <c r="W40" s="491">
        <f t="shared" si="18"/>
        <v>6607993.102564103</v>
      </c>
      <c r="X40" s="491">
        <f t="shared" si="18"/>
        <v>6607993.102564103</v>
      </c>
      <c r="Y40" s="491">
        <f t="shared" si="18"/>
        <v>6607993.102564103</v>
      </c>
      <c r="Z40" s="491">
        <f t="shared" si="18"/>
        <v>6607993.102564103</v>
      </c>
      <c r="AA40" s="491">
        <f t="shared" si="18"/>
        <v>6607993.102564103</v>
      </c>
      <c r="AB40" s="491">
        <f t="shared" si="18"/>
        <v>6607993.102564103</v>
      </c>
      <c r="AC40" s="491">
        <f t="shared" si="18"/>
        <v>6607993.102564103</v>
      </c>
      <c r="AD40" s="491">
        <f t="shared" si="18"/>
        <v>6607993.102564103</v>
      </c>
      <c r="AE40" s="491">
        <f t="shared" si="18"/>
        <v>6607993.102564103</v>
      </c>
      <c r="AF40" s="491">
        <f t="shared" si="18"/>
        <v>6607993.102564103</v>
      </c>
      <c r="AG40" s="491">
        <f t="shared" ref="AG40:BA40" si="19">+SUM(AG30:AG39)</f>
        <v>6607993.102564103</v>
      </c>
      <c r="AH40" s="491">
        <f t="shared" si="19"/>
        <v>6607993.102564103</v>
      </c>
      <c r="AI40" s="491">
        <f t="shared" si="19"/>
        <v>6607993.102564103</v>
      </c>
      <c r="AJ40" s="491">
        <f t="shared" si="19"/>
        <v>6607993.102564103</v>
      </c>
      <c r="AK40" s="491">
        <f t="shared" si="19"/>
        <v>6607993.102564103</v>
      </c>
      <c r="AL40" s="491">
        <f t="shared" si="19"/>
        <v>6607993.102564103</v>
      </c>
      <c r="AM40" s="491">
        <f t="shared" si="19"/>
        <v>6607993.102564103</v>
      </c>
      <c r="AN40" s="491">
        <f t="shared" si="19"/>
        <v>6607993.102564103</v>
      </c>
      <c r="AO40" s="491">
        <f t="shared" si="19"/>
        <v>6607993.102564103</v>
      </c>
      <c r="AP40" s="491">
        <f t="shared" si="19"/>
        <v>6607993.102564103</v>
      </c>
      <c r="AQ40" s="491">
        <f t="shared" si="19"/>
        <v>6607993.102564103</v>
      </c>
      <c r="AR40" s="491">
        <f t="shared" si="19"/>
        <v>6607993.102564103</v>
      </c>
      <c r="AS40" s="491">
        <f t="shared" si="19"/>
        <v>6607993.102564103</v>
      </c>
      <c r="AT40" s="491">
        <f t="shared" si="19"/>
        <v>6607993.102564103</v>
      </c>
      <c r="AU40" s="491">
        <f t="shared" si="19"/>
        <v>6607993.102564103</v>
      </c>
      <c r="AV40" s="491">
        <f t="shared" si="19"/>
        <v>6607993.102564103</v>
      </c>
      <c r="AW40" s="491">
        <f t="shared" si="19"/>
        <v>0</v>
      </c>
      <c r="AX40" s="491">
        <f t="shared" si="19"/>
        <v>0</v>
      </c>
      <c r="AY40" s="491">
        <f t="shared" si="19"/>
        <v>0</v>
      </c>
      <c r="AZ40" s="491">
        <f t="shared" si="19"/>
        <v>0</v>
      </c>
      <c r="BA40" s="491">
        <f t="shared" si="19"/>
        <v>0</v>
      </c>
      <c r="BB40" s="963">
        <f t="shared" si="6"/>
        <v>257711730.99999985</v>
      </c>
      <c r="BC40" s="964">
        <f t="shared" si="7"/>
        <v>0</v>
      </c>
    </row>
    <row r="41" spans="1:55" ht="14.15" customHeight="1" thickBot="1">
      <c r="A41" s="1638" t="s">
        <v>1005</v>
      </c>
      <c r="B41" s="1639"/>
      <c r="C41" s="1639"/>
      <c r="D41" s="1639"/>
      <c r="E41" s="760"/>
      <c r="F41" s="761">
        <f t="shared" ref="F41:BA41" si="20">+F40/$E$40</f>
        <v>0</v>
      </c>
      <c r="G41" s="761">
        <f t="shared" si="20"/>
        <v>0</v>
      </c>
      <c r="H41" s="761">
        <f t="shared" si="20"/>
        <v>0</v>
      </c>
      <c r="I41" s="761">
        <f t="shared" si="20"/>
        <v>0</v>
      </c>
      <c r="J41" s="761">
        <f t="shared" si="20"/>
        <v>2.5641025641025644E-2</v>
      </c>
      <c r="K41" s="761">
        <f t="shared" si="20"/>
        <v>2.5641025641025644E-2</v>
      </c>
      <c r="L41" s="761">
        <f t="shared" si="20"/>
        <v>2.5641025641025644E-2</v>
      </c>
      <c r="M41" s="761">
        <f t="shared" si="20"/>
        <v>2.5641025641025644E-2</v>
      </c>
      <c r="N41" s="761">
        <f t="shared" si="20"/>
        <v>2.5641025641025644E-2</v>
      </c>
      <c r="O41" s="761">
        <f t="shared" si="20"/>
        <v>2.5641025641025644E-2</v>
      </c>
      <c r="P41" s="761">
        <f t="shared" si="20"/>
        <v>2.5641025641025644E-2</v>
      </c>
      <c r="Q41" s="761">
        <f t="shared" si="20"/>
        <v>2.5641025641025644E-2</v>
      </c>
      <c r="R41" s="761">
        <f t="shared" si="20"/>
        <v>2.5641025641025644E-2</v>
      </c>
      <c r="S41" s="761">
        <f t="shared" si="20"/>
        <v>2.5641025641025644E-2</v>
      </c>
      <c r="T41" s="761">
        <f t="shared" si="20"/>
        <v>2.5641025641025644E-2</v>
      </c>
      <c r="U41" s="761">
        <f t="shared" si="20"/>
        <v>2.5641025641025644E-2</v>
      </c>
      <c r="V41" s="761">
        <f t="shared" si="20"/>
        <v>2.5641025641025644E-2</v>
      </c>
      <c r="W41" s="761">
        <f t="shared" si="20"/>
        <v>2.5641025641025644E-2</v>
      </c>
      <c r="X41" s="761">
        <f t="shared" si="20"/>
        <v>2.5641025641025644E-2</v>
      </c>
      <c r="Y41" s="761">
        <f t="shared" si="20"/>
        <v>2.5641025641025644E-2</v>
      </c>
      <c r="Z41" s="761">
        <f t="shared" si="20"/>
        <v>2.5641025641025644E-2</v>
      </c>
      <c r="AA41" s="761">
        <f t="shared" si="20"/>
        <v>2.5641025641025644E-2</v>
      </c>
      <c r="AB41" s="761">
        <f t="shared" si="20"/>
        <v>2.5641025641025644E-2</v>
      </c>
      <c r="AC41" s="761">
        <f t="shared" si="20"/>
        <v>2.5641025641025644E-2</v>
      </c>
      <c r="AD41" s="761">
        <f t="shared" si="20"/>
        <v>2.5641025641025644E-2</v>
      </c>
      <c r="AE41" s="761">
        <f t="shared" si="20"/>
        <v>2.5641025641025644E-2</v>
      </c>
      <c r="AF41" s="761">
        <f t="shared" si="20"/>
        <v>2.5641025641025644E-2</v>
      </c>
      <c r="AG41" s="761">
        <f t="shared" si="20"/>
        <v>2.5641025641025644E-2</v>
      </c>
      <c r="AH41" s="761">
        <f t="shared" si="20"/>
        <v>2.5641025641025644E-2</v>
      </c>
      <c r="AI41" s="761">
        <f t="shared" si="20"/>
        <v>2.5641025641025644E-2</v>
      </c>
      <c r="AJ41" s="761">
        <f t="shared" si="20"/>
        <v>2.5641025641025644E-2</v>
      </c>
      <c r="AK41" s="761">
        <f t="shared" si="20"/>
        <v>2.5641025641025644E-2</v>
      </c>
      <c r="AL41" s="761">
        <f t="shared" si="20"/>
        <v>2.5641025641025644E-2</v>
      </c>
      <c r="AM41" s="761">
        <f t="shared" si="20"/>
        <v>2.5641025641025644E-2</v>
      </c>
      <c r="AN41" s="761">
        <f t="shared" si="20"/>
        <v>2.5641025641025644E-2</v>
      </c>
      <c r="AO41" s="761">
        <f t="shared" si="20"/>
        <v>2.5641025641025644E-2</v>
      </c>
      <c r="AP41" s="761">
        <f t="shared" si="20"/>
        <v>2.5641025641025644E-2</v>
      </c>
      <c r="AQ41" s="761">
        <f t="shared" si="20"/>
        <v>2.5641025641025644E-2</v>
      </c>
      <c r="AR41" s="761">
        <f t="shared" si="20"/>
        <v>2.5641025641025644E-2</v>
      </c>
      <c r="AS41" s="761">
        <f t="shared" si="20"/>
        <v>2.5641025641025644E-2</v>
      </c>
      <c r="AT41" s="761">
        <f t="shared" si="20"/>
        <v>2.5641025641025644E-2</v>
      </c>
      <c r="AU41" s="761">
        <f t="shared" si="20"/>
        <v>2.5641025641025644E-2</v>
      </c>
      <c r="AV41" s="761">
        <f t="shared" si="20"/>
        <v>2.5641025641025644E-2</v>
      </c>
      <c r="AW41" s="761">
        <f t="shared" si="20"/>
        <v>0</v>
      </c>
      <c r="AX41" s="761">
        <f t="shared" si="20"/>
        <v>0</v>
      </c>
      <c r="AY41" s="761">
        <f t="shared" si="20"/>
        <v>0</v>
      </c>
      <c r="AZ41" s="761">
        <f t="shared" si="20"/>
        <v>0</v>
      </c>
      <c r="BA41" s="761">
        <f t="shared" si="20"/>
        <v>0</v>
      </c>
      <c r="BB41" s="963"/>
      <c r="BC41" s="964"/>
    </row>
    <row r="42" spans="1:55" ht="16" thickBot="1">
      <c r="A42" s="1633" t="s">
        <v>1006</v>
      </c>
      <c r="B42" s="1634"/>
      <c r="C42" s="1634"/>
      <c r="D42" s="1634"/>
      <c r="E42" s="762"/>
      <c r="F42" s="763">
        <f>+F41</f>
        <v>0</v>
      </c>
      <c r="G42" s="763">
        <f>+G41+F42</f>
        <v>0</v>
      </c>
      <c r="H42" s="763">
        <f t="shared" ref="H42" si="21">+H41+G42</f>
        <v>0</v>
      </c>
      <c r="I42" s="763">
        <f t="shared" ref="I42" si="22">+I41+H42</f>
        <v>0</v>
      </c>
      <c r="J42" s="763">
        <f t="shared" ref="J42" si="23">+J41+I42</f>
        <v>2.5641025641025644E-2</v>
      </c>
      <c r="K42" s="763">
        <f t="shared" ref="K42" si="24">+K41+J42</f>
        <v>5.1282051282051287E-2</v>
      </c>
      <c r="L42" s="763">
        <f t="shared" ref="L42" si="25">+L41+K42</f>
        <v>7.6923076923076927E-2</v>
      </c>
      <c r="M42" s="763">
        <f t="shared" ref="M42" si="26">+M41+L42</f>
        <v>0.10256410256410257</v>
      </c>
      <c r="N42" s="763">
        <f t="shared" ref="N42" si="27">+N41+M42</f>
        <v>0.12820512820512822</v>
      </c>
      <c r="O42" s="763">
        <f t="shared" ref="O42" si="28">+O41+N42</f>
        <v>0.15384615384615385</v>
      </c>
      <c r="P42" s="763">
        <f t="shared" ref="P42" si="29">+P41+O42</f>
        <v>0.17948717948717949</v>
      </c>
      <c r="Q42" s="763">
        <f t="shared" ref="Q42" si="30">+Q41+P42</f>
        <v>0.20512820512820512</v>
      </c>
      <c r="R42" s="763">
        <f t="shared" ref="R42" si="31">+R41+Q42</f>
        <v>0.23076923076923075</v>
      </c>
      <c r="S42" s="763">
        <f t="shared" ref="S42" si="32">+S41+R42</f>
        <v>0.25641025641025639</v>
      </c>
      <c r="T42" s="763">
        <f t="shared" ref="T42" si="33">+T41+S42</f>
        <v>0.28205128205128205</v>
      </c>
      <c r="U42" s="763">
        <f t="shared" ref="U42" si="34">+U41+T42</f>
        <v>0.30769230769230771</v>
      </c>
      <c r="V42" s="763">
        <f t="shared" ref="V42" si="35">+V41+U42</f>
        <v>0.33333333333333337</v>
      </c>
      <c r="W42" s="763">
        <f t="shared" ref="W42" si="36">+W41+V42</f>
        <v>0.35897435897435903</v>
      </c>
      <c r="X42" s="763">
        <f t="shared" ref="X42" si="37">+X41+W42</f>
        <v>0.38461538461538469</v>
      </c>
      <c r="Y42" s="763">
        <f t="shared" ref="Y42" si="38">+Y41+X42</f>
        <v>0.41025641025641035</v>
      </c>
      <c r="Z42" s="763">
        <f t="shared" ref="Z42" si="39">+Z41+Y42</f>
        <v>0.43589743589743601</v>
      </c>
      <c r="AA42" s="763">
        <f t="shared" ref="AA42" si="40">+AA41+Z42</f>
        <v>0.46153846153846168</v>
      </c>
      <c r="AB42" s="763">
        <f t="shared" ref="AB42" si="41">+AB41+AA42</f>
        <v>0.48717948717948734</v>
      </c>
      <c r="AC42" s="763">
        <f t="shared" ref="AC42" si="42">+AC41+AB42</f>
        <v>0.512820512820513</v>
      </c>
      <c r="AD42" s="763">
        <f t="shared" ref="AD42" si="43">+AD41+AC42</f>
        <v>0.53846153846153866</v>
      </c>
      <c r="AE42" s="763">
        <f t="shared" ref="AE42" si="44">+AE41+AD42</f>
        <v>0.56410256410256432</v>
      </c>
      <c r="AF42" s="763">
        <f t="shared" ref="AF42" si="45">+AF41+AE42</f>
        <v>0.58974358974358998</v>
      </c>
      <c r="AG42" s="763">
        <f t="shared" ref="AG42" si="46">+AG41+AF42</f>
        <v>0.61538461538461564</v>
      </c>
      <c r="AH42" s="763">
        <f t="shared" ref="AH42" si="47">+AH41+AG42</f>
        <v>0.6410256410256413</v>
      </c>
      <c r="AI42" s="763">
        <f t="shared" ref="AI42" si="48">+AI41+AH42</f>
        <v>0.66666666666666696</v>
      </c>
      <c r="AJ42" s="763">
        <f t="shared" ref="AJ42" si="49">+AJ41+AI42</f>
        <v>0.69230769230769262</v>
      </c>
      <c r="AK42" s="763">
        <f t="shared" ref="AK42" si="50">+AK41+AJ42</f>
        <v>0.71794871794871828</v>
      </c>
      <c r="AL42" s="763">
        <f t="shared" ref="AL42" si="51">+AL41+AK42</f>
        <v>0.74358974358974395</v>
      </c>
      <c r="AM42" s="763">
        <f t="shared" ref="AM42" si="52">+AM41+AL42</f>
        <v>0.76923076923076961</v>
      </c>
      <c r="AN42" s="763">
        <f t="shared" ref="AN42" si="53">+AN41+AM42</f>
        <v>0.79487179487179527</v>
      </c>
      <c r="AO42" s="763">
        <f t="shared" ref="AO42" si="54">+AO41+AN42</f>
        <v>0.82051282051282093</v>
      </c>
      <c r="AP42" s="763">
        <f t="shared" ref="AP42" si="55">+AP41+AO42</f>
        <v>0.84615384615384659</v>
      </c>
      <c r="AQ42" s="763">
        <f t="shared" ref="AQ42" si="56">+AQ41+AP42</f>
        <v>0.87179487179487225</v>
      </c>
      <c r="AR42" s="763">
        <f t="shared" ref="AR42" si="57">+AR41+AQ42</f>
        <v>0.89743589743589791</v>
      </c>
      <c r="AS42" s="763">
        <f t="shared" ref="AS42" si="58">+AS41+AR42</f>
        <v>0.92307692307692357</v>
      </c>
      <c r="AT42" s="763">
        <f t="shared" ref="AT42" si="59">+AT41+AS42</f>
        <v>0.94871794871794923</v>
      </c>
      <c r="AU42" s="763">
        <f t="shared" ref="AU42" si="60">+AU41+AT42</f>
        <v>0.97435897435897489</v>
      </c>
      <c r="AV42" s="763">
        <f t="shared" ref="AV42" si="61">+AV41+AU42</f>
        <v>1.0000000000000004</v>
      </c>
      <c r="AW42" s="763">
        <f t="shared" ref="AW42" si="62">+AW41+AV42</f>
        <v>1.0000000000000004</v>
      </c>
      <c r="AX42" s="763">
        <f t="shared" ref="AX42" si="63">+AX41+AW42</f>
        <v>1.0000000000000004</v>
      </c>
      <c r="AY42" s="763">
        <f t="shared" ref="AY42" si="64">+AY41+AX42</f>
        <v>1.0000000000000004</v>
      </c>
      <c r="AZ42" s="763">
        <f t="shared" ref="AZ42" si="65">+AZ41+AY42</f>
        <v>1.0000000000000004</v>
      </c>
      <c r="BA42" s="763">
        <f t="shared" ref="BA42" si="66">+BA41+AZ42</f>
        <v>1.0000000000000004</v>
      </c>
      <c r="BB42" s="963"/>
      <c r="BC42" s="964"/>
    </row>
    <row r="43" spans="1:55" ht="13">
      <c r="A43" s="495"/>
      <c r="B43" s="495"/>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c r="AL43" s="494"/>
      <c r="AM43" s="494"/>
      <c r="AN43" s="494"/>
      <c r="AO43" s="494"/>
      <c r="AP43" s="494"/>
      <c r="AQ43" s="494"/>
      <c r="AR43" s="494"/>
      <c r="AS43" s="494"/>
      <c r="AT43" s="494"/>
      <c r="AU43" s="494"/>
      <c r="AV43" s="494"/>
      <c r="AW43" s="494"/>
      <c r="AX43" s="494"/>
      <c r="AY43" s="494"/>
      <c r="AZ43" s="494"/>
      <c r="BA43" s="494"/>
    </row>
    <row r="44" spans="1:55" ht="29.5" customHeight="1">
      <c r="A44" s="494"/>
      <c r="B44" s="483"/>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c r="AL44" s="494"/>
      <c r="AM44" s="494"/>
      <c r="AN44" s="494"/>
      <c r="AO44" s="494"/>
      <c r="AP44" s="494"/>
      <c r="AQ44" s="494"/>
      <c r="AR44" s="494"/>
      <c r="AS44" s="494"/>
      <c r="AT44" s="494"/>
      <c r="AU44" s="494"/>
      <c r="AV44" s="494"/>
      <c r="AW44" s="494"/>
      <c r="AX44" s="494"/>
      <c r="AY44" s="494"/>
      <c r="AZ44" s="494"/>
      <c r="BA44" s="494"/>
    </row>
    <row r="45" spans="1:55" ht="29.15" customHeight="1">
      <c r="A45" s="494"/>
      <c r="B45"/>
      <c r="C45" s="494"/>
      <c r="D45" s="494"/>
      <c r="E45" s="494"/>
      <c r="F45" s="494"/>
      <c r="G45" s="494"/>
      <c r="H45" s="494"/>
      <c r="I45" s="494"/>
      <c r="J45" s="494"/>
      <c r="K45" s="494"/>
      <c r="L45" s="494"/>
      <c r="M45" s="494"/>
      <c r="N45" s="494"/>
      <c r="O45" s="494"/>
      <c r="P45" s="494"/>
      <c r="Q45" s="494"/>
      <c r="R45" s="494"/>
      <c r="S45" s="494"/>
      <c r="T45" s="494"/>
      <c r="U45" s="494"/>
      <c r="V45" s="494"/>
      <c r="W45" s="494"/>
      <c r="X45" s="494"/>
      <c r="Y45" s="494"/>
      <c r="Z45" s="494"/>
      <c r="AA45" s="494"/>
      <c r="AB45" s="494"/>
      <c r="AC45" s="494"/>
      <c r="AD45" s="494"/>
      <c r="AE45" s="494"/>
      <c r="AF45" s="494"/>
      <c r="AG45" s="494"/>
      <c r="AH45" s="494"/>
      <c r="AI45" s="494"/>
      <c r="AJ45" s="494"/>
      <c r="AK45" s="494"/>
      <c r="AL45" s="494"/>
      <c r="AM45" s="494"/>
      <c r="AN45" s="494"/>
      <c r="AO45" s="494"/>
      <c r="AP45" s="494"/>
      <c r="AQ45" s="494"/>
      <c r="AR45" s="494"/>
      <c r="AS45" s="494"/>
      <c r="AT45" s="494"/>
      <c r="AU45" s="494"/>
      <c r="AV45" s="494"/>
      <c r="AW45" s="494"/>
      <c r="AX45" s="494"/>
      <c r="AY45" s="494"/>
      <c r="AZ45" s="494"/>
      <c r="BA45" s="494"/>
    </row>
    <row r="46" spans="1:55" ht="13">
      <c r="A46" s="494"/>
      <c r="B46" s="441"/>
      <c r="C46" s="49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A46" s="494"/>
      <c r="AB46" s="494"/>
      <c r="AC46" s="494"/>
      <c r="AD46" s="494"/>
      <c r="AE46" s="494"/>
      <c r="AF46" s="494"/>
      <c r="AG46" s="494"/>
      <c r="AH46" s="494"/>
      <c r="AI46" s="494"/>
      <c r="AJ46" s="494"/>
      <c r="AK46" s="494"/>
      <c r="AL46" s="494"/>
      <c r="AM46" s="494"/>
      <c r="AN46" s="494"/>
      <c r="AO46" s="494"/>
      <c r="AP46" s="494"/>
      <c r="AQ46" s="494"/>
      <c r="AR46" s="494"/>
      <c r="AS46" s="494"/>
      <c r="AT46" s="494"/>
      <c r="AU46" s="494"/>
      <c r="AV46" s="494"/>
      <c r="AW46" s="494"/>
      <c r="AX46" s="494"/>
      <c r="AY46" s="494"/>
      <c r="AZ46" s="494"/>
      <c r="BA46" s="494"/>
    </row>
    <row r="47" spans="1:55" ht="31">
      <c r="A47" s="494"/>
      <c r="B47" s="1027" t="s">
        <v>578</v>
      </c>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4"/>
      <c r="BA47" s="494"/>
    </row>
    <row r="48" spans="1:55" ht="13">
      <c r="A48" s="494"/>
      <c r="B48" s="494"/>
      <c r="C48" s="494"/>
      <c r="D48" s="494"/>
      <c r="E48" s="494"/>
      <c r="F48" s="494"/>
      <c r="G48" s="494"/>
      <c r="H48" s="494"/>
      <c r="I48" s="494"/>
      <c r="J48" s="494"/>
      <c r="K48" s="494"/>
      <c r="L48" s="494"/>
      <c r="M48" s="494"/>
      <c r="N48" s="494"/>
      <c r="O48" s="494"/>
      <c r="P48" s="494"/>
      <c r="Q48" s="494"/>
      <c r="R48" s="494"/>
      <c r="S48" s="494"/>
      <c r="T48" s="494"/>
      <c r="U48" s="494"/>
      <c r="V48" s="494"/>
      <c r="W48" s="494"/>
      <c r="X48" s="494"/>
      <c r="Y48" s="494"/>
      <c r="Z48" s="494"/>
      <c r="AA48" s="494"/>
      <c r="AB48" s="494"/>
      <c r="AC48" s="494"/>
      <c r="AD48" s="494"/>
      <c r="AE48" s="494"/>
      <c r="AF48" s="494"/>
      <c r="AG48" s="494"/>
      <c r="AH48" s="494"/>
      <c r="AI48" s="494"/>
      <c r="AJ48" s="494"/>
      <c r="AK48" s="494"/>
      <c r="AL48" s="494"/>
      <c r="AM48" s="494"/>
      <c r="AN48" s="494"/>
      <c r="AO48" s="494"/>
      <c r="AP48" s="494"/>
      <c r="AQ48" s="494"/>
      <c r="AR48" s="494"/>
      <c r="AS48" s="494"/>
      <c r="AT48" s="494"/>
      <c r="AU48" s="494"/>
      <c r="AV48" s="494"/>
      <c r="AW48" s="494"/>
      <c r="AX48" s="494"/>
      <c r="AY48" s="494"/>
      <c r="AZ48" s="494"/>
      <c r="BA48" s="494"/>
    </row>
    <row r="49" spans="1:53" ht="13">
      <c r="A49" s="483"/>
      <c r="B49" s="483"/>
      <c r="C49" s="483"/>
      <c r="D49" s="483"/>
      <c r="E49" s="494"/>
      <c r="F49" s="483"/>
      <c r="G49" s="483"/>
      <c r="H49" s="483"/>
      <c r="I49" s="483"/>
      <c r="J49" s="483"/>
      <c r="K49" s="483"/>
      <c r="L49" s="483"/>
      <c r="M49" s="483"/>
      <c r="N49" s="483"/>
      <c r="O49" s="483"/>
      <c r="P49" s="483"/>
      <c r="Q49" s="483"/>
      <c r="R49" s="483"/>
      <c r="S49" s="483"/>
      <c r="T49" s="483"/>
      <c r="U49" s="483"/>
      <c r="V49" s="483"/>
      <c r="W49" s="483"/>
      <c r="X49" s="483"/>
      <c r="Y49" s="483"/>
      <c r="Z49" s="483"/>
      <c r="AA49" s="483"/>
      <c r="AB49" s="483"/>
      <c r="AC49" s="483"/>
      <c r="AD49" s="483"/>
      <c r="AE49" s="483"/>
      <c r="AF49" s="483"/>
      <c r="AG49" s="483"/>
      <c r="AH49" s="483"/>
      <c r="AI49" s="483"/>
      <c r="AJ49" s="483"/>
      <c r="AK49" s="483"/>
      <c r="AL49" s="483"/>
      <c r="AM49" s="483"/>
      <c r="AN49" s="483"/>
      <c r="AO49" s="483"/>
      <c r="AP49" s="483"/>
      <c r="AQ49" s="483"/>
      <c r="AR49" s="483"/>
      <c r="AS49" s="483"/>
      <c r="AT49" s="483"/>
      <c r="AU49" s="483"/>
      <c r="AV49" s="483"/>
      <c r="AW49" s="483"/>
      <c r="AX49" s="494"/>
      <c r="AY49" s="494"/>
      <c r="AZ49" s="494"/>
      <c r="BA49" s="494"/>
    </row>
    <row r="50" spans="1:53" ht="13">
      <c r="A50" s="483"/>
      <c r="B50" s="483"/>
      <c r="C50" s="483"/>
      <c r="D50" s="483"/>
      <c r="E50" s="494"/>
      <c r="F50" s="483"/>
      <c r="G50" s="483"/>
      <c r="H50" s="483"/>
      <c r="I50" s="483"/>
      <c r="J50" s="483"/>
      <c r="K50" s="483"/>
      <c r="L50" s="483"/>
      <c r="M50" s="483"/>
      <c r="N50" s="483"/>
      <c r="O50" s="483"/>
      <c r="P50" s="483"/>
      <c r="Q50" s="483"/>
      <c r="R50" s="483"/>
      <c r="S50" s="483"/>
      <c r="T50" s="483"/>
      <c r="U50" s="483"/>
      <c r="V50" s="483"/>
      <c r="W50" s="483"/>
      <c r="X50" s="483"/>
      <c r="Y50" s="483"/>
      <c r="Z50" s="483"/>
      <c r="AA50" s="483"/>
      <c r="AB50" s="483"/>
      <c r="AC50" s="483"/>
      <c r="AD50" s="483"/>
      <c r="AE50" s="483"/>
      <c r="AF50" s="483"/>
      <c r="AG50" s="483"/>
      <c r="AH50" s="483"/>
      <c r="AI50" s="483"/>
      <c r="AJ50" s="483"/>
      <c r="AK50" s="483"/>
      <c r="AL50" s="483"/>
      <c r="AM50" s="483"/>
      <c r="AN50" s="483"/>
      <c r="AO50" s="483"/>
      <c r="AP50" s="483"/>
      <c r="AQ50" s="483"/>
      <c r="AR50" s="483"/>
      <c r="AS50" s="483"/>
      <c r="AT50" s="483"/>
      <c r="AU50" s="483"/>
      <c r="AV50" s="483"/>
      <c r="AW50" s="483"/>
      <c r="AX50" s="494"/>
      <c r="AY50" s="494"/>
      <c r="AZ50" s="494"/>
      <c r="BA50" s="494"/>
    </row>
    <row r="51" spans="1:53" ht="27" customHeight="1">
      <c r="A51" s="483"/>
      <c r="B51" s="496"/>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6"/>
      <c r="AG51" s="496"/>
      <c r="AH51" s="496"/>
      <c r="AI51" s="496"/>
      <c r="AJ51" s="496"/>
      <c r="AK51" s="496"/>
      <c r="AL51" s="496"/>
      <c r="AM51" s="496"/>
      <c r="AN51" s="496"/>
      <c r="AO51" s="496"/>
      <c r="AP51" s="496"/>
      <c r="AQ51" s="496"/>
      <c r="AR51" s="496"/>
      <c r="AS51" s="496"/>
      <c r="AT51" s="496"/>
      <c r="AU51" s="496"/>
      <c r="AV51" s="496"/>
      <c r="AW51" s="496"/>
      <c r="AX51" s="494"/>
      <c r="AY51" s="494"/>
      <c r="AZ51" s="494"/>
      <c r="BA51" s="494"/>
    </row>
    <row r="52" spans="1:53" ht="13">
      <c r="A52" s="483"/>
      <c r="B52" s="496"/>
      <c r="C52" s="496"/>
      <c r="D52" s="496"/>
      <c r="E52" s="496"/>
      <c r="F52" s="496"/>
      <c r="G52" s="496"/>
      <c r="H52" s="496"/>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6"/>
      <c r="AG52" s="496"/>
      <c r="AH52" s="496"/>
      <c r="AI52" s="496"/>
      <c r="AJ52" s="496"/>
      <c r="AK52" s="496"/>
      <c r="AL52" s="496"/>
      <c r="AM52" s="496"/>
      <c r="AN52" s="496"/>
      <c r="AO52" s="496"/>
      <c r="AP52" s="496"/>
      <c r="AQ52" s="496"/>
      <c r="AR52" s="496"/>
      <c r="AS52" s="496"/>
      <c r="AT52" s="496"/>
      <c r="AU52" s="496"/>
      <c r="AV52" s="496"/>
      <c r="AW52" s="496"/>
      <c r="AX52" s="494"/>
      <c r="AY52" s="494"/>
      <c r="AZ52" s="494"/>
      <c r="BA52" s="494"/>
    </row>
    <row r="53" spans="1:53" ht="30" customHeight="1">
      <c r="A53" s="483"/>
      <c r="B53" s="496"/>
      <c r="C53" s="496"/>
      <c r="D53" s="496"/>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6"/>
      <c r="AG53" s="496"/>
      <c r="AH53" s="496"/>
      <c r="AI53" s="496"/>
      <c r="AJ53" s="496"/>
      <c r="AK53" s="496"/>
      <c r="AL53" s="496"/>
      <c r="AM53" s="496"/>
      <c r="AN53" s="496"/>
      <c r="AO53" s="496"/>
      <c r="AP53" s="496"/>
      <c r="AQ53" s="496"/>
      <c r="AR53" s="496"/>
      <c r="AS53" s="496"/>
      <c r="AT53" s="496"/>
      <c r="AU53" s="496"/>
      <c r="AV53" s="496"/>
      <c r="AW53" s="496"/>
      <c r="AX53" s="494"/>
      <c r="AY53" s="494"/>
      <c r="AZ53" s="494"/>
      <c r="BA53" s="494"/>
    </row>
    <row r="54" spans="1:53" ht="13">
      <c r="A54" s="483"/>
      <c r="B54" s="496"/>
      <c r="C54" s="496"/>
      <c r="D54" s="496"/>
      <c r="E54" s="496"/>
      <c r="F54" s="496"/>
      <c r="G54" s="496"/>
      <c r="H54" s="496"/>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6"/>
      <c r="AG54" s="496"/>
      <c r="AH54" s="496"/>
      <c r="AI54" s="496"/>
      <c r="AJ54" s="496"/>
      <c r="AK54" s="496"/>
      <c r="AL54" s="496"/>
      <c r="AM54" s="496"/>
      <c r="AN54" s="496"/>
      <c r="AO54" s="496"/>
      <c r="AP54" s="496"/>
      <c r="AQ54" s="496"/>
      <c r="AR54" s="496"/>
      <c r="AS54" s="496"/>
      <c r="AT54" s="496"/>
      <c r="AU54" s="496"/>
      <c r="AV54" s="496"/>
      <c r="AW54" s="496"/>
      <c r="AX54" s="494"/>
      <c r="AY54" s="494"/>
      <c r="AZ54" s="494"/>
      <c r="BA54" s="494"/>
    </row>
    <row r="55" spans="1:53" ht="13">
      <c r="A55" s="483"/>
      <c r="B55" s="496"/>
      <c r="C55" s="496"/>
      <c r="D55" s="496"/>
      <c r="E55" s="496"/>
      <c r="F55" s="496"/>
      <c r="G55" s="496"/>
      <c r="H55" s="496"/>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6"/>
      <c r="AG55" s="496"/>
      <c r="AH55" s="496"/>
      <c r="AI55" s="496"/>
      <c r="AJ55" s="496"/>
      <c r="AK55" s="496"/>
      <c r="AL55" s="496"/>
      <c r="AM55" s="496"/>
      <c r="AN55" s="496"/>
      <c r="AO55" s="496"/>
      <c r="AP55" s="496"/>
      <c r="AQ55" s="496"/>
      <c r="AR55" s="496"/>
      <c r="AS55" s="496"/>
      <c r="AT55" s="496"/>
      <c r="AU55" s="496"/>
      <c r="AV55" s="496"/>
      <c r="AW55" s="496"/>
      <c r="AX55" s="494"/>
      <c r="AY55" s="494"/>
      <c r="AZ55" s="494"/>
      <c r="BA55" s="494"/>
    </row>
    <row r="56" spans="1:53" ht="13.4" customHeight="1">
      <c r="A56" s="483"/>
      <c r="B56" s="496"/>
      <c r="C56" s="496"/>
      <c r="D56" s="496"/>
      <c r="E56" s="496"/>
      <c r="F56" s="496"/>
      <c r="G56" s="496"/>
      <c r="H56" s="496"/>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6"/>
      <c r="AG56" s="496"/>
      <c r="AH56" s="496"/>
      <c r="AI56" s="496"/>
      <c r="AJ56" s="496"/>
      <c r="AK56" s="496"/>
      <c r="AL56" s="496"/>
      <c r="AM56" s="496"/>
      <c r="AN56" s="496"/>
      <c r="AO56" s="496"/>
      <c r="AP56" s="496"/>
      <c r="AQ56" s="496"/>
      <c r="AR56" s="496"/>
      <c r="AS56" s="496"/>
      <c r="AT56" s="496"/>
      <c r="AU56" s="496"/>
      <c r="AV56" s="496"/>
      <c r="AW56" s="496"/>
      <c r="AX56" s="494"/>
      <c r="AY56" s="494"/>
      <c r="AZ56" s="494"/>
      <c r="BA56" s="494"/>
    </row>
    <row r="57" spans="1:53" ht="13.4" customHeight="1">
      <c r="A57" s="483"/>
      <c r="B57" s="483"/>
      <c r="C57" s="483"/>
      <c r="D57" s="483"/>
      <c r="E57" s="483"/>
      <c r="F57" s="483"/>
      <c r="G57" s="483"/>
      <c r="H57" s="483"/>
      <c r="I57" s="483"/>
      <c r="J57" s="483"/>
      <c r="K57" s="483"/>
      <c r="L57" s="483"/>
      <c r="M57" s="483"/>
      <c r="N57" s="483"/>
      <c r="O57" s="483"/>
      <c r="P57" s="483"/>
      <c r="Q57" s="483"/>
      <c r="R57" s="483"/>
      <c r="S57" s="483"/>
      <c r="T57" s="483"/>
      <c r="U57" s="483"/>
      <c r="V57" s="483"/>
      <c r="W57" s="483"/>
      <c r="X57" s="483"/>
      <c r="Y57" s="483"/>
      <c r="Z57" s="483"/>
      <c r="AA57" s="483"/>
      <c r="AB57" s="483"/>
      <c r="AC57" s="483"/>
      <c r="AD57" s="483"/>
      <c r="AE57" s="483"/>
      <c r="AF57" s="483"/>
      <c r="AG57" s="483"/>
      <c r="AH57" s="483"/>
      <c r="AI57" s="483"/>
      <c r="AJ57" s="483"/>
      <c r="AK57" s="483"/>
      <c r="AL57" s="483"/>
      <c r="AM57" s="483"/>
      <c r="AN57" s="483"/>
      <c r="AO57" s="483"/>
      <c r="AP57" s="483"/>
      <c r="AQ57" s="483"/>
      <c r="AR57" s="483"/>
      <c r="AS57" s="483"/>
      <c r="AT57" s="483"/>
      <c r="AU57" s="483"/>
      <c r="AV57" s="483"/>
      <c r="AW57" s="483"/>
      <c r="AX57" s="494"/>
      <c r="AY57" s="494"/>
      <c r="AZ57" s="494"/>
      <c r="BA57" s="494"/>
    </row>
    <row r="58" spans="1:53" ht="13.4" customHeight="1">
      <c r="AX58" s="494"/>
      <c r="AY58" s="494"/>
      <c r="AZ58" s="494"/>
      <c r="BA58" s="494"/>
    </row>
    <row r="59" spans="1:53" ht="13">
      <c r="AX59" s="494"/>
      <c r="AY59" s="494"/>
      <c r="AZ59" s="494"/>
      <c r="BA59" s="494"/>
    </row>
    <row r="60" spans="1:53" ht="13">
      <c r="AX60" s="494"/>
      <c r="AY60" s="494"/>
      <c r="AZ60" s="494"/>
      <c r="BA60" s="494"/>
    </row>
    <row r="61" spans="1:53" ht="13">
      <c r="AX61" s="494"/>
      <c r="AY61" s="494"/>
      <c r="AZ61" s="494"/>
      <c r="BA61" s="494"/>
    </row>
    <row r="62" spans="1:53">
      <c r="BA62" s="497"/>
    </row>
    <row r="63" spans="1:53">
      <c r="BA63" s="497"/>
    </row>
    <row r="64" spans="1:53">
      <c r="BA64" s="497"/>
    </row>
    <row r="65" spans="53:53">
      <c r="BA65" s="497"/>
    </row>
    <row r="66" spans="53:53">
      <c r="BA66" s="497"/>
    </row>
    <row r="67" spans="53:53">
      <c r="BA67" s="497"/>
    </row>
    <row r="68" spans="53:53">
      <c r="BA68" s="497"/>
    </row>
    <row r="69" spans="53:53">
      <c r="BA69" s="497"/>
    </row>
  </sheetData>
  <mergeCells count="33">
    <mergeCell ref="A42:D42"/>
    <mergeCell ref="A31:D31"/>
    <mergeCell ref="A32:D32"/>
    <mergeCell ref="A37:D37"/>
    <mergeCell ref="A38:D38"/>
    <mergeCell ref="A39:D39"/>
    <mergeCell ref="A33:D33"/>
    <mergeCell ref="A34:D34"/>
    <mergeCell ref="A35:D35"/>
    <mergeCell ref="A36:D36"/>
    <mergeCell ref="A40:D40"/>
    <mergeCell ref="A41:D41"/>
    <mergeCell ref="A30:D30"/>
    <mergeCell ref="M5:P5"/>
    <mergeCell ref="Q5:T5"/>
    <mergeCell ref="U5:X5"/>
    <mergeCell ref="Y5:AB5"/>
    <mergeCell ref="A28:D28"/>
    <mergeCell ref="A29:D29"/>
    <mergeCell ref="A1:BA1"/>
    <mergeCell ref="A2:BA2"/>
    <mergeCell ref="A3:BA3"/>
    <mergeCell ref="A4:A5"/>
    <mergeCell ref="B4:B5"/>
    <mergeCell ref="C4:C5"/>
    <mergeCell ref="D4:D5"/>
    <mergeCell ref="E4:E5"/>
    <mergeCell ref="K5:L5"/>
    <mergeCell ref="AK5:AN5"/>
    <mergeCell ref="AO5:AR5"/>
    <mergeCell ref="AS5:AV5"/>
    <mergeCell ref="AC5:AF5"/>
    <mergeCell ref="AG5:AJ5"/>
  </mergeCells>
  <phoneticPr fontId="16" type="noConversion"/>
  <printOptions horizontalCentered="1"/>
  <pageMargins left="0.19685039370078741" right="0.19685039370078741" top="1.3779527559055118" bottom="0.19685039370078741" header="0.39370078740157483" footer="0"/>
  <pageSetup paperSize="5" scale="22" orientation="landscape" r:id="rId1"/>
  <headerFooter scaleWithDoc="0"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21A69-F8AF-4C63-808B-25F8DAA612C6}">
  <sheetPr>
    <pageSetUpPr fitToPage="1"/>
  </sheetPr>
  <dimension ref="A1:BC65"/>
  <sheetViews>
    <sheetView showGridLines="0" view="pageBreakPreview" topLeftCell="AI1" zoomScale="70" zoomScaleNormal="80" zoomScaleSheetLayoutView="70" workbookViewId="0">
      <selection activeCell="Q49" sqref="Q49"/>
    </sheetView>
  </sheetViews>
  <sheetFormatPr baseColWidth="10" defaultColWidth="11.453125" defaultRowHeight="12.5"/>
  <cols>
    <col min="1" max="1" width="5.81640625" style="466" bestFit="1" customWidth="1"/>
    <col min="2" max="2" width="50.54296875" style="466" customWidth="1"/>
    <col min="3" max="3" width="8" style="466" bestFit="1" customWidth="1"/>
    <col min="4" max="4" width="8" style="466" customWidth="1"/>
    <col min="5" max="5" width="14.54296875" style="466" bestFit="1" customWidth="1"/>
    <col min="6" max="9" width="11.453125" style="466" bestFit="1" customWidth="1"/>
    <col min="10" max="10" width="12.453125" style="466" bestFit="1" customWidth="1"/>
    <col min="11" max="11" width="14.453125" style="466" customWidth="1"/>
    <col min="12" max="14" width="13" style="466" customWidth="1"/>
    <col min="15" max="16" width="15.54296875" style="466" bestFit="1" customWidth="1"/>
    <col min="17" max="26" width="13" style="466" bestFit="1" customWidth="1"/>
    <col min="27" max="40" width="14" style="466" bestFit="1" customWidth="1"/>
    <col min="41" max="48" width="16.453125" style="466" customWidth="1"/>
    <col min="49" max="53" width="11.453125" style="466" bestFit="1" customWidth="1"/>
    <col min="54" max="54" width="15.54296875" style="466" customWidth="1"/>
    <col min="55" max="55" width="16.453125" style="466" customWidth="1"/>
    <col min="56" max="56" width="7.453125" style="466" bestFit="1" customWidth="1"/>
    <col min="57" max="57" width="11.453125" style="466" customWidth="1"/>
    <col min="58" max="16384" width="11.453125" style="466"/>
  </cols>
  <sheetData>
    <row r="1" spans="1:53" ht="30.65" customHeight="1">
      <c r="A1" s="1613"/>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c r="AO1" s="1614"/>
      <c r="AP1" s="1614"/>
      <c r="AQ1" s="1614"/>
      <c r="AR1" s="1614"/>
      <c r="AS1" s="1614"/>
      <c r="AT1" s="1614"/>
      <c r="AU1" s="1614"/>
      <c r="AV1" s="1614"/>
      <c r="AW1" s="1614"/>
      <c r="AX1" s="1614"/>
      <c r="AY1" s="1614"/>
      <c r="AZ1" s="1614"/>
      <c r="BA1" s="1615"/>
    </row>
    <row r="2" spans="1:53" ht="30.65" customHeight="1">
      <c r="A2" s="1616" t="e">
        <f>+#REF!</f>
        <v>#REF!</v>
      </c>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c r="AO2" s="1617"/>
      <c r="AP2" s="1617"/>
      <c r="AQ2" s="1617"/>
      <c r="AR2" s="1617"/>
      <c r="AS2" s="1617"/>
      <c r="AT2" s="1617"/>
      <c r="AU2" s="1617"/>
      <c r="AV2" s="1617"/>
      <c r="AW2" s="1617"/>
      <c r="AX2" s="1617"/>
      <c r="AY2" s="1617"/>
      <c r="AZ2" s="1617"/>
      <c r="BA2" s="1618"/>
    </row>
    <row r="3" spans="1:53" ht="30.65" customHeight="1" thickBot="1">
      <c r="A3" s="1619" t="s">
        <v>912</v>
      </c>
      <c r="B3" s="1620"/>
      <c r="C3" s="1620"/>
      <c r="D3" s="1620"/>
      <c r="E3" s="1620"/>
      <c r="F3" s="1620"/>
      <c r="G3" s="1620"/>
      <c r="H3" s="1620"/>
      <c r="I3" s="1620"/>
      <c r="J3" s="1620"/>
      <c r="K3" s="1620"/>
      <c r="L3" s="1620"/>
      <c r="M3" s="1620"/>
      <c r="N3" s="1620"/>
      <c r="O3" s="1620"/>
      <c r="P3" s="1620"/>
      <c r="Q3" s="1620"/>
      <c r="R3" s="1620"/>
      <c r="S3" s="1620"/>
      <c r="T3" s="1620"/>
      <c r="U3" s="1620"/>
      <c r="V3" s="1620"/>
      <c r="W3" s="1620"/>
      <c r="X3" s="1620"/>
      <c r="Y3" s="1620"/>
      <c r="Z3" s="1620"/>
      <c r="AA3" s="1620"/>
      <c r="AB3" s="1620"/>
      <c r="AC3" s="1620"/>
      <c r="AD3" s="1620"/>
      <c r="AE3" s="1620"/>
      <c r="AF3" s="1620"/>
      <c r="AG3" s="1620"/>
      <c r="AH3" s="1620"/>
      <c r="AI3" s="1620"/>
      <c r="AJ3" s="1620"/>
      <c r="AK3" s="1620"/>
      <c r="AL3" s="1620"/>
      <c r="AM3" s="1620"/>
      <c r="AN3" s="1620"/>
      <c r="AO3" s="1620"/>
      <c r="AP3" s="1620"/>
      <c r="AQ3" s="1620"/>
      <c r="AR3" s="1620"/>
      <c r="AS3" s="1620"/>
      <c r="AT3" s="1620"/>
      <c r="AU3" s="1620"/>
      <c r="AV3" s="1620"/>
      <c r="AW3" s="1620"/>
      <c r="AX3" s="1620"/>
      <c r="AY3" s="1620"/>
      <c r="AZ3" s="1620"/>
      <c r="BA3" s="1621"/>
    </row>
    <row r="4" spans="1:53" ht="12.75" customHeight="1" thickBot="1">
      <c r="A4" s="1622" t="s">
        <v>584</v>
      </c>
      <c r="B4" s="1623" t="s">
        <v>913</v>
      </c>
      <c r="C4" s="1623" t="s">
        <v>259</v>
      </c>
      <c r="D4" s="1623" t="s">
        <v>914</v>
      </c>
      <c r="E4" s="1623" t="s">
        <v>915</v>
      </c>
      <c r="F4" s="607"/>
      <c r="G4" s="740"/>
      <c r="H4" s="740"/>
      <c r="I4" s="740"/>
      <c r="J4" s="740"/>
      <c r="K4" s="741"/>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3"/>
      <c r="BA4" s="744"/>
    </row>
    <row r="5" spans="1:53" ht="16" thickBot="1">
      <c r="A5" s="1622"/>
      <c r="B5" s="1623"/>
      <c r="C5" s="1623"/>
      <c r="D5" s="1623"/>
      <c r="E5" s="1623"/>
      <c r="F5" s="745" t="s">
        <v>916</v>
      </c>
      <c r="G5" s="745" t="s">
        <v>917</v>
      </c>
      <c r="H5" s="745" t="s">
        <v>918</v>
      </c>
      <c r="I5" s="745" t="s">
        <v>919</v>
      </c>
      <c r="J5" s="745" t="s">
        <v>920</v>
      </c>
      <c r="K5" s="1624" t="s">
        <v>921</v>
      </c>
      <c r="L5" s="1625"/>
      <c r="M5" s="1624" t="s">
        <v>922</v>
      </c>
      <c r="N5" s="1626"/>
      <c r="O5" s="1626"/>
      <c r="P5" s="1625"/>
      <c r="Q5" s="1624" t="s">
        <v>923</v>
      </c>
      <c r="R5" s="1626"/>
      <c r="S5" s="1626"/>
      <c r="T5" s="1625"/>
      <c r="U5" s="1624" t="s">
        <v>924</v>
      </c>
      <c r="V5" s="1626"/>
      <c r="W5" s="1626"/>
      <c r="X5" s="1625"/>
      <c r="Y5" s="1624" t="s">
        <v>925</v>
      </c>
      <c r="Z5" s="1626"/>
      <c r="AA5" s="1626"/>
      <c r="AB5" s="1625"/>
      <c r="AC5" s="1624" t="s">
        <v>926</v>
      </c>
      <c r="AD5" s="1626"/>
      <c r="AE5" s="1626"/>
      <c r="AF5" s="1625"/>
      <c r="AG5" s="1624" t="s">
        <v>927</v>
      </c>
      <c r="AH5" s="1626"/>
      <c r="AI5" s="1626"/>
      <c r="AJ5" s="1625"/>
      <c r="AK5" s="1624" t="s">
        <v>928</v>
      </c>
      <c r="AL5" s="1626"/>
      <c r="AM5" s="1626"/>
      <c r="AN5" s="1625"/>
      <c r="AO5" s="1624" t="s">
        <v>929</v>
      </c>
      <c r="AP5" s="1626"/>
      <c r="AQ5" s="1626"/>
      <c r="AR5" s="1625"/>
      <c r="AS5" s="1624" t="s">
        <v>930</v>
      </c>
      <c r="AT5" s="1626"/>
      <c r="AU5" s="1626"/>
      <c r="AV5" s="1625"/>
      <c r="AW5" s="746" t="s">
        <v>931</v>
      </c>
      <c r="AX5" s="746" t="s">
        <v>932</v>
      </c>
      <c r="AY5" s="746" t="s">
        <v>933</v>
      </c>
      <c r="AZ5" s="746" t="s">
        <v>934</v>
      </c>
      <c r="BA5" s="746" t="s">
        <v>935</v>
      </c>
    </row>
    <row r="6" spans="1:53" ht="16" thickBot="1">
      <c r="A6" s="468"/>
      <c r="B6" s="469" t="s">
        <v>936</v>
      </c>
      <c r="C6" s="469"/>
      <c r="D6" s="469"/>
      <c r="E6" s="470"/>
      <c r="F6" s="747" t="s">
        <v>937</v>
      </c>
      <c r="G6" s="747" t="s">
        <v>938</v>
      </c>
      <c r="H6" s="747" t="s">
        <v>939</v>
      </c>
      <c r="I6" s="747" t="s">
        <v>940</v>
      </c>
      <c r="J6" s="747" t="s">
        <v>941</v>
      </c>
      <c r="K6" s="747" t="s">
        <v>942</v>
      </c>
      <c r="L6" s="747" t="s">
        <v>943</v>
      </c>
      <c r="M6" s="748" t="s">
        <v>944</v>
      </c>
      <c r="N6" s="748" t="s">
        <v>945</v>
      </c>
      <c r="O6" s="748" t="s">
        <v>946</v>
      </c>
      <c r="P6" s="748" t="s">
        <v>947</v>
      </c>
      <c r="Q6" s="748" t="s">
        <v>948</v>
      </c>
      <c r="R6" s="748" t="s">
        <v>949</v>
      </c>
      <c r="S6" s="748" t="s">
        <v>950</v>
      </c>
      <c r="T6" s="748" t="s">
        <v>951</v>
      </c>
      <c r="U6" s="748" t="s">
        <v>952</v>
      </c>
      <c r="V6" s="748" t="s">
        <v>953</v>
      </c>
      <c r="W6" s="748" t="s">
        <v>954</v>
      </c>
      <c r="X6" s="748" t="s">
        <v>955</v>
      </c>
      <c r="Y6" s="748" t="s">
        <v>956</v>
      </c>
      <c r="Z6" s="748" t="s">
        <v>957</v>
      </c>
      <c r="AA6" s="748" t="s">
        <v>958</v>
      </c>
      <c r="AB6" s="748" t="s">
        <v>959</v>
      </c>
      <c r="AC6" s="748" t="s">
        <v>960</v>
      </c>
      <c r="AD6" s="748" t="s">
        <v>961</v>
      </c>
      <c r="AE6" s="748" t="s">
        <v>962</v>
      </c>
      <c r="AF6" s="748" t="s">
        <v>963</v>
      </c>
      <c r="AG6" s="748" t="s">
        <v>964</v>
      </c>
      <c r="AH6" s="748" t="s">
        <v>965</v>
      </c>
      <c r="AI6" s="748" t="s">
        <v>966</v>
      </c>
      <c r="AJ6" s="748" t="s">
        <v>967</v>
      </c>
      <c r="AK6" s="748" t="s">
        <v>968</v>
      </c>
      <c r="AL6" s="748" t="s">
        <v>969</v>
      </c>
      <c r="AM6" s="748" t="s">
        <v>970</v>
      </c>
      <c r="AN6" s="748" t="s">
        <v>971</v>
      </c>
      <c r="AO6" s="748" t="s">
        <v>972</v>
      </c>
      <c r="AP6" s="748" t="s">
        <v>973</v>
      </c>
      <c r="AQ6" s="748" t="s">
        <v>974</v>
      </c>
      <c r="AR6" s="748" t="s">
        <v>975</v>
      </c>
      <c r="AS6" s="748" t="s">
        <v>976</v>
      </c>
      <c r="AT6" s="748" t="s">
        <v>977</v>
      </c>
      <c r="AU6" s="748" t="s">
        <v>978</v>
      </c>
      <c r="AV6" s="748" t="s">
        <v>979</v>
      </c>
      <c r="AW6" s="748" t="s">
        <v>980</v>
      </c>
      <c r="AX6" s="748" t="s">
        <v>981</v>
      </c>
      <c r="AY6" s="748" t="s">
        <v>982</v>
      </c>
      <c r="AZ6" s="748" t="s">
        <v>983</v>
      </c>
      <c r="BA6" s="748" t="s">
        <v>984</v>
      </c>
    </row>
    <row r="7" spans="1:53" ht="16" thickBot="1">
      <c r="A7" s="467"/>
      <c r="B7" s="473" t="s">
        <v>985</v>
      </c>
      <c r="C7" s="474" t="s">
        <v>524</v>
      </c>
      <c r="D7" s="474">
        <v>30</v>
      </c>
      <c r="E7" s="475"/>
      <c r="F7" s="749"/>
      <c r="G7" s="750"/>
      <c r="H7" s="750"/>
      <c r="I7" s="750"/>
      <c r="J7" s="751"/>
      <c r="K7" s="750"/>
      <c r="L7" s="750"/>
      <c r="M7" s="750"/>
      <c r="N7" s="750"/>
      <c r="O7" s="750"/>
      <c r="P7" s="750"/>
      <c r="Q7" s="750"/>
      <c r="R7" s="750"/>
      <c r="S7" s="750"/>
      <c r="T7" s="750"/>
      <c r="U7" s="750"/>
      <c r="V7" s="750"/>
      <c r="W7" s="750"/>
      <c r="X7" s="750"/>
      <c r="Y7" s="750"/>
      <c r="Z7" s="750"/>
      <c r="AA7" s="750"/>
      <c r="AB7" s="750"/>
      <c r="AC7" s="750"/>
      <c r="AD7" s="750"/>
      <c r="AE7" s="750"/>
      <c r="AF7" s="750"/>
      <c r="AG7" s="750"/>
      <c r="AH7" s="750"/>
      <c r="AI7" s="750"/>
      <c r="AJ7" s="750"/>
      <c r="AK7" s="750"/>
      <c r="AL7" s="750"/>
      <c r="AM7" s="750"/>
      <c r="AN7" s="750"/>
      <c r="AO7" s="750"/>
      <c r="AP7" s="750"/>
      <c r="AQ7" s="750"/>
      <c r="AR7" s="750"/>
      <c r="AS7" s="750"/>
      <c r="AT7" s="750"/>
      <c r="AU7" s="750"/>
      <c r="AV7" s="750"/>
      <c r="AW7" s="750"/>
      <c r="AX7" s="750"/>
      <c r="AY7" s="750"/>
      <c r="AZ7" s="750"/>
      <c r="BA7" s="750"/>
    </row>
    <row r="8" spans="1:53" ht="16" thickBot="1">
      <c r="A8" s="467"/>
      <c r="B8" s="473" t="s">
        <v>986</v>
      </c>
      <c r="C8" s="474" t="s">
        <v>524</v>
      </c>
      <c r="D8" s="474">
        <v>60</v>
      </c>
      <c r="E8" s="475"/>
      <c r="F8" s="752"/>
      <c r="G8" s="753"/>
      <c r="H8" s="753"/>
      <c r="I8" s="750"/>
      <c r="J8" s="751"/>
      <c r="K8" s="750"/>
      <c r="L8" s="750"/>
      <c r="M8" s="750"/>
      <c r="N8" s="750"/>
      <c r="O8" s="750"/>
      <c r="P8" s="750"/>
      <c r="Q8" s="750"/>
      <c r="R8" s="750"/>
      <c r="S8" s="750"/>
      <c r="T8" s="750"/>
      <c r="U8" s="750"/>
      <c r="V8" s="750"/>
      <c r="W8" s="750"/>
      <c r="X8" s="750"/>
      <c r="Y8" s="750"/>
      <c r="Z8" s="750"/>
      <c r="AA8" s="750"/>
      <c r="AB8" s="750"/>
      <c r="AC8" s="750"/>
      <c r="AD8" s="750"/>
      <c r="AE8" s="750"/>
      <c r="AF8" s="750"/>
      <c r="AG8" s="750"/>
      <c r="AH8" s="750"/>
      <c r="AI8" s="750"/>
      <c r="AJ8" s="750"/>
      <c r="AK8" s="750"/>
      <c r="AL8" s="750"/>
      <c r="AM8" s="750"/>
      <c r="AN8" s="750"/>
      <c r="AO8" s="750"/>
      <c r="AP8" s="750"/>
      <c r="AQ8" s="750"/>
      <c r="AR8" s="750"/>
      <c r="AS8" s="750"/>
      <c r="AT8" s="750"/>
      <c r="AU8" s="750"/>
      <c r="AV8" s="750"/>
      <c r="AW8" s="750"/>
      <c r="AX8" s="750"/>
      <c r="AY8" s="750"/>
      <c r="AZ8" s="750"/>
      <c r="BA8" s="750"/>
    </row>
    <row r="9" spans="1:53" ht="16" thickBot="1">
      <c r="A9" s="467"/>
      <c r="B9" s="473" t="s">
        <v>987</v>
      </c>
      <c r="C9" s="474" t="s">
        <v>524</v>
      </c>
      <c r="D9" s="474">
        <f>+D8</f>
        <v>60</v>
      </c>
      <c r="E9" s="475"/>
      <c r="F9" s="752"/>
      <c r="G9" s="750"/>
      <c r="H9" s="753"/>
      <c r="I9" s="753"/>
      <c r="J9" s="751"/>
      <c r="K9" s="750"/>
      <c r="L9" s="750"/>
      <c r="M9" s="750"/>
      <c r="N9" s="750"/>
      <c r="O9" s="750"/>
      <c r="P9" s="750"/>
      <c r="Q9" s="750"/>
      <c r="R9" s="750"/>
      <c r="S9" s="750"/>
      <c r="T9" s="750"/>
      <c r="U9" s="750"/>
      <c r="V9" s="750"/>
      <c r="W9" s="750"/>
      <c r="X9" s="750"/>
      <c r="Y9" s="750"/>
      <c r="Z9" s="750"/>
      <c r="AA9" s="750"/>
      <c r="AB9" s="750"/>
      <c r="AC9" s="750"/>
      <c r="AD9" s="750"/>
      <c r="AE9" s="750"/>
      <c r="AF9" s="750"/>
      <c r="AG9" s="750"/>
      <c r="AH9" s="750"/>
      <c r="AI9" s="750"/>
      <c r="AJ9" s="750"/>
      <c r="AK9" s="750"/>
      <c r="AL9" s="750"/>
      <c r="AM9" s="750"/>
      <c r="AN9" s="750"/>
      <c r="AO9" s="750"/>
      <c r="AP9" s="750"/>
      <c r="AQ9" s="750"/>
      <c r="AR9" s="750"/>
      <c r="AS9" s="750"/>
      <c r="AT9" s="750"/>
      <c r="AU9" s="750"/>
      <c r="AV9" s="750"/>
      <c r="AW9" s="750"/>
      <c r="AX9" s="750"/>
      <c r="AY9" s="750"/>
      <c r="AZ9" s="750"/>
      <c r="BA9" s="750"/>
    </row>
    <row r="10" spans="1:53" ht="16" thickBot="1">
      <c r="A10" s="467"/>
      <c r="B10" s="473" t="s">
        <v>988</v>
      </c>
      <c r="C10" s="474" t="s">
        <v>524</v>
      </c>
      <c r="D10" s="474">
        <f>+D9</f>
        <v>60</v>
      </c>
      <c r="E10" s="475"/>
      <c r="F10" s="754"/>
      <c r="G10" s="755"/>
      <c r="H10" s="755"/>
      <c r="I10" s="756"/>
      <c r="J10" s="756"/>
      <c r="K10" s="755"/>
      <c r="L10" s="755"/>
      <c r="M10" s="755"/>
      <c r="N10" s="755"/>
      <c r="O10" s="755"/>
      <c r="P10" s="755"/>
      <c r="Q10" s="755"/>
      <c r="R10" s="755"/>
      <c r="S10" s="755"/>
      <c r="T10" s="755"/>
      <c r="U10" s="755"/>
      <c r="V10" s="755"/>
      <c r="W10" s="755"/>
      <c r="X10" s="755"/>
      <c r="Y10" s="755"/>
      <c r="Z10" s="755"/>
      <c r="AA10" s="755"/>
      <c r="AB10" s="755"/>
      <c r="AC10" s="755"/>
      <c r="AD10" s="755"/>
      <c r="AE10" s="755"/>
      <c r="AF10" s="755"/>
      <c r="AG10" s="755"/>
      <c r="AH10" s="755"/>
      <c r="AI10" s="755"/>
      <c r="AJ10" s="755"/>
      <c r="AK10" s="755"/>
      <c r="AL10" s="755"/>
      <c r="AM10" s="755"/>
      <c r="AN10" s="755"/>
      <c r="AO10" s="755"/>
      <c r="AP10" s="755"/>
      <c r="AQ10" s="755"/>
      <c r="AR10" s="755"/>
      <c r="AS10" s="755"/>
      <c r="AT10" s="755"/>
      <c r="AU10" s="755"/>
      <c r="AV10" s="755"/>
      <c r="AW10" s="755"/>
      <c r="AX10" s="755"/>
      <c r="AY10" s="755"/>
      <c r="AZ10" s="755"/>
      <c r="BA10" s="755"/>
    </row>
    <row r="11" spans="1:53" ht="13">
      <c r="A11" s="468"/>
      <c r="B11" s="469" t="s">
        <v>989</v>
      </c>
      <c r="C11" s="476"/>
      <c r="D11" s="469"/>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0"/>
      <c r="AC11" s="470"/>
      <c r="AD11" s="470"/>
      <c r="AE11" s="470"/>
      <c r="AF11" s="470"/>
      <c r="AG11" s="470"/>
      <c r="AH11" s="470"/>
      <c r="AI11" s="470"/>
      <c r="AJ11" s="470"/>
      <c r="AK11" s="470"/>
      <c r="AL11" s="470"/>
      <c r="AM11" s="470"/>
      <c r="AN11" s="470"/>
      <c r="AO11" s="470"/>
      <c r="AP11" s="470"/>
      <c r="AQ11" s="470"/>
      <c r="AR11" s="470"/>
      <c r="AS11" s="470"/>
      <c r="AT11" s="470"/>
      <c r="AU11" s="470"/>
      <c r="AV11" s="470"/>
      <c r="AW11" s="470"/>
      <c r="AX11" s="470"/>
      <c r="AY11" s="470"/>
      <c r="AZ11" s="471"/>
      <c r="BA11" s="472"/>
    </row>
    <row r="12" spans="1:53" s="483" customFormat="1" ht="13">
      <c r="A12" s="477">
        <v>1</v>
      </c>
      <c r="B12" s="684" t="e">
        <f>+#REF!</f>
        <v>#REF!</v>
      </c>
      <c r="C12" s="478" t="s">
        <v>990</v>
      </c>
      <c r="D12" s="478" t="e">
        <f>+#REF!</f>
        <v>#REF!</v>
      </c>
      <c r="E12" s="479" t="e">
        <f>+#REF!</f>
        <v>#REF!</v>
      </c>
      <c r="F12" s="480"/>
      <c r="G12" s="480"/>
      <c r="H12" s="480"/>
      <c r="I12" s="480"/>
      <c r="J12" s="480"/>
      <c r="K12" s="481" t="e">
        <f>+$E12/4</f>
        <v>#REF!</v>
      </c>
      <c r="L12" s="481" t="e">
        <f t="shared" ref="L12:N12" si="0">+$E12/4</f>
        <v>#REF!</v>
      </c>
      <c r="M12" s="481" t="e">
        <f t="shared" si="0"/>
        <v>#REF!</v>
      </c>
      <c r="N12" s="481" t="e">
        <f t="shared" si="0"/>
        <v>#REF!</v>
      </c>
      <c r="O12" s="480"/>
      <c r="P12" s="480"/>
      <c r="Q12" s="480"/>
      <c r="R12" s="480"/>
      <c r="S12" s="480"/>
      <c r="T12" s="480"/>
      <c r="U12" s="480"/>
      <c r="V12" s="480"/>
      <c r="W12" s="480"/>
      <c r="X12" s="480"/>
      <c r="Y12" s="480"/>
      <c r="Z12" s="480"/>
      <c r="AA12" s="480"/>
      <c r="AB12" s="480"/>
      <c r="AC12" s="480"/>
      <c r="AD12" s="480"/>
      <c r="AE12" s="480"/>
      <c r="AF12" s="480"/>
      <c r="AG12" s="480"/>
      <c r="AH12" s="480"/>
      <c r="AI12" s="480"/>
      <c r="AJ12" s="480"/>
      <c r="AK12" s="480"/>
      <c r="AL12" s="480"/>
      <c r="AM12" s="480"/>
      <c r="AN12" s="480"/>
      <c r="AO12" s="480"/>
      <c r="AP12" s="480"/>
      <c r="AQ12" s="480"/>
      <c r="AR12" s="480"/>
      <c r="AS12" s="480"/>
      <c r="AT12" s="480"/>
      <c r="AU12" s="480"/>
      <c r="AV12" s="480"/>
      <c r="AW12" s="480"/>
      <c r="AX12" s="480"/>
      <c r="AY12" s="480"/>
      <c r="AZ12" s="480"/>
      <c r="BA12" s="482"/>
    </row>
    <row r="13" spans="1:53" s="483" customFormat="1" ht="13">
      <c r="A13" s="477"/>
      <c r="B13" s="684" t="s">
        <v>991</v>
      </c>
      <c r="C13" s="478"/>
      <c r="D13" s="478"/>
      <c r="E13" s="479"/>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c r="AH13" s="480"/>
      <c r="AI13" s="480"/>
      <c r="AJ13" s="480"/>
      <c r="AK13" s="480"/>
      <c r="AL13" s="480"/>
      <c r="AM13" s="480"/>
      <c r="AN13" s="480"/>
      <c r="AO13" s="480"/>
      <c r="AP13" s="480"/>
      <c r="AQ13" s="480"/>
      <c r="AR13" s="480"/>
      <c r="AS13" s="480"/>
      <c r="AT13" s="480"/>
      <c r="AU13" s="480"/>
      <c r="AV13" s="480"/>
      <c r="AW13" s="480"/>
      <c r="AX13" s="480"/>
      <c r="AY13" s="480"/>
      <c r="AZ13" s="480"/>
      <c r="BA13" s="482"/>
    </row>
    <row r="14" spans="1:53" s="483" customFormat="1" ht="13">
      <c r="A14" s="477"/>
      <c r="B14" s="684" t="s">
        <v>992</v>
      </c>
      <c r="C14" s="478" t="s">
        <v>990</v>
      </c>
      <c r="D14" s="478"/>
      <c r="E14" s="479">
        <f>+equipos!N7*0.9</f>
        <v>1208596960.8</v>
      </c>
      <c r="F14" s="480"/>
      <c r="G14" s="480"/>
      <c r="H14" s="480"/>
      <c r="I14" s="480"/>
      <c r="J14" s="480"/>
      <c r="K14" s="480"/>
      <c r="L14" s="480"/>
      <c r="M14" s="480"/>
      <c r="N14" s="480"/>
      <c r="O14" s="481">
        <f>+$E14/2</f>
        <v>604298480.39999998</v>
      </c>
      <c r="P14" s="481">
        <f>+$E14/2</f>
        <v>604298480.39999998</v>
      </c>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c r="AO14" s="480"/>
      <c r="AP14" s="480"/>
      <c r="AQ14" s="480"/>
      <c r="AR14" s="480"/>
      <c r="AS14" s="480"/>
      <c r="AT14" s="480"/>
      <c r="AU14" s="480"/>
      <c r="AV14" s="480"/>
      <c r="AW14" s="480"/>
      <c r="AX14" s="480"/>
      <c r="AY14" s="480"/>
      <c r="AZ14" s="480"/>
      <c r="BA14" s="482"/>
    </row>
    <row r="15" spans="1:53" s="483" customFormat="1" ht="13">
      <c r="A15" s="477"/>
      <c r="B15" s="684" t="s">
        <v>993</v>
      </c>
      <c r="C15" s="478" t="s">
        <v>990</v>
      </c>
      <c r="D15" s="478"/>
      <c r="E15" s="479">
        <f>equipos!N7*0.06</f>
        <v>80573130.719999999</v>
      </c>
      <c r="F15" s="480"/>
      <c r="G15" s="480"/>
      <c r="H15" s="480"/>
      <c r="I15" s="480"/>
      <c r="J15" s="480"/>
      <c r="K15" s="480"/>
      <c r="L15" s="480"/>
      <c r="M15" s="480"/>
      <c r="N15" s="480"/>
      <c r="O15" s="480"/>
      <c r="P15" s="480"/>
      <c r="Q15" s="481">
        <f>+$E15/10</f>
        <v>8057313.0719999997</v>
      </c>
      <c r="R15" s="481">
        <f t="shared" ref="R15:Z15" si="1">+$E15/10</f>
        <v>8057313.0719999997</v>
      </c>
      <c r="S15" s="481">
        <f t="shared" si="1"/>
        <v>8057313.0719999997</v>
      </c>
      <c r="T15" s="481">
        <f t="shared" si="1"/>
        <v>8057313.0719999997</v>
      </c>
      <c r="U15" s="481">
        <f t="shared" si="1"/>
        <v>8057313.0719999997</v>
      </c>
      <c r="V15" s="481">
        <f t="shared" si="1"/>
        <v>8057313.0719999997</v>
      </c>
      <c r="W15" s="481">
        <f t="shared" si="1"/>
        <v>8057313.0719999997</v>
      </c>
      <c r="X15" s="481">
        <f t="shared" si="1"/>
        <v>8057313.0719999997</v>
      </c>
      <c r="Y15" s="481">
        <f t="shared" si="1"/>
        <v>8057313.0719999997</v>
      </c>
      <c r="Z15" s="481">
        <f t="shared" si="1"/>
        <v>8057313.0719999997</v>
      </c>
      <c r="AA15" s="480"/>
      <c r="AB15" s="480"/>
      <c r="AC15" s="480"/>
      <c r="AD15" s="480"/>
      <c r="AE15" s="480"/>
      <c r="AF15" s="480"/>
      <c r="AG15" s="480"/>
      <c r="AH15" s="480"/>
      <c r="AI15" s="480"/>
      <c r="AJ15" s="480"/>
      <c r="AK15" s="480"/>
      <c r="AL15" s="480"/>
      <c r="AM15" s="480"/>
      <c r="AN15" s="480"/>
      <c r="AO15" s="480"/>
      <c r="AP15" s="480"/>
      <c r="AQ15" s="480"/>
      <c r="AR15" s="480"/>
      <c r="AS15" s="480"/>
      <c r="AT15" s="480"/>
      <c r="AU15" s="480"/>
      <c r="AV15" s="480"/>
      <c r="AW15" s="480"/>
      <c r="AX15" s="480"/>
      <c r="AY15" s="480"/>
      <c r="AZ15" s="480"/>
      <c r="BA15" s="482"/>
    </row>
    <row r="16" spans="1:53" s="483" customFormat="1" ht="13">
      <c r="A16" s="477"/>
      <c r="B16" s="684" t="s">
        <v>994</v>
      </c>
      <c r="C16" s="478" t="s">
        <v>990</v>
      </c>
      <c r="D16" s="478"/>
      <c r="E16" s="479">
        <f>equipos!N7*0.04</f>
        <v>53715420.480000004</v>
      </c>
      <c r="F16" s="480"/>
      <c r="G16" s="480"/>
      <c r="H16" s="480"/>
      <c r="I16" s="480"/>
      <c r="J16" s="480"/>
      <c r="K16" s="480"/>
      <c r="L16" s="480"/>
      <c r="M16" s="480"/>
      <c r="N16" s="480"/>
      <c r="O16" s="480"/>
      <c r="P16" s="480"/>
      <c r="Q16" s="480"/>
      <c r="R16" s="480"/>
      <c r="S16" s="480"/>
      <c r="T16" s="480"/>
      <c r="U16" s="480"/>
      <c r="V16" s="480"/>
      <c r="W16" s="480"/>
      <c r="X16" s="480"/>
      <c r="Y16" s="480"/>
      <c r="Z16" s="480"/>
      <c r="AA16" s="481">
        <f>+$E16/2</f>
        <v>26857710.240000002</v>
      </c>
      <c r="AB16" s="481">
        <f>+$E16/2</f>
        <v>26857710.240000002</v>
      </c>
      <c r="AC16" s="480"/>
      <c r="AD16" s="480"/>
      <c r="AE16" s="480"/>
      <c r="AF16" s="480"/>
      <c r="AG16" s="480"/>
      <c r="AH16" s="480"/>
      <c r="AI16" s="480"/>
      <c r="AJ16" s="480"/>
      <c r="AK16" s="480"/>
      <c r="AL16" s="480"/>
      <c r="AM16" s="480"/>
      <c r="AN16" s="480"/>
      <c r="AO16" s="480"/>
      <c r="AP16" s="480"/>
      <c r="AQ16" s="480"/>
      <c r="AR16" s="480"/>
      <c r="AS16" s="480"/>
      <c r="AT16" s="480"/>
      <c r="AU16" s="480"/>
      <c r="AV16" s="480"/>
      <c r="AW16" s="480"/>
      <c r="AX16" s="480"/>
      <c r="AY16" s="480"/>
      <c r="AZ16" s="480"/>
      <c r="BA16" s="482"/>
    </row>
    <row r="17" spans="1:55">
      <c r="A17" s="477">
        <v>2</v>
      </c>
      <c r="B17" s="684" t="e">
        <f>+#REF!</f>
        <v>#REF!</v>
      </c>
      <c r="C17" s="478" t="s">
        <v>990</v>
      </c>
      <c r="D17" s="478" t="e">
        <f>+#REF!</f>
        <v>#REF!</v>
      </c>
      <c r="E17" s="479" t="e">
        <f>+#REF!-equipos!J7</f>
        <v>#REF!</v>
      </c>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1" t="e">
        <f>+$E17/20</f>
        <v>#REF!</v>
      </c>
      <c r="AD17" s="481" t="e">
        <f t="shared" ref="AD17:AV22" si="2">+$E17/20</f>
        <v>#REF!</v>
      </c>
      <c r="AE17" s="481" t="e">
        <f t="shared" si="2"/>
        <v>#REF!</v>
      </c>
      <c r="AF17" s="481" t="e">
        <f t="shared" si="2"/>
        <v>#REF!</v>
      </c>
      <c r="AG17" s="481" t="e">
        <f t="shared" si="2"/>
        <v>#REF!</v>
      </c>
      <c r="AH17" s="481" t="e">
        <f t="shared" si="2"/>
        <v>#REF!</v>
      </c>
      <c r="AI17" s="481" t="e">
        <f t="shared" si="2"/>
        <v>#REF!</v>
      </c>
      <c r="AJ17" s="481" t="e">
        <f t="shared" si="2"/>
        <v>#REF!</v>
      </c>
      <c r="AK17" s="481" t="e">
        <f t="shared" si="2"/>
        <v>#REF!</v>
      </c>
      <c r="AL17" s="481" t="e">
        <f t="shared" si="2"/>
        <v>#REF!</v>
      </c>
      <c r="AM17" s="481" t="e">
        <f t="shared" si="2"/>
        <v>#REF!</v>
      </c>
      <c r="AN17" s="481" t="e">
        <f t="shared" si="2"/>
        <v>#REF!</v>
      </c>
      <c r="AO17" s="481" t="e">
        <f t="shared" si="2"/>
        <v>#REF!</v>
      </c>
      <c r="AP17" s="481" t="e">
        <f t="shared" si="2"/>
        <v>#REF!</v>
      </c>
      <c r="AQ17" s="481" t="e">
        <f t="shared" si="2"/>
        <v>#REF!</v>
      </c>
      <c r="AR17" s="481" t="e">
        <f t="shared" si="2"/>
        <v>#REF!</v>
      </c>
      <c r="AS17" s="481" t="e">
        <f t="shared" si="2"/>
        <v>#REF!</v>
      </c>
      <c r="AT17" s="481" t="e">
        <f t="shared" si="2"/>
        <v>#REF!</v>
      </c>
      <c r="AU17" s="481" t="e">
        <f t="shared" si="2"/>
        <v>#REF!</v>
      </c>
      <c r="AV17" s="481" t="e">
        <f t="shared" si="2"/>
        <v>#REF!</v>
      </c>
      <c r="AW17" s="480"/>
      <c r="AX17" s="480"/>
      <c r="AY17" s="480"/>
      <c r="AZ17" s="480"/>
      <c r="BA17" s="482"/>
      <c r="BB17" s="484"/>
    </row>
    <row r="18" spans="1:55">
      <c r="A18" s="477">
        <v>3</v>
      </c>
      <c r="B18" s="684" t="e">
        <f>+#REF!</f>
        <v>#REF!</v>
      </c>
      <c r="C18" s="478" t="s">
        <v>990</v>
      </c>
      <c r="D18" s="485" t="e">
        <f>+#REF!</f>
        <v>#REF!</v>
      </c>
      <c r="E18" s="479" t="e">
        <f>+#REF!-equipos!K7</f>
        <v>#REF!</v>
      </c>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1" t="e">
        <f t="shared" ref="AC18:AC22" si="3">+$E18/20</f>
        <v>#REF!</v>
      </c>
      <c r="AD18" s="481" t="e">
        <f t="shared" si="2"/>
        <v>#REF!</v>
      </c>
      <c r="AE18" s="481" t="e">
        <f t="shared" si="2"/>
        <v>#REF!</v>
      </c>
      <c r="AF18" s="481" t="e">
        <f t="shared" si="2"/>
        <v>#REF!</v>
      </c>
      <c r="AG18" s="481" t="e">
        <f t="shared" si="2"/>
        <v>#REF!</v>
      </c>
      <c r="AH18" s="481" t="e">
        <f t="shared" si="2"/>
        <v>#REF!</v>
      </c>
      <c r="AI18" s="481" t="e">
        <f t="shared" si="2"/>
        <v>#REF!</v>
      </c>
      <c r="AJ18" s="481" t="e">
        <f t="shared" si="2"/>
        <v>#REF!</v>
      </c>
      <c r="AK18" s="481" t="e">
        <f t="shared" si="2"/>
        <v>#REF!</v>
      </c>
      <c r="AL18" s="481" t="e">
        <f t="shared" si="2"/>
        <v>#REF!</v>
      </c>
      <c r="AM18" s="481" t="e">
        <f t="shared" si="2"/>
        <v>#REF!</v>
      </c>
      <c r="AN18" s="481" t="e">
        <f t="shared" si="2"/>
        <v>#REF!</v>
      </c>
      <c r="AO18" s="481" t="e">
        <f t="shared" si="2"/>
        <v>#REF!</v>
      </c>
      <c r="AP18" s="481" t="e">
        <f t="shared" si="2"/>
        <v>#REF!</v>
      </c>
      <c r="AQ18" s="481" t="e">
        <f t="shared" si="2"/>
        <v>#REF!</v>
      </c>
      <c r="AR18" s="481" t="e">
        <f t="shared" si="2"/>
        <v>#REF!</v>
      </c>
      <c r="AS18" s="481" t="e">
        <f t="shared" si="2"/>
        <v>#REF!</v>
      </c>
      <c r="AT18" s="481" t="e">
        <f t="shared" si="2"/>
        <v>#REF!</v>
      </c>
      <c r="AU18" s="481" t="e">
        <f t="shared" si="2"/>
        <v>#REF!</v>
      </c>
      <c r="AV18" s="481" t="e">
        <f t="shared" si="2"/>
        <v>#REF!</v>
      </c>
      <c r="AW18" s="480"/>
      <c r="AX18" s="480"/>
      <c r="AY18" s="480"/>
      <c r="AZ18" s="480"/>
      <c r="BA18" s="482"/>
      <c r="BB18" s="484"/>
    </row>
    <row r="19" spans="1:55">
      <c r="A19" s="477">
        <v>4</v>
      </c>
      <c r="B19" s="684" t="e">
        <f>+#REF!</f>
        <v>#REF!</v>
      </c>
      <c r="C19" s="478" t="s">
        <v>990</v>
      </c>
      <c r="D19" s="485" t="e">
        <f>+#REF!</f>
        <v>#REF!</v>
      </c>
      <c r="E19" s="479" t="e">
        <f>+#REF!-equipos!L7</f>
        <v>#REF!</v>
      </c>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1" t="e">
        <f t="shared" si="3"/>
        <v>#REF!</v>
      </c>
      <c r="AD19" s="481" t="e">
        <f t="shared" si="2"/>
        <v>#REF!</v>
      </c>
      <c r="AE19" s="481" t="e">
        <f t="shared" si="2"/>
        <v>#REF!</v>
      </c>
      <c r="AF19" s="481" t="e">
        <f t="shared" si="2"/>
        <v>#REF!</v>
      </c>
      <c r="AG19" s="481" t="e">
        <f t="shared" si="2"/>
        <v>#REF!</v>
      </c>
      <c r="AH19" s="481" t="e">
        <f t="shared" si="2"/>
        <v>#REF!</v>
      </c>
      <c r="AI19" s="481" t="e">
        <f t="shared" si="2"/>
        <v>#REF!</v>
      </c>
      <c r="AJ19" s="481" t="e">
        <f t="shared" si="2"/>
        <v>#REF!</v>
      </c>
      <c r="AK19" s="481" t="e">
        <f t="shared" si="2"/>
        <v>#REF!</v>
      </c>
      <c r="AL19" s="481" t="e">
        <f t="shared" si="2"/>
        <v>#REF!</v>
      </c>
      <c r="AM19" s="481" t="e">
        <f t="shared" si="2"/>
        <v>#REF!</v>
      </c>
      <c r="AN19" s="481" t="e">
        <f t="shared" si="2"/>
        <v>#REF!</v>
      </c>
      <c r="AO19" s="481" t="e">
        <f t="shared" si="2"/>
        <v>#REF!</v>
      </c>
      <c r="AP19" s="481" t="e">
        <f t="shared" si="2"/>
        <v>#REF!</v>
      </c>
      <c r="AQ19" s="481" t="e">
        <f t="shared" si="2"/>
        <v>#REF!</v>
      </c>
      <c r="AR19" s="481" t="e">
        <f t="shared" si="2"/>
        <v>#REF!</v>
      </c>
      <c r="AS19" s="481" t="e">
        <f t="shared" si="2"/>
        <v>#REF!</v>
      </c>
      <c r="AT19" s="481" t="e">
        <f t="shared" si="2"/>
        <v>#REF!</v>
      </c>
      <c r="AU19" s="481" t="e">
        <f t="shared" si="2"/>
        <v>#REF!</v>
      </c>
      <c r="AV19" s="481" t="e">
        <f t="shared" si="2"/>
        <v>#REF!</v>
      </c>
      <c r="AW19" s="480"/>
      <c r="AX19" s="480"/>
      <c r="AY19" s="480"/>
      <c r="AZ19" s="480"/>
      <c r="BA19" s="482"/>
      <c r="BB19" s="484"/>
    </row>
    <row r="20" spans="1:55">
      <c r="A20" s="477">
        <v>5</v>
      </c>
      <c r="B20" s="684" t="e">
        <f>+#REF!</f>
        <v>#REF!</v>
      </c>
      <c r="C20" s="478" t="s">
        <v>990</v>
      </c>
      <c r="D20" s="485" t="e">
        <f>+#REF!</f>
        <v>#REF!</v>
      </c>
      <c r="E20" s="479" t="e">
        <f>+#REF!-equipos!M7</f>
        <v>#REF!</v>
      </c>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1" t="e">
        <f t="shared" si="3"/>
        <v>#REF!</v>
      </c>
      <c r="AD20" s="481" t="e">
        <f t="shared" si="2"/>
        <v>#REF!</v>
      </c>
      <c r="AE20" s="481" t="e">
        <f t="shared" si="2"/>
        <v>#REF!</v>
      </c>
      <c r="AF20" s="481" t="e">
        <f t="shared" si="2"/>
        <v>#REF!</v>
      </c>
      <c r="AG20" s="481" t="e">
        <f t="shared" si="2"/>
        <v>#REF!</v>
      </c>
      <c r="AH20" s="481" t="e">
        <f t="shared" si="2"/>
        <v>#REF!</v>
      </c>
      <c r="AI20" s="481" t="e">
        <f t="shared" si="2"/>
        <v>#REF!</v>
      </c>
      <c r="AJ20" s="481" t="e">
        <f t="shared" si="2"/>
        <v>#REF!</v>
      </c>
      <c r="AK20" s="481" t="e">
        <f t="shared" si="2"/>
        <v>#REF!</v>
      </c>
      <c r="AL20" s="481" t="e">
        <f t="shared" si="2"/>
        <v>#REF!</v>
      </c>
      <c r="AM20" s="481" t="e">
        <f t="shared" si="2"/>
        <v>#REF!</v>
      </c>
      <c r="AN20" s="481" t="e">
        <f t="shared" si="2"/>
        <v>#REF!</v>
      </c>
      <c r="AO20" s="481" t="e">
        <f t="shared" si="2"/>
        <v>#REF!</v>
      </c>
      <c r="AP20" s="481" t="e">
        <f t="shared" si="2"/>
        <v>#REF!</v>
      </c>
      <c r="AQ20" s="481" t="e">
        <f t="shared" si="2"/>
        <v>#REF!</v>
      </c>
      <c r="AR20" s="481" t="e">
        <f t="shared" si="2"/>
        <v>#REF!</v>
      </c>
      <c r="AS20" s="481" t="e">
        <f t="shared" si="2"/>
        <v>#REF!</v>
      </c>
      <c r="AT20" s="481" t="e">
        <f t="shared" si="2"/>
        <v>#REF!</v>
      </c>
      <c r="AU20" s="481" t="e">
        <f t="shared" si="2"/>
        <v>#REF!</v>
      </c>
      <c r="AV20" s="481" t="e">
        <f t="shared" si="2"/>
        <v>#REF!</v>
      </c>
      <c r="AW20" s="480"/>
      <c r="AX20" s="480"/>
      <c r="AY20" s="480"/>
      <c r="AZ20" s="480"/>
      <c r="BA20" s="482"/>
      <c r="BB20" s="484"/>
    </row>
    <row r="21" spans="1:55">
      <c r="A21" s="477"/>
      <c r="B21" s="684"/>
      <c r="C21" s="478"/>
      <c r="D21" s="485"/>
      <c r="E21" s="479"/>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1"/>
      <c r="AD21" s="481"/>
      <c r="AE21" s="481"/>
      <c r="AF21" s="481"/>
      <c r="AG21" s="481"/>
      <c r="AH21" s="481"/>
      <c r="AI21" s="481"/>
      <c r="AJ21" s="481"/>
      <c r="AK21" s="481"/>
      <c r="AL21" s="481"/>
      <c r="AM21" s="481"/>
      <c r="AN21" s="481"/>
      <c r="AO21" s="481"/>
      <c r="AP21" s="481"/>
      <c r="AQ21" s="481"/>
      <c r="AR21" s="481"/>
      <c r="AS21" s="481"/>
      <c r="AT21" s="481"/>
      <c r="AU21" s="481"/>
      <c r="AV21" s="481"/>
      <c r="AW21" s="480"/>
      <c r="AX21" s="480"/>
      <c r="AY21" s="480"/>
      <c r="AZ21" s="480"/>
      <c r="BA21" s="482"/>
      <c r="BB21" s="484"/>
    </row>
    <row r="22" spans="1:55">
      <c r="A22" s="477">
        <v>6</v>
      </c>
      <c r="B22" s="685" t="e">
        <f>+#REF!</f>
        <v>#REF!</v>
      </c>
      <c r="C22" s="478" t="s">
        <v>990</v>
      </c>
      <c r="D22" s="485" t="e">
        <f>+#REF!</f>
        <v>#REF!</v>
      </c>
      <c r="E22" s="479" t="e">
        <f>+#REF!</f>
        <v>#REF!</v>
      </c>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1" t="e">
        <f t="shared" si="3"/>
        <v>#REF!</v>
      </c>
      <c r="AD22" s="481" t="e">
        <f t="shared" si="2"/>
        <v>#REF!</v>
      </c>
      <c r="AE22" s="481" t="e">
        <f t="shared" si="2"/>
        <v>#REF!</v>
      </c>
      <c r="AF22" s="481" t="e">
        <f t="shared" si="2"/>
        <v>#REF!</v>
      </c>
      <c r="AG22" s="481" t="e">
        <f t="shared" si="2"/>
        <v>#REF!</v>
      </c>
      <c r="AH22" s="481" t="e">
        <f t="shared" si="2"/>
        <v>#REF!</v>
      </c>
      <c r="AI22" s="481" t="e">
        <f t="shared" si="2"/>
        <v>#REF!</v>
      </c>
      <c r="AJ22" s="481" t="e">
        <f t="shared" si="2"/>
        <v>#REF!</v>
      </c>
      <c r="AK22" s="481" t="e">
        <f t="shared" si="2"/>
        <v>#REF!</v>
      </c>
      <c r="AL22" s="481" t="e">
        <f t="shared" si="2"/>
        <v>#REF!</v>
      </c>
      <c r="AM22" s="481" t="e">
        <f t="shared" si="2"/>
        <v>#REF!</v>
      </c>
      <c r="AN22" s="481" t="e">
        <f t="shared" si="2"/>
        <v>#REF!</v>
      </c>
      <c r="AO22" s="481" t="e">
        <f t="shared" si="2"/>
        <v>#REF!</v>
      </c>
      <c r="AP22" s="481" t="e">
        <f t="shared" si="2"/>
        <v>#REF!</v>
      </c>
      <c r="AQ22" s="481" t="e">
        <f t="shared" si="2"/>
        <v>#REF!</v>
      </c>
      <c r="AR22" s="481" t="e">
        <f t="shared" si="2"/>
        <v>#REF!</v>
      </c>
      <c r="AS22" s="481" t="e">
        <f t="shared" si="2"/>
        <v>#REF!</v>
      </c>
      <c r="AT22" s="481" t="e">
        <f t="shared" si="2"/>
        <v>#REF!</v>
      </c>
      <c r="AU22" s="481" t="e">
        <f t="shared" si="2"/>
        <v>#REF!</v>
      </c>
      <c r="AV22" s="481" t="e">
        <f t="shared" si="2"/>
        <v>#REF!</v>
      </c>
      <c r="AW22" s="480"/>
      <c r="AX22" s="480"/>
      <c r="AY22" s="480"/>
      <c r="AZ22" s="480"/>
      <c r="BA22" s="482"/>
      <c r="BB22" s="484"/>
    </row>
    <row r="23" spans="1:55" ht="13">
      <c r="A23" s="468"/>
      <c r="B23" s="469" t="s">
        <v>995</v>
      </c>
      <c r="C23" s="476"/>
      <c r="D23" s="469"/>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1"/>
      <c r="BA23" s="472"/>
    </row>
    <row r="24" spans="1:55" s="483" customFormat="1" ht="20">
      <c r="A24" s="477"/>
      <c r="B24" s="788" t="s">
        <v>996</v>
      </c>
      <c r="C24" s="478" t="s">
        <v>997</v>
      </c>
      <c r="D24" s="478">
        <v>30</v>
      </c>
      <c r="E24" s="479"/>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c r="AJ24" s="480"/>
      <c r="AK24" s="480"/>
      <c r="AL24" s="480"/>
      <c r="AM24" s="480"/>
      <c r="AN24" s="480"/>
      <c r="AO24" s="480"/>
      <c r="AP24" s="480"/>
      <c r="AQ24" s="480"/>
      <c r="AR24" s="480"/>
      <c r="AS24" s="480"/>
      <c r="AT24" s="480"/>
      <c r="AU24" s="480"/>
      <c r="AV24" s="480"/>
      <c r="AW24" s="789"/>
      <c r="AX24" s="480"/>
      <c r="AY24" s="480"/>
      <c r="AZ24" s="480"/>
      <c r="BA24" s="482"/>
    </row>
    <row r="25" spans="1:55" s="483" customFormat="1" ht="20">
      <c r="A25" s="477"/>
      <c r="B25" s="788" t="s">
        <v>998</v>
      </c>
      <c r="C25" s="478" t="s">
        <v>997</v>
      </c>
      <c r="D25" s="478">
        <v>60</v>
      </c>
      <c r="E25" s="479"/>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c r="AJ25" s="480"/>
      <c r="AK25" s="480"/>
      <c r="AL25" s="480"/>
      <c r="AM25" s="480"/>
      <c r="AN25" s="480"/>
      <c r="AO25" s="480"/>
      <c r="AP25" s="480"/>
      <c r="AQ25" s="480"/>
      <c r="AR25" s="480"/>
      <c r="AS25" s="480"/>
      <c r="AT25" s="480"/>
      <c r="AU25" s="480"/>
      <c r="AV25" s="480"/>
      <c r="AW25" s="789"/>
      <c r="AX25" s="789"/>
      <c r="AY25" s="480"/>
      <c r="AZ25" s="480"/>
      <c r="BA25" s="482"/>
    </row>
    <row r="26" spans="1:55" s="483" customFormat="1" ht="13">
      <c r="A26" s="477"/>
      <c r="B26" s="788" t="s">
        <v>999</v>
      </c>
      <c r="C26" s="478" t="s">
        <v>997</v>
      </c>
      <c r="D26" s="478">
        <v>90</v>
      </c>
      <c r="E26" s="479"/>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c r="AO26" s="480"/>
      <c r="AP26" s="480"/>
      <c r="AQ26" s="480"/>
      <c r="AR26" s="480"/>
      <c r="AS26" s="480"/>
      <c r="AT26" s="480"/>
      <c r="AU26" s="480"/>
      <c r="AV26" s="480"/>
      <c r="AW26" s="480"/>
      <c r="AX26" s="789"/>
      <c r="AY26" s="789"/>
      <c r="AZ26" s="789"/>
      <c r="BA26" s="482"/>
    </row>
    <row r="27" spans="1:55" s="483" customFormat="1" ht="13">
      <c r="A27" s="477"/>
      <c r="B27" s="788" t="s">
        <v>1000</v>
      </c>
      <c r="C27" s="478" t="s">
        <v>997</v>
      </c>
      <c r="D27" s="478">
        <v>30</v>
      </c>
      <c r="E27" s="479"/>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c r="AH27" s="480"/>
      <c r="AI27" s="480"/>
      <c r="AJ27" s="480"/>
      <c r="AK27" s="480"/>
      <c r="AL27" s="480"/>
      <c r="AM27" s="480"/>
      <c r="AN27" s="480"/>
      <c r="AO27" s="480"/>
      <c r="AP27" s="480"/>
      <c r="AQ27" s="480"/>
      <c r="AR27" s="480"/>
      <c r="AS27" s="480"/>
      <c r="AT27" s="480"/>
      <c r="AU27" s="480"/>
      <c r="AV27" s="480"/>
      <c r="AW27" s="480"/>
      <c r="AX27" s="480"/>
      <c r="AY27" s="480"/>
      <c r="AZ27" s="480"/>
      <c r="BA27" s="789"/>
    </row>
    <row r="28" spans="1:55" ht="13.4" customHeight="1">
      <c r="A28" s="1627" t="s">
        <v>1001</v>
      </c>
      <c r="B28" s="1628"/>
      <c r="C28" s="1628"/>
      <c r="D28" s="1629"/>
      <c r="E28" s="486" t="e">
        <f>+SUM(E12:E22)</f>
        <v>#REF!</v>
      </c>
      <c r="F28" s="487"/>
      <c r="G28" s="487"/>
      <c r="H28" s="487"/>
      <c r="I28" s="487"/>
      <c r="J28" s="487"/>
      <c r="K28" s="486" t="e">
        <f>+SUM(K12:K22)</f>
        <v>#REF!</v>
      </c>
      <c r="L28" s="486" t="e">
        <f t="shared" ref="L28:AV28" si="4">+SUM(L12:L22)</f>
        <v>#REF!</v>
      </c>
      <c r="M28" s="486" t="e">
        <f t="shared" si="4"/>
        <v>#REF!</v>
      </c>
      <c r="N28" s="486" t="e">
        <f t="shared" si="4"/>
        <v>#REF!</v>
      </c>
      <c r="O28" s="486">
        <f t="shared" si="4"/>
        <v>604298480.39999998</v>
      </c>
      <c r="P28" s="486">
        <f t="shared" si="4"/>
        <v>604298480.39999998</v>
      </c>
      <c r="Q28" s="486">
        <f t="shared" si="4"/>
        <v>8057313.0719999997</v>
      </c>
      <c r="R28" s="486">
        <f t="shared" si="4"/>
        <v>8057313.0719999997</v>
      </c>
      <c r="S28" s="486">
        <f t="shared" si="4"/>
        <v>8057313.0719999997</v>
      </c>
      <c r="T28" s="486">
        <f t="shared" si="4"/>
        <v>8057313.0719999997</v>
      </c>
      <c r="U28" s="486">
        <f t="shared" si="4"/>
        <v>8057313.0719999997</v>
      </c>
      <c r="V28" s="486">
        <f t="shared" si="4"/>
        <v>8057313.0719999997</v>
      </c>
      <c r="W28" s="486">
        <f t="shared" si="4"/>
        <v>8057313.0719999997</v>
      </c>
      <c r="X28" s="486">
        <f t="shared" si="4"/>
        <v>8057313.0719999997</v>
      </c>
      <c r="Y28" s="486">
        <f t="shared" si="4"/>
        <v>8057313.0719999997</v>
      </c>
      <c r="Z28" s="486">
        <f t="shared" si="4"/>
        <v>8057313.0719999997</v>
      </c>
      <c r="AA28" s="486">
        <f t="shared" si="4"/>
        <v>26857710.240000002</v>
      </c>
      <c r="AB28" s="486">
        <f t="shared" si="4"/>
        <v>26857710.240000002</v>
      </c>
      <c r="AC28" s="486" t="e">
        <f t="shared" si="4"/>
        <v>#REF!</v>
      </c>
      <c r="AD28" s="486" t="e">
        <f t="shared" si="4"/>
        <v>#REF!</v>
      </c>
      <c r="AE28" s="486" t="e">
        <f t="shared" si="4"/>
        <v>#REF!</v>
      </c>
      <c r="AF28" s="486" t="e">
        <f t="shared" si="4"/>
        <v>#REF!</v>
      </c>
      <c r="AG28" s="486" t="e">
        <f t="shared" si="4"/>
        <v>#REF!</v>
      </c>
      <c r="AH28" s="486" t="e">
        <f t="shared" si="4"/>
        <v>#REF!</v>
      </c>
      <c r="AI28" s="486" t="e">
        <f t="shared" si="4"/>
        <v>#REF!</v>
      </c>
      <c r="AJ28" s="486" t="e">
        <f t="shared" si="4"/>
        <v>#REF!</v>
      </c>
      <c r="AK28" s="486" t="e">
        <f t="shared" si="4"/>
        <v>#REF!</v>
      </c>
      <c r="AL28" s="486" t="e">
        <f t="shared" si="4"/>
        <v>#REF!</v>
      </c>
      <c r="AM28" s="486" t="e">
        <f t="shared" si="4"/>
        <v>#REF!</v>
      </c>
      <c r="AN28" s="486" t="e">
        <f t="shared" si="4"/>
        <v>#REF!</v>
      </c>
      <c r="AO28" s="486" t="e">
        <f t="shared" si="4"/>
        <v>#REF!</v>
      </c>
      <c r="AP28" s="486" t="e">
        <f t="shared" si="4"/>
        <v>#REF!</v>
      </c>
      <c r="AQ28" s="486" t="e">
        <f t="shared" si="4"/>
        <v>#REF!</v>
      </c>
      <c r="AR28" s="486" t="e">
        <f t="shared" si="4"/>
        <v>#REF!</v>
      </c>
      <c r="AS28" s="486" t="e">
        <f t="shared" si="4"/>
        <v>#REF!</v>
      </c>
      <c r="AT28" s="486" t="e">
        <f t="shared" si="4"/>
        <v>#REF!</v>
      </c>
      <c r="AU28" s="486" t="e">
        <f t="shared" si="4"/>
        <v>#REF!</v>
      </c>
      <c r="AV28" s="486" t="e">
        <f t="shared" si="4"/>
        <v>#REF!</v>
      </c>
      <c r="AW28" s="486"/>
      <c r="AX28" s="486"/>
      <c r="AY28" s="486"/>
      <c r="AZ28" s="486"/>
      <c r="BA28" s="488"/>
    </row>
    <row r="29" spans="1:55" ht="13.4" customHeight="1">
      <c r="A29" s="1630" t="s">
        <v>1002</v>
      </c>
      <c r="B29" s="1631"/>
      <c r="C29" s="1631"/>
      <c r="D29" s="1632"/>
      <c r="E29" s="489" t="e">
        <f>+#REF!</f>
        <v>#REF!</v>
      </c>
      <c r="F29" s="490"/>
      <c r="G29" s="496"/>
      <c r="H29" s="496"/>
      <c r="I29" s="496"/>
      <c r="J29" s="496"/>
      <c r="K29" s="757" t="e">
        <f>+$E29/38</f>
        <v>#REF!</v>
      </c>
      <c r="L29" s="757" t="e">
        <f t="shared" ref="L29:AV30" si="5">+$E29/38</f>
        <v>#REF!</v>
      </c>
      <c r="M29" s="757" t="e">
        <f t="shared" si="5"/>
        <v>#REF!</v>
      </c>
      <c r="N29" s="757" t="e">
        <f t="shared" si="5"/>
        <v>#REF!</v>
      </c>
      <c r="O29" s="757" t="e">
        <f t="shared" si="5"/>
        <v>#REF!</v>
      </c>
      <c r="P29" s="757" t="e">
        <f t="shared" si="5"/>
        <v>#REF!</v>
      </c>
      <c r="Q29" s="757" t="e">
        <f t="shared" si="5"/>
        <v>#REF!</v>
      </c>
      <c r="R29" s="757" t="e">
        <f t="shared" si="5"/>
        <v>#REF!</v>
      </c>
      <c r="S29" s="757" t="e">
        <f t="shared" si="5"/>
        <v>#REF!</v>
      </c>
      <c r="T29" s="757" t="e">
        <f t="shared" si="5"/>
        <v>#REF!</v>
      </c>
      <c r="U29" s="757" t="e">
        <f t="shared" si="5"/>
        <v>#REF!</v>
      </c>
      <c r="V29" s="757" t="e">
        <f t="shared" si="5"/>
        <v>#REF!</v>
      </c>
      <c r="W29" s="757" t="e">
        <f t="shared" si="5"/>
        <v>#REF!</v>
      </c>
      <c r="X29" s="757" t="e">
        <f t="shared" si="5"/>
        <v>#REF!</v>
      </c>
      <c r="Y29" s="757" t="e">
        <f t="shared" si="5"/>
        <v>#REF!</v>
      </c>
      <c r="Z29" s="757" t="e">
        <f t="shared" si="5"/>
        <v>#REF!</v>
      </c>
      <c r="AA29" s="757" t="e">
        <f t="shared" si="5"/>
        <v>#REF!</v>
      </c>
      <c r="AB29" s="757" t="e">
        <f t="shared" si="5"/>
        <v>#REF!</v>
      </c>
      <c r="AC29" s="757" t="e">
        <f t="shared" si="5"/>
        <v>#REF!</v>
      </c>
      <c r="AD29" s="757" t="e">
        <f t="shared" si="5"/>
        <v>#REF!</v>
      </c>
      <c r="AE29" s="757" t="e">
        <f t="shared" si="5"/>
        <v>#REF!</v>
      </c>
      <c r="AF29" s="757" t="e">
        <f t="shared" si="5"/>
        <v>#REF!</v>
      </c>
      <c r="AG29" s="757" t="e">
        <f t="shared" si="5"/>
        <v>#REF!</v>
      </c>
      <c r="AH29" s="757" t="e">
        <f t="shared" si="5"/>
        <v>#REF!</v>
      </c>
      <c r="AI29" s="757" t="e">
        <f t="shared" si="5"/>
        <v>#REF!</v>
      </c>
      <c r="AJ29" s="757" t="e">
        <f t="shared" si="5"/>
        <v>#REF!</v>
      </c>
      <c r="AK29" s="757" t="e">
        <f t="shared" si="5"/>
        <v>#REF!</v>
      </c>
      <c r="AL29" s="757" t="e">
        <f t="shared" si="5"/>
        <v>#REF!</v>
      </c>
      <c r="AM29" s="757" t="e">
        <f t="shared" si="5"/>
        <v>#REF!</v>
      </c>
      <c r="AN29" s="757" t="e">
        <f t="shared" si="5"/>
        <v>#REF!</v>
      </c>
      <c r="AO29" s="757" t="e">
        <f t="shared" si="5"/>
        <v>#REF!</v>
      </c>
      <c r="AP29" s="757" t="e">
        <f t="shared" si="5"/>
        <v>#REF!</v>
      </c>
      <c r="AQ29" s="757" t="e">
        <f t="shared" si="5"/>
        <v>#REF!</v>
      </c>
      <c r="AR29" s="757" t="e">
        <f t="shared" si="5"/>
        <v>#REF!</v>
      </c>
      <c r="AS29" s="757" t="e">
        <f t="shared" si="5"/>
        <v>#REF!</v>
      </c>
      <c r="AT29" s="757" t="e">
        <f t="shared" si="5"/>
        <v>#REF!</v>
      </c>
      <c r="AU29" s="757" t="e">
        <f t="shared" si="5"/>
        <v>#REF!</v>
      </c>
      <c r="AV29" s="757" t="e">
        <f t="shared" si="5"/>
        <v>#REF!</v>
      </c>
      <c r="AW29" s="489"/>
      <c r="AX29" s="489"/>
      <c r="AY29" s="489"/>
      <c r="AZ29" s="489"/>
      <c r="BA29" s="482"/>
      <c r="BB29" s="963" t="e">
        <f>SUM(I29:BA29)</f>
        <v>#REF!</v>
      </c>
      <c r="BC29" s="964" t="e">
        <f>+BB29-E29</f>
        <v>#REF!</v>
      </c>
    </row>
    <row r="30" spans="1:55" ht="13.4" customHeight="1">
      <c r="A30" s="1627" t="s">
        <v>1003</v>
      </c>
      <c r="B30" s="1628"/>
      <c r="C30" s="1628"/>
      <c r="D30" s="1629"/>
      <c r="E30" s="491" t="e">
        <f>+SUM(E28:E29)</f>
        <v>#REF!</v>
      </c>
      <c r="F30" s="492"/>
      <c r="G30" s="492"/>
      <c r="H30" s="492"/>
      <c r="I30" s="492"/>
      <c r="J30" s="492"/>
      <c r="K30" s="758" t="e">
        <f>+$E30/38</f>
        <v>#REF!</v>
      </c>
      <c r="L30" s="758" t="e">
        <f t="shared" si="5"/>
        <v>#REF!</v>
      </c>
      <c r="M30" s="758" t="e">
        <f t="shared" si="5"/>
        <v>#REF!</v>
      </c>
      <c r="N30" s="758" t="e">
        <f t="shared" si="5"/>
        <v>#REF!</v>
      </c>
      <c r="O30" s="758" t="e">
        <f t="shared" si="5"/>
        <v>#REF!</v>
      </c>
      <c r="P30" s="758" t="e">
        <f t="shared" si="5"/>
        <v>#REF!</v>
      </c>
      <c r="Q30" s="758" t="e">
        <f t="shared" si="5"/>
        <v>#REF!</v>
      </c>
      <c r="R30" s="758" t="e">
        <f t="shared" si="5"/>
        <v>#REF!</v>
      </c>
      <c r="S30" s="758" t="e">
        <f t="shared" si="5"/>
        <v>#REF!</v>
      </c>
      <c r="T30" s="758" t="e">
        <f t="shared" si="5"/>
        <v>#REF!</v>
      </c>
      <c r="U30" s="758" t="e">
        <f t="shared" si="5"/>
        <v>#REF!</v>
      </c>
      <c r="V30" s="758" t="e">
        <f t="shared" si="5"/>
        <v>#REF!</v>
      </c>
      <c r="W30" s="758" t="e">
        <f t="shared" si="5"/>
        <v>#REF!</v>
      </c>
      <c r="X30" s="758" t="e">
        <f t="shared" si="5"/>
        <v>#REF!</v>
      </c>
      <c r="Y30" s="758" t="e">
        <f t="shared" si="5"/>
        <v>#REF!</v>
      </c>
      <c r="Z30" s="758" t="e">
        <f t="shared" si="5"/>
        <v>#REF!</v>
      </c>
      <c r="AA30" s="758" t="e">
        <f t="shared" si="5"/>
        <v>#REF!</v>
      </c>
      <c r="AB30" s="758" t="e">
        <f t="shared" si="5"/>
        <v>#REF!</v>
      </c>
      <c r="AC30" s="758" t="e">
        <f t="shared" si="5"/>
        <v>#REF!</v>
      </c>
      <c r="AD30" s="758" t="e">
        <f t="shared" si="5"/>
        <v>#REF!</v>
      </c>
      <c r="AE30" s="758" t="e">
        <f t="shared" si="5"/>
        <v>#REF!</v>
      </c>
      <c r="AF30" s="758" t="e">
        <f t="shared" si="5"/>
        <v>#REF!</v>
      </c>
      <c r="AG30" s="758" t="e">
        <f t="shared" si="5"/>
        <v>#REF!</v>
      </c>
      <c r="AH30" s="758" t="e">
        <f t="shared" si="5"/>
        <v>#REF!</v>
      </c>
      <c r="AI30" s="758" t="e">
        <f t="shared" si="5"/>
        <v>#REF!</v>
      </c>
      <c r="AJ30" s="758" t="e">
        <f t="shared" si="5"/>
        <v>#REF!</v>
      </c>
      <c r="AK30" s="758" t="e">
        <f t="shared" si="5"/>
        <v>#REF!</v>
      </c>
      <c r="AL30" s="758" t="e">
        <f t="shared" si="5"/>
        <v>#REF!</v>
      </c>
      <c r="AM30" s="758" t="e">
        <f t="shared" si="5"/>
        <v>#REF!</v>
      </c>
      <c r="AN30" s="758" t="e">
        <f t="shared" si="5"/>
        <v>#REF!</v>
      </c>
      <c r="AO30" s="758" t="e">
        <f t="shared" si="5"/>
        <v>#REF!</v>
      </c>
      <c r="AP30" s="758" t="e">
        <f t="shared" si="5"/>
        <v>#REF!</v>
      </c>
      <c r="AQ30" s="758" t="e">
        <f t="shared" si="5"/>
        <v>#REF!</v>
      </c>
      <c r="AR30" s="758" t="e">
        <f t="shared" si="5"/>
        <v>#REF!</v>
      </c>
      <c r="AS30" s="758" t="e">
        <f t="shared" si="5"/>
        <v>#REF!</v>
      </c>
      <c r="AT30" s="758" t="e">
        <f t="shared" si="5"/>
        <v>#REF!</v>
      </c>
      <c r="AU30" s="758" t="e">
        <f t="shared" si="5"/>
        <v>#REF!</v>
      </c>
      <c r="AV30" s="758" t="e">
        <f t="shared" si="5"/>
        <v>#REF!</v>
      </c>
      <c r="AW30" s="491"/>
      <c r="AX30" s="491"/>
      <c r="AY30" s="491"/>
      <c r="AZ30" s="491"/>
      <c r="BA30" s="493"/>
      <c r="BB30" s="963" t="e">
        <f t="shared" ref="BB30:BB38" si="6">SUM(I30:BA30)</f>
        <v>#REF!</v>
      </c>
      <c r="BC30" s="964" t="e">
        <f t="shared" ref="BC30:BC38" si="7">+BB30-E30</f>
        <v>#REF!</v>
      </c>
    </row>
    <row r="31" spans="1:55" ht="24" customHeight="1">
      <c r="A31" s="1630" t="e">
        <f>+#REF!</f>
        <v>#REF!</v>
      </c>
      <c r="B31" s="1631"/>
      <c r="C31" s="1631"/>
      <c r="D31" s="1632"/>
      <c r="E31" s="489" t="e">
        <f>+#REF!</f>
        <v>#REF!</v>
      </c>
      <c r="F31" s="489"/>
      <c r="G31" s="489"/>
      <c r="H31" s="489"/>
      <c r="I31" s="489"/>
      <c r="J31" s="759" t="e">
        <f>+$E31/39</f>
        <v>#REF!</v>
      </c>
      <c r="K31" s="759" t="e">
        <f t="shared" ref="K31:AV31" si="8">+$E31/39</f>
        <v>#REF!</v>
      </c>
      <c r="L31" s="759" t="e">
        <f t="shared" si="8"/>
        <v>#REF!</v>
      </c>
      <c r="M31" s="759" t="e">
        <f t="shared" si="8"/>
        <v>#REF!</v>
      </c>
      <c r="N31" s="759" t="e">
        <f t="shared" si="8"/>
        <v>#REF!</v>
      </c>
      <c r="O31" s="759" t="e">
        <f t="shared" si="8"/>
        <v>#REF!</v>
      </c>
      <c r="P31" s="759" t="e">
        <f t="shared" si="8"/>
        <v>#REF!</v>
      </c>
      <c r="Q31" s="759" t="e">
        <f t="shared" si="8"/>
        <v>#REF!</v>
      </c>
      <c r="R31" s="759" t="e">
        <f t="shared" si="8"/>
        <v>#REF!</v>
      </c>
      <c r="S31" s="759" t="e">
        <f t="shared" si="8"/>
        <v>#REF!</v>
      </c>
      <c r="T31" s="759" t="e">
        <f t="shared" si="8"/>
        <v>#REF!</v>
      </c>
      <c r="U31" s="759" t="e">
        <f t="shared" si="8"/>
        <v>#REF!</v>
      </c>
      <c r="V31" s="759" t="e">
        <f t="shared" si="8"/>
        <v>#REF!</v>
      </c>
      <c r="W31" s="759" t="e">
        <f t="shared" si="8"/>
        <v>#REF!</v>
      </c>
      <c r="X31" s="759" t="e">
        <f t="shared" si="8"/>
        <v>#REF!</v>
      </c>
      <c r="Y31" s="759" t="e">
        <f t="shared" si="8"/>
        <v>#REF!</v>
      </c>
      <c r="Z31" s="759" t="e">
        <f t="shared" si="8"/>
        <v>#REF!</v>
      </c>
      <c r="AA31" s="759" t="e">
        <f t="shared" si="8"/>
        <v>#REF!</v>
      </c>
      <c r="AB31" s="759" t="e">
        <f t="shared" si="8"/>
        <v>#REF!</v>
      </c>
      <c r="AC31" s="759" t="e">
        <f t="shared" si="8"/>
        <v>#REF!</v>
      </c>
      <c r="AD31" s="759" t="e">
        <f t="shared" si="8"/>
        <v>#REF!</v>
      </c>
      <c r="AE31" s="759" t="e">
        <f t="shared" si="8"/>
        <v>#REF!</v>
      </c>
      <c r="AF31" s="759" t="e">
        <f t="shared" si="8"/>
        <v>#REF!</v>
      </c>
      <c r="AG31" s="759" t="e">
        <f t="shared" si="8"/>
        <v>#REF!</v>
      </c>
      <c r="AH31" s="759" t="e">
        <f t="shared" si="8"/>
        <v>#REF!</v>
      </c>
      <c r="AI31" s="759" t="e">
        <f t="shared" si="8"/>
        <v>#REF!</v>
      </c>
      <c r="AJ31" s="759" t="e">
        <f t="shared" si="8"/>
        <v>#REF!</v>
      </c>
      <c r="AK31" s="759" t="e">
        <f t="shared" si="8"/>
        <v>#REF!</v>
      </c>
      <c r="AL31" s="759" t="e">
        <f t="shared" si="8"/>
        <v>#REF!</v>
      </c>
      <c r="AM31" s="759" t="e">
        <f t="shared" si="8"/>
        <v>#REF!</v>
      </c>
      <c r="AN31" s="759" t="e">
        <f t="shared" si="8"/>
        <v>#REF!</v>
      </c>
      <c r="AO31" s="759" t="e">
        <f t="shared" si="8"/>
        <v>#REF!</v>
      </c>
      <c r="AP31" s="759" t="e">
        <f t="shared" si="8"/>
        <v>#REF!</v>
      </c>
      <c r="AQ31" s="759" t="e">
        <f t="shared" si="8"/>
        <v>#REF!</v>
      </c>
      <c r="AR31" s="759" t="e">
        <f t="shared" si="8"/>
        <v>#REF!</v>
      </c>
      <c r="AS31" s="759" t="e">
        <f t="shared" si="8"/>
        <v>#REF!</v>
      </c>
      <c r="AT31" s="759" t="e">
        <f t="shared" si="8"/>
        <v>#REF!</v>
      </c>
      <c r="AU31" s="759" t="e">
        <f t="shared" si="8"/>
        <v>#REF!</v>
      </c>
      <c r="AV31" s="759" t="e">
        <f t="shared" si="8"/>
        <v>#REF!</v>
      </c>
      <c r="AW31" s="489"/>
      <c r="AX31" s="489"/>
      <c r="AY31" s="489"/>
      <c r="AZ31" s="489"/>
      <c r="BA31" s="482"/>
      <c r="BB31" s="963" t="e">
        <f t="shared" si="6"/>
        <v>#REF!</v>
      </c>
      <c r="BC31" s="964" t="e">
        <f t="shared" si="7"/>
        <v>#REF!</v>
      </c>
    </row>
    <row r="32" spans="1:55" ht="24" customHeight="1">
      <c r="A32" s="1630" t="e">
        <f>+#REF!</f>
        <v>#REF!</v>
      </c>
      <c r="B32" s="1631"/>
      <c r="C32" s="1631"/>
      <c r="D32" s="1632"/>
      <c r="E32" s="489" t="e">
        <f>+#REF!</f>
        <v>#REF!</v>
      </c>
      <c r="F32" s="489"/>
      <c r="G32" s="489"/>
      <c r="H32" s="489"/>
      <c r="I32" s="489"/>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89"/>
      <c r="AN32" s="489"/>
      <c r="AO32" s="759" t="e">
        <f>+$E32/8</f>
        <v>#REF!</v>
      </c>
      <c r="AP32" s="759" t="e">
        <f t="shared" ref="AP32:AV32" si="9">+$E32/8</f>
        <v>#REF!</v>
      </c>
      <c r="AQ32" s="759" t="e">
        <f t="shared" si="9"/>
        <v>#REF!</v>
      </c>
      <c r="AR32" s="759" t="e">
        <f t="shared" si="9"/>
        <v>#REF!</v>
      </c>
      <c r="AS32" s="759" t="e">
        <f t="shared" si="9"/>
        <v>#REF!</v>
      </c>
      <c r="AT32" s="759" t="e">
        <f t="shared" si="9"/>
        <v>#REF!</v>
      </c>
      <c r="AU32" s="759" t="e">
        <f t="shared" si="9"/>
        <v>#REF!</v>
      </c>
      <c r="AV32" s="759" t="e">
        <f t="shared" si="9"/>
        <v>#REF!</v>
      </c>
      <c r="AW32" s="489"/>
      <c r="AX32" s="489"/>
      <c r="AY32" s="489"/>
      <c r="AZ32" s="489"/>
      <c r="BA32" s="482"/>
      <c r="BB32" s="963" t="e">
        <f t="shared" si="6"/>
        <v>#REF!</v>
      </c>
      <c r="BC32" s="964" t="e">
        <f t="shared" si="7"/>
        <v>#REF!</v>
      </c>
    </row>
    <row r="33" spans="1:55" ht="24" customHeight="1">
      <c r="A33" s="1630" t="e">
        <f>+#REF!</f>
        <v>#REF!</v>
      </c>
      <c r="B33" s="1631"/>
      <c r="C33" s="1631"/>
      <c r="D33" s="1632"/>
      <c r="E33" s="489" t="e">
        <f>+#REF!</f>
        <v>#REF!</v>
      </c>
      <c r="F33" s="489"/>
      <c r="G33" s="489"/>
      <c r="H33" s="489"/>
      <c r="I33" s="759"/>
      <c r="J33" s="759"/>
      <c r="K33" s="759" t="e">
        <f>+$E33/38</f>
        <v>#REF!</v>
      </c>
      <c r="L33" s="759" t="e">
        <f t="shared" ref="L33:AV33" si="10">+$E33/38</f>
        <v>#REF!</v>
      </c>
      <c r="M33" s="759" t="e">
        <f t="shared" si="10"/>
        <v>#REF!</v>
      </c>
      <c r="N33" s="759" t="e">
        <f t="shared" si="10"/>
        <v>#REF!</v>
      </c>
      <c r="O33" s="759" t="e">
        <f t="shared" si="10"/>
        <v>#REF!</v>
      </c>
      <c r="P33" s="759" t="e">
        <f t="shared" si="10"/>
        <v>#REF!</v>
      </c>
      <c r="Q33" s="759" t="e">
        <f t="shared" si="10"/>
        <v>#REF!</v>
      </c>
      <c r="R33" s="759" t="e">
        <f t="shared" si="10"/>
        <v>#REF!</v>
      </c>
      <c r="S33" s="759" t="e">
        <f t="shared" si="10"/>
        <v>#REF!</v>
      </c>
      <c r="T33" s="759" t="e">
        <f t="shared" si="10"/>
        <v>#REF!</v>
      </c>
      <c r="U33" s="759" t="e">
        <f t="shared" si="10"/>
        <v>#REF!</v>
      </c>
      <c r="V33" s="759" t="e">
        <f t="shared" si="10"/>
        <v>#REF!</v>
      </c>
      <c r="W33" s="759" t="e">
        <f t="shared" si="10"/>
        <v>#REF!</v>
      </c>
      <c r="X33" s="759" t="e">
        <f t="shared" si="10"/>
        <v>#REF!</v>
      </c>
      <c r="Y33" s="759" t="e">
        <f t="shared" si="10"/>
        <v>#REF!</v>
      </c>
      <c r="Z33" s="759" t="e">
        <f t="shared" si="10"/>
        <v>#REF!</v>
      </c>
      <c r="AA33" s="759" t="e">
        <f t="shared" si="10"/>
        <v>#REF!</v>
      </c>
      <c r="AB33" s="759" t="e">
        <f t="shared" si="10"/>
        <v>#REF!</v>
      </c>
      <c r="AC33" s="759" t="e">
        <f t="shared" si="10"/>
        <v>#REF!</v>
      </c>
      <c r="AD33" s="759" t="e">
        <f t="shared" si="10"/>
        <v>#REF!</v>
      </c>
      <c r="AE33" s="759" t="e">
        <f t="shared" si="10"/>
        <v>#REF!</v>
      </c>
      <c r="AF33" s="759" t="e">
        <f t="shared" si="10"/>
        <v>#REF!</v>
      </c>
      <c r="AG33" s="759" t="e">
        <f t="shared" si="10"/>
        <v>#REF!</v>
      </c>
      <c r="AH33" s="759" t="e">
        <f t="shared" si="10"/>
        <v>#REF!</v>
      </c>
      <c r="AI33" s="759" t="e">
        <f t="shared" si="10"/>
        <v>#REF!</v>
      </c>
      <c r="AJ33" s="759" t="e">
        <f t="shared" si="10"/>
        <v>#REF!</v>
      </c>
      <c r="AK33" s="759" t="e">
        <f t="shared" si="10"/>
        <v>#REF!</v>
      </c>
      <c r="AL33" s="759" t="e">
        <f t="shared" si="10"/>
        <v>#REF!</v>
      </c>
      <c r="AM33" s="759" t="e">
        <f t="shared" si="10"/>
        <v>#REF!</v>
      </c>
      <c r="AN33" s="759" t="e">
        <f t="shared" si="10"/>
        <v>#REF!</v>
      </c>
      <c r="AO33" s="759" t="e">
        <f t="shared" si="10"/>
        <v>#REF!</v>
      </c>
      <c r="AP33" s="759" t="e">
        <f t="shared" si="10"/>
        <v>#REF!</v>
      </c>
      <c r="AQ33" s="759" t="e">
        <f t="shared" si="10"/>
        <v>#REF!</v>
      </c>
      <c r="AR33" s="759" t="e">
        <f t="shared" si="10"/>
        <v>#REF!</v>
      </c>
      <c r="AS33" s="759" t="e">
        <f t="shared" si="10"/>
        <v>#REF!</v>
      </c>
      <c r="AT33" s="759" t="e">
        <f t="shared" si="10"/>
        <v>#REF!</v>
      </c>
      <c r="AU33" s="759" t="e">
        <f t="shared" si="10"/>
        <v>#REF!</v>
      </c>
      <c r="AV33" s="759" t="e">
        <f t="shared" si="10"/>
        <v>#REF!</v>
      </c>
      <c r="AW33" s="489"/>
      <c r="AX33" s="489"/>
      <c r="AY33" s="489"/>
      <c r="AZ33" s="489"/>
      <c r="BA33" s="482"/>
      <c r="BB33" s="963" t="e">
        <f t="shared" si="6"/>
        <v>#REF!</v>
      </c>
      <c r="BC33" s="964" t="e">
        <f t="shared" si="7"/>
        <v>#REF!</v>
      </c>
    </row>
    <row r="34" spans="1:55" ht="24" customHeight="1">
      <c r="A34" s="1630" t="e">
        <f>+#REF!</f>
        <v>#REF!</v>
      </c>
      <c r="B34" s="1631"/>
      <c r="C34" s="1631"/>
      <c r="D34" s="1632"/>
      <c r="E34" s="489" t="e">
        <f>+#REF!</f>
        <v>#REF!</v>
      </c>
      <c r="F34" s="759"/>
      <c r="G34" s="759"/>
      <c r="H34" s="759"/>
      <c r="I34" s="759"/>
      <c r="J34" s="759"/>
      <c r="K34" s="759"/>
      <c r="L34" s="759"/>
      <c r="M34" s="759"/>
      <c r="N34" s="759"/>
      <c r="O34" s="759"/>
      <c r="P34" s="759"/>
      <c r="Q34" s="759"/>
      <c r="R34" s="759"/>
      <c r="S34" s="759"/>
      <c r="T34" s="759"/>
      <c r="U34" s="759"/>
      <c r="V34" s="759"/>
      <c r="W34" s="759"/>
      <c r="X34" s="759"/>
      <c r="Y34" s="759"/>
      <c r="Z34" s="759"/>
      <c r="AA34" s="759"/>
      <c r="AB34" s="759"/>
      <c r="AC34" s="759"/>
      <c r="AD34" s="759"/>
      <c r="AE34" s="759"/>
      <c r="AF34" s="759"/>
      <c r="AG34" s="759"/>
      <c r="AH34" s="759"/>
      <c r="AI34" s="759"/>
      <c r="AJ34" s="759"/>
      <c r="AK34" s="759"/>
      <c r="AL34" s="759"/>
      <c r="AM34" s="759"/>
      <c r="AN34" s="759"/>
      <c r="AO34" s="759" t="e">
        <f>+$E34/8</f>
        <v>#REF!</v>
      </c>
      <c r="AP34" s="759" t="e">
        <f t="shared" ref="AP34:AV34" si="11">+$E34/8</f>
        <v>#REF!</v>
      </c>
      <c r="AQ34" s="759" t="e">
        <f t="shared" si="11"/>
        <v>#REF!</v>
      </c>
      <c r="AR34" s="759" t="e">
        <f t="shared" si="11"/>
        <v>#REF!</v>
      </c>
      <c r="AS34" s="759" t="e">
        <f t="shared" si="11"/>
        <v>#REF!</v>
      </c>
      <c r="AT34" s="759" t="e">
        <f t="shared" si="11"/>
        <v>#REF!</v>
      </c>
      <c r="AU34" s="759" t="e">
        <f t="shared" si="11"/>
        <v>#REF!</v>
      </c>
      <c r="AV34" s="759" t="e">
        <f t="shared" si="11"/>
        <v>#REF!</v>
      </c>
      <c r="AW34" s="759"/>
      <c r="AX34" s="759"/>
      <c r="AY34" s="759"/>
      <c r="AZ34" s="759"/>
      <c r="BA34" s="759"/>
      <c r="BB34" s="963" t="e">
        <f t="shared" si="6"/>
        <v>#REF!</v>
      </c>
      <c r="BC34" s="964" t="e">
        <f t="shared" si="7"/>
        <v>#REF!</v>
      </c>
    </row>
    <row r="35" spans="1:55" ht="24" customHeight="1">
      <c r="A35" s="1630" t="e">
        <f>+#REF!</f>
        <v>#REF!</v>
      </c>
      <c r="B35" s="1631"/>
      <c r="C35" s="1631"/>
      <c r="D35" s="1632"/>
      <c r="E35" s="489" t="e">
        <f>+#REF!</f>
        <v>#REF!</v>
      </c>
      <c r="F35" s="759"/>
      <c r="G35" s="759"/>
      <c r="H35" s="759"/>
      <c r="I35" s="759" t="e">
        <f>+$E35/44</f>
        <v>#REF!</v>
      </c>
      <c r="J35" s="759" t="e">
        <f t="shared" ref="J35:AZ35" si="12">+$E35/44</f>
        <v>#REF!</v>
      </c>
      <c r="K35" s="759" t="e">
        <f t="shared" si="12"/>
        <v>#REF!</v>
      </c>
      <c r="L35" s="759" t="e">
        <f t="shared" si="12"/>
        <v>#REF!</v>
      </c>
      <c r="M35" s="759" t="e">
        <f t="shared" si="12"/>
        <v>#REF!</v>
      </c>
      <c r="N35" s="759" t="e">
        <f t="shared" si="12"/>
        <v>#REF!</v>
      </c>
      <c r="O35" s="759" t="e">
        <f t="shared" si="12"/>
        <v>#REF!</v>
      </c>
      <c r="P35" s="759" t="e">
        <f t="shared" si="12"/>
        <v>#REF!</v>
      </c>
      <c r="Q35" s="759" t="e">
        <f t="shared" si="12"/>
        <v>#REF!</v>
      </c>
      <c r="R35" s="759" t="e">
        <f t="shared" si="12"/>
        <v>#REF!</v>
      </c>
      <c r="S35" s="759" t="e">
        <f t="shared" si="12"/>
        <v>#REF!</v>
      </c>
      <c r="T35" s="759" t="e">
        <f t="shared" si="12"/>
        <v>#REF!</v>
      </c>
      <c r="U35" s="759" t="e">
        <f t="shared" si="12"/>
        <v>#REF!</v>
      </c>
      <c r="V35" s="759" t="e">
        <f t="shared" si="12"/>
        <v>#REF!</v>
      </c>
      <c r="W35" s="759" t="e">
        <f t="shared" si="12"/>
        <v>#REF!</v>
      </c>
      <c r="X35" s="759" t="e">
        <f t="shared" si="12"/>
        <v>#REF!</v>
      </c>
      <c r="Y35" s="759" t="e">
        <f t="shared" si="12"/>
        <v>#REF!</v>
      </c>
      <c r="Z35" s="759" t="e">
        <f t="shared" si="12"/>
        <v>#REF!</v>
      </c>
      <c r="AA35" s="759" t="e">
        <f t="shared" si="12"/>
        <v>#REF!</v>
      </c>
      <c r="AB35" s="759" t="e">
        <f t="shared" si="12"/>
        <v>#REF!</v>
      </c>
      <c r="AC35" s="759" t="e">
        <f t="shared" si="12"/>
        <v>#REF!</v>
      </c>
      <c r="AD35" s="759" t="e">
        <f t="shared" si="12"/>
        <v>#REF!</v>
      </c>
      <c r="AE35" s="759" t="e">
        <f t="shared" si="12"/>
        <v>#REF!</v>
      </c>
      <c r="AF35" s="759" t="e">
        <f t="shared" si="12"/>
        <v>#REF!</v>
      </c>
      <c r="AG35" s="759" t="e">
        <f t="shared" si="12"/>
        <v>#REF!</v>
      </c>
      <c r="AH35" s="759" t="e">
        <f t="shared" si="12"/>
        <v>#REF!</v>
      </c>
      <c r="AI35" s="759" t="e">
        <f t="shared" si="12"/>
        <v>#REF!</v>
      </c>
      <c r="AJ35" s="759" t="e">
        <f t="shared" si="12"/>
        <v>#REF!</v>
      </c>
      <c r="AK35" s="759" t="e">
        <f t="shared" si="12"/>
        <v>#REF!</v>
      </c>
      <c r="AL35" s="759" t="e">
        <f t="shared" si="12"/>
        <v>#REF!</v>
      </c>
      <c r="AM35" s="759" t="e">
        <f t="shared" si="12"/>
        <v>#REF!</v>
      </c>
      <c r="AN35" s="759" t="e">
        <f t="shared" si="12"/>
        <v>#REF!</v>
      </c>
      <c r="AO35" s="759" t="e">
        <f t="shared" si="12"/>
        <v>#REF!</v>
      </c>
      <c r="AP35" s="759" t="e">
        <f t="shared" si="12"/>
        <v>#REF!</v>
      </c>
      <c r="AQ35" s="759" t="e">
        <f t="shared" si="12"/>
        <v>#REF!</v>
      </c>
      <c r="AR35" s="759" t="e">
        <f t="shared" si="12"/>
        <v>#REF!</v>
      </c>
      <c r="AS35" s="759" t="e">
        <f t="shared" si="12"/>
        <v>#REF!</v>
      </c>
      <c r="AT35" s="759" t="e">
        <f t="shared" si="12"/>
        <v>#REF!</v>
      </c>
      <c r="AU35" s="759" t="e">
        <f t="shared" si="12"/>
        <v>#REF!</v>
      </c>
      <c r="AV35" s="759" t="e">
        <f t="shared" si="12"/>
        <v>#REF!</v>
      </c>
      <c r="AW35" s="759" t="e">
        <f t="shared" si="12"/>
        <v>#REF!</v>
      </c>
      <c r="AX35" s="759" t="e">
        <f t="shared" si="12"/>
        <v>#REF!</v>
      </c>
      <c r="AY35" s="759" t="e">
        <f t="shared" si="12"/>
        <v>#REF!</v>
      </c>
      <c r="AZ35" s="759" t="e">
        <f t="shared" si="12"/>
        <v>#REF!</v>
      </c>
      <c r="BA35" s="759"/>
      <c r="BB35" s="963" t="e">
        <f t="shared" si="6"/>
        <v>#REF!</v>
      </c>
      <c r="BC35" s="964" t="e">
        <f t="shared" si="7"/>
        <v>#REF!</v>
      </c>
    </row>
    <row r="36" spans="1:55" ht="13.4" customHeight="1">
      <c r="A36" s="1635" t="s">
        <v>1004</v>
      </c>
      <c r="B36" s="1636"/>
      <c r="C36" s="1636"/>
      <c r="D36" s="1637"/>
      <c r="E36" s="491" t="e">
        <f t="shared" ref="E36:BA36" si="13">+SUM(E30:E35)</f>
        <v>#REF!</v>
      </c>
      <c r="F36" s="491">
        <f t="shared" si="13"/>
        <v>0</v>
      </c>
      <c r="G36" s="491">
        <f t="shared" si="13"/>
        <v>0</v>
      </c>
      <c r="H36" s="491">
        <f t="shared" si="13"/>
        <v>0</v>
      </c>
      <c r="I36" s="491" t="e">
        <f t="shared" si="13"/>
        <v>#REF!</v>
      </c>
      <c r="J36" s="491" t="e">
        <f t="shared" si="13"/>
        <v>#REF!</v>
      </c>
      <c r="K36" s="491" t="e">
        <f t="shared" si="13"/>
        <v>#REF!</v>
      </c>
      <c r="L36" s="491" t="e">
        <f t="shared" si="13"/>
        <v>#REF!</v>
      </c>
      <c r="M36" s="491" t="e">
        <f t="shared" si="13"/>
        <v>#REF!</v>
      </c>
      <c r="N36" s="491" t="e">
        <f t="shared" si="13"/>
        <v>#REF!</v>
      </c>
      <c r="O36" s="491" t="e">
        <f t="shared" si="13"/>
        <v>#REF!</v>
      </c>
      <c r="P36" s="491" t="e">
        <f t="shared" si="13"/>
        <v>#REF!</v>
      </c>
      <c r="Q36" s="491" t="e">
        <f t="shared" si="13"/>
        <v>#REF!</v>
      </c>
      <c r="R36" s="491" t="e">
        <f t="shared" si="13"/>
        <v>#REF!</v>
      </c>
      <c r="S36" s="491" t="e">
        <f t="shared" si="13"/>
        <v>#REF!</v>
      </c>
      <c r="T36" s="491" t="e">
        <f t="shared" si="13"/>
        <v>#REF!</v>
      </c>
      <c r="U36" s="491" t="e">
        <f t="shared" si="13"/>
        <v>#REF!</v>
      </c>
      <c r="V36" s="491" t="e">
        <f t="shared" si="13"/>
        <v>#REF!</v>
      </c>
      <c r="W36" s="491" t="e">
        <f t="shared" si="13"/>
        <v>#REF!</v>
      </c>
      <c r="X36" s="491" t="e">
        <f t="shared" si="13"/>
        <v>#REF!</v>
      </c>
      <c r="Y36" s="491" t="e">
        <f t="shared" si="13"/>
        <v>#REF!</v>
      </c>
      <c r="Z36" s="491" t="e">
        <f t="shared" si="13"/>
        <v>#REF!</v>
      </c>
      <c r="AA36" s="491" t="e">
        <f t="shared" si="13"/>
        <v>#REF!</v>
      </c>
      <c r="AB36" s="491" t="e">
        <f t="shared" si="13"/>
        <v>#REF!</v>
      </c>
      <c r="AC36" s="491" t="e">
        <f t="shared" si="13"/>
        <v>#REF!</v>
      </c>
      <c r="AD36" s="491" t="e">
        <f t="shared" si="13"/>
        <v>#REF!</v>
      </c>
      <c r="AE36" s="491" t="e">
        <f t="shared" si="13"/>
        <v>#REF!</v>
      </c>
      <c r="AF36" s="491" t="e">
        <f t="shared" si="13"/>
        <v>#REF!</v>
      </c>
      <c r="AG36" s="491" t="e">
        <f t="shared" si="13"/>
        <v>#REF!</v>
      </c>
      <c r="AH36" s="491" t="e">
        <f t="shared" si="13"/>
        <v>#REF!</v>
      </c>
      <c r="AI36" s="491" t="e">
        <f t="shared" si="13"/>
        <v>#REF!</v>
      </c>
      <c r="AJ36" s="491" t="e">
        <f t="shared" si="13"/>
        <v>#REF!</v>
      </c>
      <c r="AK36" s="491" t="e">
        <f t="shared" si="13"/>
        <v>#REF!</v>
      </c>
      <c r="AL36" s="491" t="e">
        <f t="shared" si="13"/>
        <v>#REF!</v>
      </c>
      <c r="AM36" s="491" t="e">
        <f t="shared" si="13"/>
        <v>#REF!</v>
      </c>
      <c r="AN36" s="491" t="e">
        <f t="shared" si="13"/>
        <v>#REF!</v>
      </c>
      <c r="AO36" s="491" t="e">
        <f t="shared" si="13"/>
        <v>#REF!</v>
      </c>
      <c r="AP36" s="491" t="e">
        <f t="shared" si="13"/>
        <v>#REF!</v>
      </c>
      <c r="AQ36" s="491" t="e">
        <f t="shared" si="13"/>
        <v>#REF!</v>
      </c>
      <c r="AR36" s="491" t="e">
        <f t="shared" si="13"/>
        <v>#REF!</v>
      </c>
      <c r="AS36" s="491" t="e">
        <f t="shared" si="13"/>
        <v>#REF!</v>
      </c>
      <c r="AT36" s="491" t="e">
        <f t="shared" si="13"/>
        <v>#REF!</v>
      </c>
      <c r="AU36" s="491" t="e">
        <f t="shared" si="13"/>
        <v>#REF!</v>
      </c>
      <c r="AV36" s="491" t="e">
        <f t="shared" si="13"/>
        <v>#REF!</v>
      </c>
      <c r="AW36" s="491" t="e">
        <f t="shared" si="13"/>
        <v>#REF!</v>
      </c>
      <c r="AX36" s="491" t="e">
        <f t="shared" si="13"/>
        <v>#REF!</v>
      </c>
      <c r="AY36" s="491" t="e">
        <f t="shared" si="13"/>
        <v>#REF!</v>
      </c>
      <c r="AZ36" s="491" t="e">
        <f t="shared" si="13"/>
        <v>#REF!</v>
      </c>
      <c r="BA36" s="491">
        <f t="shared" si="13"/>
        <v>0</v>
      </c>
      <c r="BB36" s="963" t="e">
        <f t="shared" si="6"/>
        <v>#REF!</v>
      </c>
      <c r="BC36" s="964" t="e">
        <f t="shared" si="7"/>
        <v>#REF!</v>
      </c>
    </row>
    <row r="37" spans="1:55" ht="14.15" customHeight="1" thickBot="1">
      <c r="A37" s="1638" t="s">
        <v>1005</v>
      </c>
      <c r="B37" s="1639"/>
      <c r="C37" s="1639"/>
      <c r="D37" s="1639"/>
      <c r="E37" s="760"/>
      <c r="F37" s="761" t="e">
        <f>+F36/$E$36</f>
        <v>#REF!</v>
      </c>
      <c r="G37" s="761" t="e">
        <f>+G36/$E$36</f>
        <v>#REF!</v>
      </c>
      <c r="H37" s="761" t="e">
        <f t="shared" ref="H37:BA37" si="14">+H36/$E$36</f>
        <v>#REF!</v>
      </c>
      <c r="I37" s="761" t="e">
        <f t="shared" si="14"/>
        <v>#REF!</v>
      </c>
      <c r="J37" s="761" t="e">
        <f t="shared" si="14"/>
        <v>#REF!</v>
      </c>
      <c r="K37" s="761" t="e">
        <f t="shared" si="14"/>
        <v>#REF!</v>
      </c>
      <c r="L37" s="761" t="e">
        <f t="shared" si="14"/>
        <v>#REF!</v>
      </c>
      <c r="M37" s="761" t="e">
        <f t="shared" si="14"/>
        <v>#REF!</v>
      </c>
      <c r="N37" s="761" t="e">
        <f t="shared" si="14"/>
        <v>#REF!</v>
      </c>
      <c r="O37" s="761" t="e">
        <f t="shared" si="14"/>
        <v>#REF!</v>
      </c>
      <c r="P37" s="761" t="e">
        <f t="shared" si="14"/>
        <v>#REF!</v>
      </c>
      <c r="Q37" s="761" t="e">
        <f t="shared" si="14"/>
        <v>#REF!</v>
      </c>
      <c r="R37" s="761" t="e">
        <f t="shared" si="14"/>
        <v>#REF!</v>
      </c>
      <c r="S37" s="761" t="e">
        <f t="shared" si="14"/>
        <v>#REF!</v>
      </c>
      <c r="T37" s="761" t="e">
        <f t="shared" si="14"/>
        <v>#REF!</v>
      </c>
      <c r="U37" s="761" t="e">
        <f t="shared" si="14"/>
        <v>#REF!</v>
      </c>
      <c r="V37" s="761" t="e">
        <f t="shared" si="14"/>
        <v>#REF!</v>
      </c>
      <c r="W37" s="761" t="e">
        <f t="shared" si="14"/>
        <v>#REF!</v>
      </c>
      <c r="X37" s="761" t="e">
        <f t="shared" si="14"/>
        <v>#REF!</v>
      </c>
      <c r="Y37" s="761" t="e">
        <f t="shared" si="14"/>
        <v>#REF!</v>
      </c>
      <c r="Z37" s="761" t="e">
        <f t="shared" si="14"/>
        <v>#REF!</v>
      </c>
      <c r="AA37" s="761" t="e">
        <f t="shared" si="14"/>
        <v>#REF!</v>
      </c>
      <c r="AB37" s="761" t="e">
        <f t="shared" si="14"/>
        <v>#REF!</v>
      </c>
      <c r="AC37" s="761" t="e">
        <f t="shared" si="14"/>
        <v>#REF!</v>
      </c>
      <c r="AD37" s="761" t="e">
        <f t="shared" si="14"/>
        <v>#REF!</v>
      </c>
      <c r="AE37" s="761" t="e">
        <f t="shared" si="14"/>
        <v>#REF!</v>
      </c>
      <c r="AF37" s="761" t="e">
        <f t="shared" si="14"/>
        <v>#REF!</v>
      </c>
      <c r="AG37" s="761" t="e">
        <f t="shared" si="14"/>
        <v>#REF!</v>
      </c>
      <c r="AH37" s="761" t="e">
        <f t="shared" si="14"/>
        <v>#REF!</v>
      </c>
      <c r="AI37" s="761" t="e">
        <f t="shared" si="14"/>
        <v>#REF!</v>
      </c>
      <c r="AJ37" s="761" t="e">
        <f t="shared" si="14"/>
        <v>#REF!</v>
      </c>
      <c r="AK37" s="761" t="e">
        <f t="shared" si="14"/>
        <v>#REF!</v>
      </c>
      <c r="AL37" s="761" t="e">
        <f t="shared" si="14"/>
        <v>#REF!</v>
      </c>
      <c r="AM37" s="761" t="e">
        <f t="shared" si="14"/>
        <v>#REF!</v>
      </c>
      <c r="AN37" s="761" t="e">
        <f t="shared" si="14"/>
        <v>#REF!</v>
      </c>
      <c r="AO37" s="761" t="e">
        <f t="shared" si="14"/>
        <v>#REF!</v>
      </c>
      <c r="AP37" s="761" t="e">
        <f t="shared" si="14"/>
        <v>#REF!</v>
      </c>
      <c r="AQ37" s="761" t="e">
        <f t="shared" si="14"/>
        <v>#REF!</v>
      </c>
      <c r="AR37" s="761" t="e">
        <f t="shared" si="14"/>
        <v>#REF!</v>
      </c>
      <c r="AS37" s="761" t="e">
        <f t="shared" si="14"/>
        <v>#REF!</v>
      </c>
      <c r="AT37" s="761" t="e">
        <f t="shared" si="14"/>
        <v>#REF!</v>
      </c>
      <c r="AU37" s="761" t="e">
        <f t="shared" si="14"/>
        <v>#REF!</v>
      </c>
      <c r="AV37" s="761" t="e">
        <f t="shared" si="14"/>
        <v>#REF!</v>
      </c>
      <c r="AW37" s="761" t="e">
        <f t="shared" si="14"/>
        <v>#REF!</v>
      </c>
      <c r="AX37" s="761" t="e">
        <f t="shared" si="14"/>
        <v>#REF!</v>
      </c>
      <c r="AY37" s="761" t="e">
        <f t="shared" si="14"/>
        <v>#REF!</v>
      </c>
      <c r="AZ37" s="761" t="e">
        <f t="shared" si="14"/>
        <v>#REF!</v>
      </c>
      <c r="BA37" s="761" t="e">
        <f t="shared" si="14"/>
        <v>#REF!</v>
      </c>
      <c r="BB37" s="963" t="e">
        <f t="shared" si="6"/>
        <v>#REF!</v>
      </c>
      <c r="BC37" s="964" t="e">
        <f t="shared" si="7"/>
        <v>#REF!</v>
      </c>
    </row>
    <row r="38" spans="1:55" ht="16" thickBot="1">
      <c r="A38" s="1633" t="s">
        <v>1006</v>
      </c>
      <c r="B38" s="1634"/>
      <c r="C38" s="1634"/>
      <c r="D38" s="1634"/>
      <c r="E38" s="762"/>
      <c r="F38" s="763" t="e">
        <f>+F37</f>
        <v>#REF!</v>
      </c>
      <c r="G38" s="763" t="e">
        <f>+G37+F38</f>
        <v>#REF!</v>
      </c>
      <c r="H38" s="763" t="e">
        <f t="shared" ref="H38:BA38" si="15">+H37+G38</f>
        <v>#REF!</v>
      </c>
      <c r="I38" s="763" t="e">
        <f t="shared" si="15"/>
        <v>#REF!</v>
      </c>
      <c r="J38" s="763" t="e">
        <f t="shared" si="15"/>
        <v>#REF!</v>
      </c>
      <c r="K38" s="763" t="e">
        <f t="shared" si="15"/>
        <v>#REF!</v>
      </c>
      <c r="L38" s="763" t="e">
        <f t="shared" si="15"/>
        <v>#REF!</v>
      </c>
      <c r="M38" s="763" t="e">
        <f t="shared" si="15"/>
        <v>#REF!</v>
      </c>
      <c r="N38" s="763" t="e">
        <f t="shared" si="15"/>
        <v>#REF!</v>
      </c>
      <c r="O38" s="763" t="e">
        <f t="shared" si="15"/>
        <v>#REF!</v>
      </c>
      <c r="P38" s="763" t="e">
        <f t="shared" si="15"/>
        <v>#REF!</v>
      </c>
      <c r="Q38" s="763" t="e">
        <f t="shared" si="15"/>
        <v>#REF!</v>
      </c>
      <c r="R38" s="763" t="e">
        <f t="shared" si="15"/>
        <v>#REF!</v>
      </c>
      <c r="S38" s="763" t="e">
        <f t="shared" si="15"/>
        <v>#REF!</v>
      </c>
      <c r="T38" s="763" t="e">
        <f t="shared" si="15"/>
        <v>#REF!</v>
      </c>
      <c r="U38" s="763" t="e">
        <f t="shared" si="15"/>
        <v>#REF!</v>
      </c>
      <c r="V38" s="763" t="e">
        <f t="shared" si="15"/>
        <v>#REF!</v>
      </c>
      <c r="W38" s="763" t="e">
        <f t="shared" si="15"/>
        <v>#REF!</v>
      </c>
      <c r="X38" s="763" t="e">
        <f t="shared" si="15"/>
        <v>#REF!</v>
      </c>
      <c r="Y38" s="763" t="e">
        <f t="shared" si="15"/>
        <v>#REF!</v>
      </c>
      <c r="Z38" s="763" t="e">
        <f t="shared" si="15"/>
        <v>#REF!</v>
      </c>
      <c r="AA38" s="763" t="e">
        <f t="shared" si="15"/>
        <v>#REF!</v>
      </c>
      <c r="AB38" s="763" t="e">
        <f t="shared" si="15"/>
        <v>#REF!</v>
      </c>
      <c r="AC38" s="763" t="e">
        <f t="shared" si="15"/>
        <v>#REF!</v>
      </c>
      <c r="AD38" s="763" t="e">
        <f t="shared" si="15"/>
        <v>#REF!</v>
      </c>
      <c r="AE38" s="763" t="e">
        <f t="shared" si="15"/>
        <v>#REF!</v>
      </c>
      <c r="AF38" s="763" t="e">
        <f t="shared" si="15"/>
        <v>#REF!</v>
      </c>
      <c r="AG38" s="763" t="e">
        <f t="shared" si="15"/>
        <v>#REF!</v>
      </c>
      <c r="AH38" s="763" t="e">
        <f t="shared" si="15"/>
        <v>#REF!</v>
      </c>
      <c r="AI38" s="763" t="e">
        <f t="shared" si="15"/>
        <v>#REF!</v>
      </c>
      <c r="AJ38" s="763" t="e">
        <f t="shared" si="15"/>
        <v>#REF!</v>
      </c>
      <c r="AK38" s="763" t="e">
        <f t="shared" si="15"/>
        <v>#REF!</v>
      </c>
      <c r="AL38" s="763" t="e">
        <f t="shared" si="15"/>
        <v>#REF!</v>
      </c>
      <c r="AM38" s="763" t="e">
        <f t="shared" si="15"/>
        <v>#REF!</v>
      </c>
      <c r="AN38" s="763" t="e">
        <f t="shared" si="15"/>
        <v>#REF!</v>
      </c>
      <c r="AO38" s="763" t="e">
        <f t="shared" si="15"/>
        <v>#REF!</v>
      </c>
      <c r="AP38" s="763" t="e">
        <f t="shared" si="15"/>
        <v>#REF!</v>
      </c>
      <c r="AQ38" s="763" t="e">
        <f t="shared" si="15"/>
        <v>#REF!</v>
      </c>
      <c r="AR38" s="763" t="e">
        <f t="shared" si="15"/>
        <v>#REF!</v>
      </c>
      <c r="AS38" s="763" t="e">
        <f t="shared" si="15"/>
        <v>#REF!</v>
      </c>
      <c r="AT38" s="763" t="e">
        <f t="shared" si="15"/>
        <v>#REF!</v>
      </c>
      <c r="AU38" s="763" t="e">
        <f t="shared" si="15"/>
        <v>#REF!</v>
      </c>
      <c r="AV38" s="763" t="e">
        <f t="shared" si="15"/>
        <v>#REF!</v>
      </c>
      <c r="AW38" s="763" t="e">
        <f t="shared" si="15"/>
        <v>#REF!</v>
      </c>
      <c r="AX38" s="763" t="e">
        <f t="shared" si="15"/>
        <v>#REF!</v>
      </c>
      <c r="AY38" s="763" t="e">
        <f t="shared" si="15"/>
        <v>#REF!</v>
      </c>
      <c r="AZ38" s="763" t="e">
        <f t="shared" si="15"/>
        <v>#REF!</v>
      </c>
      <c r="BA38" s="763" t="e">
        <f t="shared" si="15"/>
        <v>#REF!</v>
      </c>
      <c r="BB38" s="963" t="e">
        <f t="shared" si="6"/>
        <v>#REF!</v>
      </c>
      <c r="BC38" s="964" t="e">
        <f t="shared" si="7"/>
        <v>#REF!</v>
      </c>
    </row>
    <row r="39" spans="1:55" ht="13">
      <c r="A39" s="495"/>
      <c r="B39" s="495"/>
      <c r="C39" s="494"/>
      <c r="D39" s="494"/>
      <c r="E39" s="494"/>
      <c r="F39" s="494"/>
      <c r="G39" s="494"/>
      <c r="H39" s="494"/>
      <c r="I39" s="494"/>
      <c r="J39" s="494"/>
      <c r="K39" s="494"/>
      <c r="L39" s="494"/>
      <c r="M39" s="494"/>
      <c r="N39" s="494"/>
      <c r="O39" s="494"/>
      <c r="P39" s="494"/>
      <c r="Q39" s="494"/>
      <c r="R39" s="494"/>
      <c r="S39" s="494"/>
      <c r="T39" s="494"/>
      <c r="U39" s="494"/>
      <c r="V39" s="494"/>
      <c r="W39" s="494"/>
      <c r="X39" s="494"/>
      <c r="Y39" s="494"/>
      <c r="Z39" s="494"/>
      <c r="AA39" s="494"/>
      <c r="AB39" s="494"/>
      <c r="AC39" s="494"/>
      <c r="AD39" s="494"/>
      <c r="AE39" s="494"/>
      <c r="AF39" s="494"/>
      <c r="AG39" s="494"/>
      <c r="AH39" s="494"/>
      <c r="AI39" s="494"/>
      <c r="AJ39" s="494"/>
      <c r="AK39" s="494"/>
      <c r="AL39" s="494"/>
      <c r="AM39" s="494"/>
      <c r="AN39" s="494"/>
      <c r="AO39" s="494"/>
      <c r="AP39" s="494"/>
      <c r="AQ39" s="494"/>
      <c r="AR39" s="494"/>
      <c r="AS39" s="494"/>
      <c r="AT39" s="494"/>
      <c r="AU39" s="494"/>
      <c r="AV39" s="494"/>
      <c r="AW39" s="494"/>
      <c r="AX39" s="494"/>
      <c r="AY39" s="494"/>
      <c r="AZ39" s="494"/>
      <c r="BA39" s="494"/>
    </row>
    <row r="40" spans="1:55" ht="13">
      <c r="A40" s="494"/>
      <c r="B40" s="495"/>
      <c r="C40" s="494"/>
      <c r="D40" s="494"/>
      <c r="E40" s="494"/>
      <c r="F40" s="494"/>
      <c r="G40" s="494"/>
      <c r="H40" s="494"/>
      <c r="I40" s="494"/>
      <c r="J40" s="494"/>
      <c r="K40" s="494"/>
      <c r="L40" s="494"/>
      <c r="M40" s="494"/>
      <c r="N40" s="494"/>
      <c r="O40" s="494"/>
      <c r="P40" s="494"/>
      <c r="Q40" s="494"/>
      <c r="R40" s="494"/>
      <c r="S40" s="494"/>
      <c r="T40" s="494"/>
      <c r="U40" s="494"/>
      <c r="V40" s="494"/>
      <c r="W40" s="494"/>
      <c r="X40" s="494"/>
      <c r="Y40" s="494"/>
      <c r="Z40" s="494"/>
      <c r="AA40" s="494"/>
      <c r="AB40" s="494"/>
      <c r="AC40" s="494"/>
      <c r="AD40" s="494"/>
      <c r="AE40" s="494"/>
      <c r="AF40" s="494"/>
      <c r="AG40" s="494"/>
      <c r="AH40" s="494"/>
      <c r="AI40" s="494"/>
      <c r="AJ40" s="494"/>
      <c r="AK40" s="494"/>
      <c r="AL40" s="494"/>
      <c r="AM40" s="494"/>
      <c r="AN40" s="494"/>
      <c r="AO40" s="494"/>
      <c r="AP40" s="494"/>
      <c r="AQ40" s="494"/>
      <c r="AR40" s="494"/>
      <c r="AS40" s="494"/>
      <c r="AT40" s="494"/>
      <c r="AU40" s="494"/>
      <c r="AV40" s="494"/>
      <c r="AW40" s="494"/>
      <c r="AX40" s="494"/>
      <c r="AY40" s="494"/>
      <c r="AZ40" s="494"/>
      <c r="BA40" s="494"/>
    </row>
    <row r="41" spans="1:55" ht="13">
      <c r="A41" s="494"/>
      <c r="B41" s="494"/>
      <c r="C41" s="494"/>
      <c r="D41" s="494"/>
      <c r="E41" s="494"/>
      <c r="F41" s="494"/>
      <c r="G41" s="494"/>
      <c r="H41" s="494"/>
      <c r="I41" s="494"/>
      <c r="J41" s="494"/>
      <c r="K41" s="494"/>
      <c r="L41" s="494"/>
      <c r="M41" s="494"/>
      <c r="N41" s="494"/>
      <c r="O41" s="494"/>
      <c r="P41" s="494"/>
      <c r="Q41" s="494"/>
      <c r="R41" s="494"/>
      <c r="S41" s="494"/>
      <c r="T41" s="494"/>
      <c r="U41" s="494"/>
      <c r="V41" s="494"/>
      <c r="W41" s="494"/>
      <c r="X41" s="494"/>
      <c r="Y41" s="494"/>
      <c r="Z41" s="494"/>
      <c r="AA41" s="494"/>
      <c r="AB41" s="494"/>
      <c r="AC41" s="494"/>
      <c r="AD41" s="494"/>
      <c r="AE41" s="494"/>
      <c r="AF41" s="494"/>
      <c r="AG41" s="494"/>
      <c r="AH41" s="494"/>
      <c r="AI41" s="494"/>
      <c r="AJ41" s="494"/>
      <c r="AK41" s="494"/>
      <c r="AL41" s="494"/>
      <c r="AM41" s="494"/>
      <c r="AN41" s="494"/>
      <c r="AO41" s="494"/>
      <c r="AP41" s="494"/>
      <c r="AQ41" s="494"/>
      <c r="AR41" s="494"/>
      <c r="AS41" s="494"/>
      <c r="AT41" s="494"/>
      <c r="AU41" s="494"/>
      <c r="AV41" s="494"/>
      <c r="AW41" s="494"/>
      <c r="AX41" s="494"/>
      <c r="AY41" s="494"/>
      <c r="AZ41" s="494"/>
      <c r="BA41" s="494"/>
    </row>
    <row r="42" spans="1:55" ht="13">
      <c r="A42" s="494"/>
      <c r="B42" s="494"/>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c r="AL42" s="494"/>
      <c r="AM42" s="494"/>
      <c r="AN42" s="494"/>
      <c r="AO42" s="494"/>
      <c r="AP42" s="494"/>
      <c r="AQ42" s="494"/>
      <c r="AR42" s="494"/>
      <c r="AS42" s="494"/>
      <c r="AT42" s="494"/>
      <c r="AU42" s="494"/>
      <c r="AV42" s="494"/>
      <c r="AW42" s="494"/>
      <c r="AX42" s="494"/>
      <c r="AY42" s="494"/>
      <c r="AZ42" s="494"/>
      <c r="BA42" s="494"/>
    </row>
    <row r="43" spans="1:55" ht="13">
      <c r="A43" s="494"/>
      <c r="B43" s="494"/>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c r="AL43" s="494"/>
      <c r="AM43" s="494"/>
      <c r="AN43" s="494"/>
      <c r="AO43" s="494"/>
      <c r="AP43" s="494"/>
      <c r="AQ43" s="494"/>
      <c r="AR43" s="494"/>
      <c r="AS43" s="494"/>
      <c r="AT43" s="494"/>
      <c r="AU43" s="494"/>
      <c r="AV43" s="494"/>
      <c r="AW43" s="494"/>
      <c r="AX43" s="494"/>
      <c r="AY43" s="494"/>
      <c r="AZ43" s="494"/>
      <c r="BA43" s="494"/>
    </row>
    <row r="44" spans="1:55" ht="13">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c r="AL44" s="494"/>
      <c r="AM44" s="494"/>
      <c r="AN44" s="494"/>
      <c r="AO44" s="494"/>
      <c r="AP44" s="494"/>
      <c r="AQ44" s="494"/>
      <c r="AR44" s="494"/>
      <c r="AS44" s="494"/>
      <c r="AT44" s="494"/>
      <c r="AU44" s="494"/>
      <c r="AV44" s="494"/>
      <c r="AW44" s="494"/>
      <c r="AX44" s="494"/>
      <c r="AY44" s="494"/>
      <c r="AZ44" s="494"/>
      <c r="BA44" s="494"/>
    </row>
    <row r="45" spans="1:55" ht="13">
      <c r="A45" s="483"/>
      <c r="B45" s="483"/>
      <c r="C45" s="483"/>
      <c r="D45" s="483"/>
      <c r="E45" s="483"/>
      <c r="F45" s="483"/>
      <c r="G45" s="483"/>
      <c r="H45" s="483"/>
      <c r="I45" s="483"/>
      <c r="J45" s="483"/>
      <c r="K45" s="483"/>
      <c r="L45" s="483"/>
      <c r="M45" s="483"/>
      <c r="N45" s="483"/>
      <c r="O45" s="483"/>
      <c r="P45" s="483"/>
      <c r="Q45" s="483"/>
      <c r="R45" s="483"/>
      <c r="S45" s="483"/>
      <c r="T45" s="483"/>
      <c r="U45" s="483"/>
      <c r="V45" s="483"/>
      <c r="W45" s="483"/>
      <c r="X45" s="483"/>
      <c r="Y45" s="483"/>
      <c r="Z45" s="483"/>
      <c r="AA45" s="483"/>
      <c r="AB45" s="483"/>
      <c r="AC45" s="483"/>
      <c r="AD45" s="483"/>
      <c r="AE45" s="483"/>
      <c r="AF45" s="483"/>
      <c r="AG45" s="483"/>
      <c r="AH45" s="483"/>
      <c r="AI45" s="483"/>
      <c r="AJ45" s="483"/>
      <c r="AK45" s="483"/>
      <c r="AL45" s="483"/>
      <c r="AM45" s="483"/>
      <c r="AN45" s="483"/>
      <c r="AO45" s="483"/>
      <c r="AP45" s="483"/>
      <c r="AQ45" s="483"/>
      <c r="AR45" s="483"/>
      <c r="AS45" s="483"/>
      <c r="AT45" s="483"/>
      <c r="AU45" s="483"/>
      <c r="AV45" s="483"/>
      <c r="AW45" s="483"/>
      <c r="AX45" s="494"/>
      <c r="AY45" s="494"/>
      <c r="AZ45" s="494"/>
      <c r="BA45" s="494"/>
    </row>
    <row r="46" spans="1:55" ht="13">
      <c r="A46" s="483"/>
      <c r="B46" s="483"/>
      <c r="C46" s="483"/>
      <c r="D46" s="483"/>
      <c r="E46" s="483"/>
      <c r="F46" s="483"/>
      <c r="G46" s="483"/>
      <c r="H46" s="483"/>
      <c r="I46" s="483"/>
      <c r="J46" s="483"/>
      <c r="K46" s="483"/>
      <c r="L46" s="483"/>
      <c r="M46" s="483"/>
      <c r="N46" s="483"/>
      <c r="O46" s="483"/>
      <c r="P46" s="483"/>
      <c r="Q46" s="483"/>
      <c r="R46" s="483"/>
      <c r="S46" s="483"/>
      <c r="T46" s="483"/>
      <c r="U46" s="483"/>
      <c r="V46" s="483"/>
      <c r="W46" s="483"/>
      <c r="X46" s="483"/>
      <c r="Y46" s="483"/>
      <c r="Z46" s="483"/>
      <c r="AA46" s="483"/>
      <c r="AB46" s="483"/>
      <c r="AC46" s="483"/>
      <c r="AD46" s="483"/>
      <c r="AE46" s="483"/>
      <c r="AF46" s="483"/>
      <c r="AG46" s="483"/>
      <c r="AH46" s="483"/>
      <c r="AI46" s="483"/>
      <c r="AJ46" s="483"/>
      <c r="AK46" s="483"/>
      <c r="AL46" s="483"/>
      <c r="AM46" s="483"/>
      <c r="AN46" s="483"/>
      <c r="AO46" s="483"/>
      <c r="AP46" s="483"/>
      <c r="AQ46" s="483"/>
      <c r="AR46" s="483"/>
      <c r="AS46" s="483"/>
      <c r="AT46" s="483"/>
      <c r="AU46" s="483"/>
      <c r="AV46" s="483"/>
      <c r="AW46" s="483"/>
      <c r="AX46" s="494"/>
      <c r="AY46" s="494"/>
      <c r="AZ46" s="494"/>
      <c r="BA46" s="494"/>
    </row>
    <row r="47" spans="1:55" ht="27" customHeight="1">
      <c r="A47" s="483"/>
      <c r="B47" s="496"/>
      <c r="C47" s="496"/>
      <c r="D47" s="496"/>
      <c r="E47" s="496"/>
      <c r="F47" s="496"/>
      <c r="G47" s="496"/>
      <c r="H47" s="496"/>
      <c r="I47" s="496"/>
      <c r="J47" s="496"/>
      <c r="K47" s="496"/>
      <c r="L47" s="496"/>
      <c r="M47" s="496"/>
      <c r="N47" s="496"/>
      <c r="O47" s="496"/>
      <c r="P47" s="496"/>
      <c r="Q47" s="496"/>
      <c r="R47" s="496"/>
      <c r="S47" s="496"/>
      <c r="T47" s="496"/>
      <c r="U47" s="496"/>
      <c r="V47" s="496"/>
      <c r="W47" s="496"/>
      <c r="X47" s="496"/>
      <c r="Y47" s="496"/>
      <c r="Z47" s="496"/>
      <c r="AA47" s="496"/>
      <c r="AB47" s="496"/>
      <c r="AC47" s="496"/>
      <c r="AD47" s="496"/>
      <c r="AE47" s="496"/>
      <c r="AF47" s="496"/>
      <c r="AG47" s="496"/>
      <c r="AH47" s="496"/>
      <c r="AI47" s="496"/>
      <c r="AJ47" s="496"/>
      <c r="AK47" s="496"/>
      <c r="AL47" s="496"/>
      <c r="AM47" s="496"/>
      <c r="AN47" s="496"/>
      <c r="AO47" s="496"/>
      <c r="AP47" s="496"/>
      <c r="AQ47" s="496"/>
      <c r="AR47" s="496"/>
      <c r="AS47" s="496"/>
      <c r="AT47" s="496"/>
      <c r="AU47" s="496"/>
      <c r="AV47" s="496"/>
      <c r="AW47" s="496"/>
      <c r="AX47" s="494"/>
      <c r="AY47" s="494"/>
      <c r="AZ47" s="494"/>
      <c r="BA47" s="494"/>
    </row>
    <row r="48" spans="1:55" ht="13">
      <c r="A48" s="483"/>
      <c r="B48" s="496"/>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6"/>
      <c r="AJ48" s="496"/>
      <c r="AK48" s="496"/>
      <c r="AL48" s="496"/>
      <c r="AM48" s="496"/>
      <c r="AN48" s="496"/>
      <c r="AO48" s="496"/>
      <c r="AP48" s="496"/>
      <c r="AQ48" s="496"/>
      <c r="AR48" s="496"/>
      <c r="AS48" s="496"/>
      <c r="AT48" s="496"/>
      <c r="AU48" s="496"/>
      <c r="AV48" s="496"/>
      <c r="AW48" s="496"/>
      <c r="AX48" s="494"/>
      <c r="AY48" s="494"/>
      <c r="AZ48" s="494"/>
      <c r="BA48" s="494"/>
    </row>
    <row r="49" spans="1:53" ht="30" customHeight="1">
      <c r="A49" s="483"/>
      <c r="B49" s="496"/>
      <c r="C49" s="496"/>
      <c r="D49" s="496"/>
      <c r="E49" s="496"/>
      <c r="F49" s="496"/>
      <c r="G49" s="496"/>
      <c r="H49" s="496"/>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6"/>
      <c r="AF49" s="496"/>
      <c r="AG49" s="496"/>
      <c r="AH49" s="496"/>
      <c r="AI49" s="496"/>
      <c r="AJ49" s="496"/>
      <c r="AK49" s="496"/>
      <c r="AL49" s="496"/>
      <c r="AM49" s="496"/>
      <c r="AN49" s="496"/>
      <c r="AO49" s="496"/>
      <c r="AP49" s="496"/>
      <c r="AQ49" s="496"/>
      <c r="AR49" s="496"/>
      <c r="AS49" s="496"/>
      <c r="AT49" s="496"/>
      <c r="AU49" s="496"/>
      <c r="AV49" s="496"/>
      <c r="AW49" s="496"/>
      <c r="AX49" s="494"/>
      <c r="AY49" s="494"/>
      <c r="AZ49" s="494"/>
      <c r="BA49" s="494"/>
    </row>
    <row r="50" spans="1:53" ht="13">
      <c r="A50" s="483"/>
      <c r="B50" s="496"/>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6"/>
      <c r="AG50" s="496"/>
      <c r="AH50" s="496"/>
      <c r="AI50" s="496"/>
      <c r="AJ50" s="496"/>
      <c r="AK50" s="496"/>
      <c r="AL50" s="496"/>
      <c r="AM50" s="496"/>
      <c r="AN50" s="496"/>
      <c r="AO50" s="496"/>
      <c r="AP50" s="496"/>
      <c r="AQ50" s="496"/>
      <c r="AR50" s="496"/>
      <c r="AS50" s="496"/>
      <c r="AT50" s="496"/>
      <c r="AU50" s="496"/>
      <c r="AV50" s="496"/>
      <c r="AW50" s="496"/>
      <c r="AX50" s="494"/>
      <c r="AY50" s="494"/>
      <c r="AZ50" s="494"/>
      <c r="BA50" s="494"/>
    </row>
    <row r="51" spans="1:53" ht="13">
      <c r="A51" s="483"/>
      <c r="B51" s="496"/>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6"/>
      <c r="AG51" s="496"/>
      <c r="AH51" s="496"/>
      <c r="AI51" s="496"/>
      <c r="AJ51" s="496"/>
      <c r="AK51" s="496"/>
      <c r="AL51" s="496"/>
      <c r="AM51" s="496"/>
      <c r="AN51" s="496"/>
      <c r="AO51" s="496"/>
      <c r="AP51" s="496"/>
      <c r="AQ51" s="496"/>
      <c r="AR51" s="496"/>
      <c r="AS51" s="496"/>
      <c r="AT51" s="496"/>
      <c r="AU51" s="496"/>
      <c r="AV51" s="496"/>
      <c r="AW51" s="496"/>
      <c r="AX51" s="494"/>
      <c r="AY51" s="494"/>
      <c r="AZ51" s="494"/>
      <c r="BA51" s="494"/>
    </row>
    <row r="52" spans="1:53" ht="13.4" customHeight="1">
      <c r="A52" s="483"/>
      <c r="B52" s="496"/>
      <c r="C52" s="496"/>
      <c r="D52" s="496"/>
      <c r="E52" s="496"/>
      <c r="F52" s="496"/>
      <c r="G52" s="496"/>
      <c r="H52" s="496"/>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6"/>
      <c r="AG52" s="496"/>
      <c r="AH52" s="496"/>
      <c r="AI52" s="496"/>
      <c r="AJ52" s="496"/>
      <c r="AK52" s="496"/>
      <c r="AL52" s="496"/>
      <c r="AM52" s="496"/>
      <c r="AN52" s="496"/>
      <c r="AO52" s="496"/>
      <c r="AP52" s="496"/>
      <c r="AQ52" s="496"/>
      <c r="AR52" s="496"/>
      <c r="AS52" s="496"/>
      <c r="AT52" s="496"/>
      <c r="AU52" s="496"/>
      <c r="AV52" s="496"/>
      <c r="AW52" s="496"/>
      <c r="AX52" s="494"/>
      <c r="AY52" s="494"/>
      <c r="AZ52" s="494"/>
      <c r="BA52" s="494"/>
    </row>
    <row r="53" spans="1:53" ht="13.4" customHeight="1">
      <c r="A53" s="483"/>
      <c r="B53" s="483"/>
      <c r="C53" s="483"/>
      <c r="D53" s="483"/>
      <c r="E53" s="483"/>
      <c r="F53" s="483"/>
      <c r="G53" s="483"/>
      <c r="H53" s="483"/>
      <c r="I53" s="483"/>
      <c r="J53" s="483"/>
      <c r="K53" s="483"/>
      <c r="L53" s="483"/>
      <c r="M53" s="483"/>
      <c r="N53" s="483"/>
      <c r="O53" s="483"/>
      <c r="P53" s="483"/>
      <c r="Q53" s="483"/>
      <c r="R53" s="483"/>
      <c r="S53" s="483"/>
      <c r="T53" s="483"/>
      <c r="U53" s="483"/>
      <c r="V53" s="483"/>
      <c r="W53" s="483"/>
      <c r="X53" s="483"/>
      <c r="Y53" s="483"/>
      <c r="Z53" s="483"/>
      <c r="AA53" s="483"/>
      <c r="AB53" s="483"/>
      <c r="AC53" s="483"/>
      <c r="AD53" s="483"/>
      <c r="AE53" s="483"/>
      <c r="AF53" s="483"/>
      <c r="AG53" s="483"/>
      <c r="AH53" s="483"/>
      <c r="AI53" s="483"/>
      <c r="AJ53" s="483"/>
      <c r="AK53" s="483"/>
      <c r="AL53" s="483"/>
      <c r="AM53" s="483"/>
      <c r="AN53" s="483"/>
      <c r="AO53" s="483"/>
      <c r="AP53" s="483"/>
      <c r="AQ53" s="483"/>
      <c r="AR53" s="483"/>
      <c r="AS53" s="483"/>
      <c r="AT53" s="483"/>
      <c r="AU53" s="483"/>
      <c r="AV53" s="483"/>
      <c r="AW53" s="483"/>
      <c r="AX53" s="494"/>
      <c r="AY53" s="494"/>
      <c r="AZ53" s="494"/>
      <c r="BA53" s="494"/>
    </row>
    <row r="54" spans="1:53" ht="13.4" customHeight="1">
      <c r="AX54" s="494"/>
      <c r="AY54" s="494"/>
      <c r="AZ54" s="494"/>
      <c r="BA54" s="494"/>
    </row>
    <row r="55" spans="1:53" ht="13">
      <c r="AX55" s="494"/>
      <c r="AY55" s="494"/>
      <c r="AZ55" s="494"/>
      <c r="BA55" s="494"/>
    </row>
    <row r="56" spans="1:53" ht="13">
      <c r="AX56" s="494"/>
      <c r="AY56" s="494"/>
      <c r="AZ56" s="494"/>
      <c r="BA56" s="494"/>
    </row>
    <row r="57" spans="1:53" ht="13">
      <c r="AX57" s="494"/>
      <c r="AY57" s="494"/>
      <c r="AZ57" s="494"/>
      <c r="BA57" s="494"/>
    </row>
    <row r="58" spans="1:53">
      <c r="BA58" s="497"/>
    </row>
    <row r="59" spans="1:53">
      <c r="BA59" s="497"/>
    </row>
    <row r="60" spans="1:53">
      <c r="BA60" s="497"/>
    </row>
    <row r="61" spans="1:53">
      <c r="BA61" s="497"/>
    </row>
    <row r="62" spans="1:53">
      <c r="BA62" s="497"/>
    </row>
    <row r="63" spans="1:53">
      <c r="BA63" s="497"/>
    </row>
    <row r="64" spans="1:53">
      <c r="BA64" s="497"/>
    </row>
    <row r="65" spans="53:53">
      <c r="BA65" s="497"/>
    </row>
  </sheetData>
  <mergeCells count="29">
    <mergeCell ref="A38:D38"/>
    <mergeCell ref="A32:D32"/>
    <mergeCell ref="A33:D33"/>
    <mergeCell ref="A34:D34"/>
    <mergeCell ref="A35:D35"/>
    <mergeCell ref="A36:D36"/>
    <mergeCell ref="A37:D37"/>
    <mergeCell ref="A31:D31"/>
    <mergeCell ref="Q5:T5"/>
    <mergeCell ref="U5:X5"/>
    <mergeCell ref="Y5:AB5"/>
    <mergeCell ref="AC5:AF5"/>
    <mergeCell ref="A28:D28"/>
    <mergeCell ref="A29:D29"/>
    <mergeCell ref="A30:D30"/>
    <mergeCell ref="A1:BA1"/>
    <mergeCell ref="A2:BA2"/>
    <mergeCell ref="A3:BA3"/>
    <mergeCell ref="A4:A5"/>
    <mergeCell ref="B4:B5"/>
    <mergeCell ref="C4:C5"/>
    <mergeCell ref="D4:D5"/>
    <mergeCell ref="E4:E5"/>
    <mergeCell ref="K5:L5"/>
    <mergeCell ref="M5:P5"/>
    <mergeCell ref="AO5:AR5"/>
    <mergeCell ref="AS5:AV5"/>
    <mergeCell ref="AG5:AJ5"/>
    <mergeCell ref="AK5:AN5"/>
  </mergeCells>
  <printOptions horizontalCentered="1"/>
  <pageMargins left="0.19685039370078741" right="0.19685039370078741" top="1.3779527559055118" bottom="0.19685039370078741" header="0.39370078740157483" footer="0"/>
  <pageSetup scale="18" orientation="landscape" r:id="rId1"/>
  <headerFooter scaleWithDoc="0"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36AEA-34CA-4B92-A705-811CEC8B071D}">
  <sheetPr>
    <tabColor theme="5" tint="0.59999389629810485"/>
  </sheetPr>
  <dimension ref="A1:AC67"/>
  <sheetViews>
    <sheetView view="pageBreakPreview" zoomScale="55" zoomScaleNormal="70" zoomScaleSheetLayoutView="55" workbookViewId="0">
      <selection sqref="A1:P1"/>
    </sheetView>
  </sheetViews>
  <sheetFormatPr baseColWidth="10" defaultColWidth="11.453125" defaultRowHeight="12.5"/>
  <cols>
    <col min="1" max="1" width="6.453125" customWidth="1"/>
    <col min="2" max="2" width="61.81640625" customWidth="1"/>
    <col min="3" max="3" width="8.453125" customWidth="1"/>
    <col min="4" max="4" width="11" customWidth="1"/>
    <col min="5" max="10" width="15.54296875" customWidth="1"/>
    <col min="11" max="11" width="25.1796875" customWidth="1"/>
    <col min="12" max="12" width="24" customWidth="1"/>
    <col min="13" max="15" width="22" customWidth="1"/>
    <col min="16" max="16" width="23" bestFit="1" customWidth="1"/>
    <col min="17" max="17" width="20.1796875" style="701" customWidth="1"/>
    <col min="18" max="18" width="25.1796875" style="701" hidden="1" customWidth="1"/>
    <col min="19" max="19" width="23.81640625" style="701" hidden="1" customWidth="1"/>
    <col min="20" max="20" width="21" style="701" customWidth="1"/>
    <col min="21" max="21" width="21" bestFit="1" customWidth="1"/>
    <col min="22" max="22" width="30.81640625" bestFit="1" customWidth="1"/>
    <col min="23" max="23" width="17" bestFit="1" customWidth="1"/>
    <col min="24" max="24" width="52.54296875" bestFit="1" customWidth="1"/>
    <col min="25" max="25" width="49.81640625" bestFit="1" customWidth="1"/>
    <col min="26" max="26" width="53.1796875" hidden="1" customWidth="1"/>
    <col min="27" max="27" width="50.54296875" hidden="1" customWidth="1"/>
    <col min="28" max="28" width="40.453125" hidden="1" customWidth="1"/>
    <col min="29" max="29" width="15.1796875" hidden="1" customWidth="1"/>
  </cols>
  <sheetData>
    <row r="1" spans="1:29" s="45" customFormat="1" ht="30" customHeight="1" thickBot="1">
      <c r="A1" s="1364" t="s">
        <v>747</v>
      </c>
      <c r="B1" s="1365"/>
      <c r="C1" s="1365"/>
      <c r="D1" s="1365"/>
      <c r="E1" s="1365"/>
      <c r="F1" s="1365"/>
      <c r="G1" s="1365"/>
      <c r="H1" s="1365"/>
      <c r="I1" s="1365"/>
      <c r="J1" s="1365"/>
      <c r="K1" s="1365"/>
      <c r="L1" s="1365"/>
      <c r="M1" s="1365"/>
      <c r="N1" s="1365"/>
      <c r="O1" s="1365"/>
      <c r="P1" s="1366"/>
      <c r="Q1" s="982">
        <f>+'PRES GENERAL MR(OXI)'!J43</f>
        <v>0</v>
      </c>
      <c r="R1" s="686"/>
      <c r="S1" s="686"/>
      <c r="T1" s="686"/>
    </row>
    <row r="2" spans="1:29" s="45" customFormat="1" ht="13.5" thickBot="1">
      <c r="A2" s="1367" t="s">
        <v>1007</v>
      </c>
      <c r="B2" s="1368"/>
      <c r="C2" s="1368"/>
      <c r="D2" s="1368"/>
      <c r="E2" s="1368"/>
      <c r="F2" s="1368"/>
      <c r="G2" s="1368"/>
      <c r="H2" s="1368"/>
      <c r="I2" s="1368"/>
      <c r="J2" s="1368"/>
      <c r="K2" s="1368"/>
      <c r="L2" s="1368"/>
      <c r="M2" s="1368"/>
      <c r="N2" s="1368"/>
      <c r="O2" s="1368"/>
      <c r="P2" s="1369"/>
      <c r="Q2" s="686"/>
      <c r="R2" s="686"/>
      <c r="S2" s="686"/>
      <c r="T2" s="686"/>
    </row>
    <row r="3" spans="1:29" s="2" customFormat="1" ht="15" customHeight="1">
      <c r="A3" s="1370" t="s">
        <v>584</v>
      </c>
      <c r="B3" s="1372" t="s">
        <v>1008</v>
      </c>
      <c r="C3" s="1374" t="s">
        <v>259</v>
      </c>
      <c r="D3" s="1376" t="s">
        <v>688</v>
      </c>
      <c r="E3" s="1378" t="s">
        <v>1009</v>
      </c>
      <c r="F3" s="1379"/>
      <c r="G3" s="1379"/>
      <c r="H3" s="1379"/>
      <c r="I3" s="1379"/>
      <c r="J3" s="1380"/>
      <c r="K3" s="1378" t="s">
        <v>1010</v>
      </c>
      <c r="L3" s="1379"/>
      <c r="M3" s="1379"/>
      <c r="N3" s="1379"/>
      <c r="O3" s="1379"/>
      <c r="P3" s="1380"/>
      <c r="Q3" s="687"/>
      <c r="R3" s="687"/>
      <c r="S3" s="687"/>
      <c r="T3" s="686"/>
      <c r="U3" s="45"/>
      <c r="V3" s="687"/>
      <c r="W3" s="687"/>
      <c r="X3" s="687"/>
      <c r="Y3" s="687"/>
      <c r="Z3" s="687"/>
      <c r="AA3" s="687"/>
      <c r="AB3" s="687"/>
      <c r="AC3" s="687"/>
    </row>
    <row r="4" spans="1:29" s="2" customFormat="1" ht="29.5" customHeight="1" thickBot="1">
      <c r="A4" s="1371"/>
      <c r="B4" s="1373"/>
      <c r="C4" s="1375"/>
      <c r="D4" s="1377"/>
      <c r="E4" s="973" t="s">
        <v>749</v>
      </c>
      <c r="F4" s="974" t="s">
        <v>1011</v>
      </c>
      <c r="G4" s="974" t="s">
        <v>1012</v>
      </c>
      <c r="H4" s="977" t="s">
        <v>1013</v>
      </c>
      <c r="I4" s="977" t="s">
        <v>1014</v>
      </c>
      <c r="J4" s="975" t="s">
        <v>1015</v>
      </c>
      <c r="K4" s="976" t="s">
        <v>749</v>
      </c>
      <c r="L4" s="977" t="s">
        <v>1011</v>
      </c>
      <c r="M4" s="977" t="s">
        <v>1012</v>
      </c>
      <c r="N4" s="977" t="s">
        <v>1013</v>
      </c>
      <c r="O4" s="977" t="s">
        <v>1014</v>
      </c>
      <c r="P4" s="978" t="s">
        <v>1016</v>
      </c>
      <c r="Q4" s="687"/>
      <c r="R4" s="687"/>
      <c r="S4" s="687"/>
      <c r="T4" s="686"/>
      <c r="U4" s="45"/>
      <c r="V4" s="687"/>
      <c r="W4" s="687"/>
      <c r="X4" s="687"/>
      <c r="Y4" s="687"/>
      <c r="Z4" s="687"/>
      <c r="AA4" s="687"/>
      <c r="AB4" s="687"/>
      <c r="AC4" s="687"/>
    </row>
    <row r="5" spans="1:29" s="46" customFormat="1" ht="20.149999999999999" customHeight="1" thickBot="1">
      <c r="A5" s="288">
        <v>1</v>
      </c>
      <c r="B5" s="764" t="s">
        <v>1017</v>
      </c>
      <c r="C5" s="765"/>
      <c r="D5" s="765"/>
      <c r="E5" s="765"/>
      <c r="F5" s="765"/>
      <c r="G5" s="765"/>
      <c r="H5" s="765"/>
      <c r="I5" s="765"/>
      <c r="J5" s="765"/>
      <c r="K5" s="1100"/>
      <c r="L5" s="1101">
        <f>+L6*(1+$Q$1)</f>
        <v>315756</v>
      </c>
      <c r="M5" s="1101">
        <f>+M6*(1+$Q$1)</f>
        <v>871122</v>
      </c>
      <c r="N5" s="1101">
        <f>+N6*(1+$Q$1)</f>
        <v>1014300</v>
      </c>
      <c r="O5" s="1101">
        <f>+O6*(1+$Q$1)</f>
        <v>694722</v>
      </c>
      <c r="P5" s="447">
        <f>SUM(L5:O5)</f>
        <v>2895900</v>
      </c>
      <c r="Q5" s="983">
        <f>SUM(K5:O6)</f>
        <v>5791800</v>
      </c>
      <c r="R5" s="687"/>
      <c r="S5" s="687"/>
      <c r="T5" s="686"/>
      <c r="U5" s="45"/>
      <c r="V5" s="687"/>
      <c r="W5" s="687"/>
      <c r="X5" s="687"/>
      <c r="Y5" s="687"/>
      <c r="Z5" s="687"/>
      <c r="AA5" s="687"/>
      <c r="AB5" s="687"/>
      <c r="AC5" s="687"/>
    </row>
    <row r="6" spans="1:29" s="46" customFormat="1" ht="30" customHeight="1" thickBot="1">
      <c r="A6" s="288">
        <v>1</v>
      </c>
      <c r="B6" s="311" t="s">
        <v>1017</v>
      </c>
      <c r="C6" s="228" t="s">
        <v>188</v>
      </c>
      <c r="D6" s="290">
        <f>+USUARIOS!C16</f>
        <v>98</v>
      </c>
      <c r="E6" s="444">
        <f>+'1'!F13</f>
        <v>0</v>
      </c>
      <c r="F6" s="445">
        <f>+'1'!F20</f>
        <v>3222</v>
      </c>
      <c r="G6" s="445">
        <f>+'1'!F27</f>
        <v>8889</v>
      </c>
      <c r="H6" s="445">
        <f>+'1'!F31</f>
        <v>10350</v>
      </c>
      <c r="I6" s="445">
        <f>+'1'!F32</f>
        <v>7089</v>
      </c>
      <c r="J6" s="446">
        <f>SUM(E6:I6)</f>
        <v>29550</v>
      </c>
      <c r="K6" s="1100">
        <f t="shared" ref="K6" si="0">D6*E6</f>
        <v>0</v>
      </c>
      <c r="L6" s="1101">
        <f t="shared" ref="L6" si="1">D6*F6</f>
        <v>315756</v>
      </c>
      <c r="M6" s="1101">
        <f t="shared" ref="M6" si="2">D6*G6</f>
        <v>871122</v>
      </c>
      <c r="N6" s="1101">
        <f>D6*H6</f>
        <v>1014300</v>
      </c>
      <c r="O6" s="1101">
        <f t="shared" ref="O6" si="3">D6*I6</f>
        <v>694722</v>
      </c>
      <c r="P6" s="447">
        <f t="shared" ref="P6:P30" si="4">SUM(L6:O6)</f>
        <v>2895900</v>
      </c>
      <c r="Q6" s="983">
        <f t="shared" ref="Q6:Q31" si="5">SUM(K6:O7)</f>
        <v>2895900</v>
      </c>
      <c r="R6" s="687"/>
      <c r="S6" s="687"/>
      <c r="T6" s="686"/>
      <c r="U6" s="45"/>
      <c r="V6" s="687"/>
      <c r="W6" s="687"/>
      <c r="X6" s="687"/>
      <c r="Y6" s="687"/>
      <c r="Z6" s="687"/>
      <c r="AA6" s="687"/>
      <c r="AB6" s="687"/>
      <c r="AC6" s="687"/>
    </row>
    <row r="7" spans="1:29" s="46" customFormat="1" ht="24" customHeight="1" thickBot="1">
      <c r="A7" s="289">
        <v>2</v>
      </c>
      <c r="B7" s="764" t="s">
        <v>1018</v>
      </c>
      <c r="C7" s="765"/>
      <c r="D7" s="765"/>
      <c r="E7" s="765"/>
      <c r="F7" s="765"/>
      <c r="G7" s="765"/>
      <c r="H7" s="765"/>
      <c r="I7" s="765"/>
      <c r="J7" s="765"/>
      <c r="K7" s="1100">
        <f>SUM(K8:K10)*(1+$Q$1)</f>
        <v>0</v>
      </c>
      <c r="L7" s="1101">
        <f>SUM(L8:L10)*(1+$Q$1)</f>
        <v>0</v>
      </c>
      <c r="M7" s="1101">
        <f>SUM(M8:M10)*(1+$Q$1)</f>
        <v>0</v>
      </c>
      <c r="N7" s="1101">
        <f>SUM(N8:N10)*(1+$Q$1)</f>
        <v>0</v>
      </c>
      <c r="O7" s="1101">
        <f>SUM(O8:O10)*(1+$Q$1)</f>
        <v>0</v>
      </c>
      <c r="P7" s="447">
        <f>SUM(K7:O7)</f>
        <v>0</v>
      </c>
      <c r="Q7" s="983">
        <f>SUM(K7:O7)</f>
        <v>0</v>
      </c>
      <c r="R7" s="687"/>
      <c r="S7" s="687"/>
      <c r="T7" s="686"/>
      <c r="U7" s="45"/>
      <c r="V7" s="687"/>
      <c r="W7" s="687"/>
      <c r="X7" s="687"/>
      <c r="Y7" s="687"/>
      <c r="Z7" s="687"/>
      <c r="AA7" s="687"/>
      <c r="AB7" s="687"/>
      <c r="AC7" s="687"/>
    </row>
    <row r="8" spans="1:29" s="46" customFormat="1" ht="13.5" hidden="1" thickBot="1">
      <c r="A8" s="240">
        <v>2.1</v>
      </c>
      <c r="B8" s="307" t="s">
        <v>1019</v>
      </c>
      <c r="C8" s="228" t="s">
        <v>188</v>
      </c>
      <c r="D8" s="291">
        <f>+Tabla1[[#Totals],[INDIVIDUALES]]</f>
        <v>53</v>
      </c>
      <c r="E8" s="444">
        <f>SUM('PRES. SISFV 2010 W B200'!K6:K13)</f>
        <v>0</v>
      </c>
      <c r="F8" s="444">
        <f>SUM('PRES. SISFV 2010 W B200'!L6:L13)</f>
        <v>0</v>
      </c>
      <c r="G8" s="444">
        <f>SUM('PRES. SISFV 2010 W B200'!M6:M13)</f>
        <v>0</v>
      </c>
      <c r="H8" s="444">
        <f>SUM('PRES. SISFV 2010 W B200'!N6:N13)</f>
        <v>0</v>
      </c>
      <c r="I8" s="444">
        <f>SUM('PRES. SISFV 2010 W B200'!O6:O13)</f>
        <v>0</v>
      </c>
      <c r="J8" s="446">
        <f>SUM(E8:I8)</f>
        <v>0</v>
      </c>
      <c r="K8" s="1100">
        <f t="shared" ref="K8" si="6">D8*E8</f>
        <v>0</v>
      </c>
      <c r="L8" s="1101">
        <f t="shared" ref="L8" si="7">D8*F8</f>
        <v>0</v>
      </c>
      <c r="M8" s="1101">
        <f t="shared" ref="M8" si="8">D8*G8</f>
        <v>0</v>
      </c>
      <c r="N8" s="1101">
        <f>D8*H8</f>
        <v>0</v>
      </c>
      <c r="O8" s="1101">
        <f t="shared" ref="O8" si="9">D8*I8</f>
        <v>0</v>
      </c>
      <c r="P8" s="447">
        <f t="shared" si="4"/>
        <v>0</v>
      </c>
      <c r="Q8" s="983">
        <f t="shared" si="5"/>
        <v>0</v>
      </c>
      <c r="R8" s="687"/>
      <c r="S8" s="687"/>
      <c r="T8" s="686"/>
      <c r="U8" s="45"/>
      <c r="V8" s="687"/>
      <c r="W8" s="687"/>
      <c r="X8" s="687"/>
      <c r="Y8" s="687"/>
      <c r="Z8" s="687"/>
      <c r="AA8" s="687"/>
      <c r="AB8" s="687"/>
      <c r="AC8" s="687"/>
    </row>
    <row r="9" spans="1:29" s="46" customFormat="1" ht="13.5" hidden="1" thickBot="1">
      <c r="A9" s="241">
        <v>2.2000000000000002</v>
      </c>
      <c r="B9" s="308" t="s">
        <v>1020</v>
      </c>
      <c r="C9" s="230" t="s">
        <v>188</v>
      </c>
      <c r="D9" s="291">
        <f>+Tabla1[[#Totals],[INDIVIDUALES]]</f>
        <v>53</v>
      </c>
      <c r="E9" s="448">
        <f>+SUM('PRES. SISFV 2010 W B200'!K15:K16)</f>
        <v>0</v>
      </c>
      <c r="F9" s="448">
        <f>+SUM('PRES. SISFV 2010 W B200'!L15:L16)</f>
        <v>0</v>
      </c>
      <c r="G9" s="448">
        <f>+SUM('PRES. SISFV 2010 W B200'!M15:M16)</f>
        <v>0</v>
      </c>
      <c r="H9" s="448">
        <f>+SUM('PRES. SISFV 2010 W B200'!N15:N16)</f>
        <v>0</v>
      </c>
      <c r="I9" s="448">
        <f>+SUM('PRES. SISFV 2010 W B200'!O15:O16)</f>
        <v>0</v>
      </c>
      <c r="J9" s="450">
        <f>SUM(E9:I9)</f>
        <v>0</v>
      </c>
      <c r="K9" s="1102">
        <f>D9*E9</f>
        <v>0</v>
      </c>
      <c r="L9" s="1103">
        <f>D9*F9</f>
        <v>0</v>
      </c>
      <c r="M9" s="1103">
        <f>D9*G9</f>
        <v>0</v>
      </c>
      <c r="N9" s="1103">
        <f t="shared" ref="N9:N10" si="10">D9*H9</f>
        <v>0</v>
      </c>
      <c r="O9" s="1103">
        <f>D9*I9</f>
        <v>0</v>
      </c>
      <c r="P9" s="447">
        <f t="shared" si="4"/>
        <v>0</v>
      </c>
      <c r="Q9" s="983">
        <f t="shared" si="5"/>
        <v>0</v>
      </c>
      <c r="R9" s="687"/>
      <c r="S9" s="687"/>
      <c r="T9" s="686"/>
      <c r="U9" s="45"/>
      <c r="V9" s="687"/>
      <c r="W9" s="687"/>
      <c r="X9" s="687"/>
      <c r="Y9" s="687"/>
      <c r="Z9" s="687"/>
      <c r="AA9" s="687"/>
      <c r="AB9" s="687"/>
      <c r="AC9" s="687"/>
    </row>
    <row r="10" spans="1:29" s="46" customFormat="1" ht="13.5" hidden="1" thickBot="1">
      <c r="A10" s="241">
        <v>2.2999999999999998</v>
      </c>
      <c r="B10" s="308" t="s">
        <v>1021</v>
      </c>
      <c r="C10" s="230" t="s">
        <v>188</v>
      </c>
      <c r="D10" s="291">
        <f>+Tabla1[[#Totals],[INDIVIDUALES]]</f>
        <v>53</v>
      </c>
      <c r="E10" s="448">
        <f>SUM('PRES. SISFV 2010 W B200'!K18)</f>
        <v>0</v>
      </c>
      <c r="F10" s="448">
        <f>SUM('PRES. SISFV 2010 W B200'!L18)</f>
        <v>0</v>
      </c>
      <c r="G10" s="448">
        <f>SUM('PRES. SISFV 2010 W B200'!M18)</f>
        <v>0</v>
      </c>
      <c r="H10" s="448">
        <f>SUM('PRES. SISFV 2010 W B200'!N18)</f>
        <v>0</v>
      </c>
      <c r="I10" s="448">
        <f>SUM('PRES. SISFV 2010 W B200'!O18)</f>
        <v>0</v>
      </c>
      <c r="J10" s="450">
        <f>SUM(E10:I10)</f>
        <v>0</v>
      </c>
      <c r="K10" s="1102">
        <f t="shared" ref="K10" si="11">D10*E10</f>
        <v>0</v>
      </c>
      <c r="L10" s="1103">
        <f t="shared" ref="L10" si="12">D10*F10</f>
        <v>0</v>
      </c>
      <c r="M10" s="1103">
        <f t="shared" ref="M10" si="13">D10*G10</f>
        <v>0</v>
      </c>
      <c r="N10" s="1103">
        <f t="shared" si="10"/>
        <v>0</v>
      </c>
      <c r="O10" s="1103">
        <f t="shared" ref="O10" si="14">D10*I10</f>
        <v>0</v>
      </c>
      <c r="P10" s="447">
        <f t="shared" si="4"/>
        <v>0</v>
      </c>
      <c r="Q10" s="983">
        <f t="shared" si="5"/>
        <v>0</v>
      </c>
      <c r="R10" s="687"/>
      <c r="S10" s="687"/>
      <c r="T10" s="686"/>
      <c r="U10" s="45"/>
      <c r="V10" s="687"/>
      <c r="W10" s="687"/>
      <c r="X10" s="687"/>
      <c r="Y10" s="687"/>
      <c r="Z10" s="687"/>
      <c r="AA10" s="687"/>
      <c r="AB10" s="687"/>
      <c r="AC10" s="687"/>
    </row>
    <row r="11" spans="1:29" s="46" customFormat="1" ht="25.4" customHeight="1" thickBot="1">
      <c r="A11" s="248">
        <v>3</v>
      </c>
      <c r="B11" s="764" t="s">
        <v>1022</v>
      </c>
      <c r="C11" s="765"/>
      <c r="D11" s="765"/>
      <c r="E11" s="765"/>
      <c r="F11" s="765"/>
      <c r="G11" s="765"/>
      <c r="H11" s="765"/>
      <c r="I11" s="765"/>
      <c r="J11" s="765"/>
      <c r="K11" s="1100">
        <f>SUM(K12:K16)*(1+$Q$1)</f>
        <v>0</v>
      </c>
      <c r="L11" s="1101">
        <f>SUM(L12:L16)*(1+$Q$1)</f>
        <v>0</v>
      </c>
      <c r="M11" s="1101">
        <f>SUM(M12:M16)*(1+$Q$1)</f>
        <v>0</v>
      </c>
      <c r="N11" s="1101">
        <f>SUM(N12:N16)*(1+$Q$1)</f>
        <v>0</v>
      </c>
      <c r="O11" s="1101">
        <f>SUM(O12:O16)*(1+$Q$1)</f>
        <v>0</v>
      </c>
      <c r="P11" s="447">
        <f>SUM(K11:O11)</f>
        <v>0</v>
      </c>
      <c r="Q11" s="983">
        <f t="shared" si="5"/>
        <v>0</v>
      </c>
      <c r="R11" s="687"/>
      <c r="S11" s="687"/>
      <c r="T11" s="686"/>
      <c r="U11" s="45"/>
      <c r="V11" s="687"/>
      <c r="W11" s="687"/>
      <c r="X11" s="687"/>
      <c r="Y11" s="687"/>
      <c r="Z11" s="687"/>
      <c r="AA11" s="687"/>
      <c r="AB11" s="687"/>
      <c r="AC11" s="687"/>
    </row>
    <row r="12" spans="1:29" s="46" customFormat="1" ht="42.65" hidden="1" customHeight="1" thickBot="1">
      <c r="A12" s="241" t="s">
        <v>1023</v>
      </c>
      <c r="B12" s="307" t="s">
        <v>1024</v>
      </c>
      <c r="C12" s="230" t="s">
        <v>188</v>
      </c>
      <c r="D12" s="291">
        <v>2</v>
      </c>
      <c r="E12" s="448">
        <f>+SUM('PRES MR 5 KW'!K6:K18)</f>
        <v>0</v>
      </c>
      <c r="F12" s="449">
        <f>+SUM('PRES MR 5 KW'!L6:L18)</f>
        <v>0</v>
      </c>
      <c r="G12" s="449">
        <f>+SUM('PRES MR 5 KW'!M6:M18)</f>
        <v>0</v>
      </c>
      <c r="H12" s="449">
        <f>+SUM('PRES MR 5 KW'!N6:N18)</f>
        <v>0</v>
      </c>
      <c r="I12" s="449">
        <f>+SUM('PRES MR 5 KW'!O6:O18)</f>
        <v>0</v>
      </c>
      <c r="J12" s="446">
        <f>SUM(E12:I12)</f>
        <v>0</v>
      </c>
      <c r="K12" s="1102">
        <f>D12*E12</f>
        <v>0</v>
      </c>
      <c r="L12" s="1103">
        <f t="shared" ref="L12:L16" si="15">D12*F12</f>
        <v>0</v>
      </c>
      <c r="M12" s="1103">
        <f t="shared" ref="M12:M16" si="16">D12*G12</f>
        <v>0</v>
      </c>
      <c r="N12" s="1103">
        <f>+D12*H12</f>
        <v>0</v>
      </c>
      <c r="O12" s="1103">
        <f t="shared" ref="O12:O16" si="17">D12*I12</f>
        <v>0</v>
      </c>
      <c r="P12" s="447">
        <f t="shared" si="4"/>
        <v>0</v>
      </c>
      <c r="Q12" s="983">
        <f t="shared" si="5"/>
        <v>0</v>
      </c>
      <c r="R12" s="687"/>
      <c r="S12" s="687"/>
      <c r="T12" s="686"/>
      <c r="U12" s="45"/>
      <c r="V12" s="687"/>
      <c r="W12" s="687"/>
      <c r="X12" s="687"/>
      <c r="Y12" s="687"/>
      <c r="Z12" s="687"/>
      <c r="AA12" s="687"/>
      <c r="AB12" s="687"/>
      <c r="AC12" s="687"/>
    </row>
    <row r="13" spans="1:29" s="46" customFormat="1" ht="13.5" hidden="1" thickBot="1">
      <c r="A13" s="241" t="s">
        <v>1025</v>
      </c>
      <c r="B13" s="308" t="s">
        <v>1026</v>
      </c>
      <c r="C13" s="230" t="s">
        <v>188</v>
      </c>
      <c r="D13" s="291">
        <f>+D12</f>
        <v>2</v>
      </c>
      <c r="E13" s="448">
        <f>+SUM('PRES MR 5 KW'!K20:K29)</f>
        <v>0</v>
      </c>
      <c r="F13" s="448">
        <f>+SUM('PRES MR 5 KW'!L20:L29)</f>
        <v>0</v>
      </c>
      <c r="G13" s="448">
        <f>+SUM('PRES MR 5 KW'!M20:M29)</f>
        <v>0</v>
      </c>
      <c r="H13" s="448">
        <f>+SUM('PRES MR 5 KW'!N20:N29)</f>
        <v>0</v>
      </c>
      <c r="I13" s="448">
        <f>+SUM('PRES MR 5 KW'!O20:O29)</f>
        <v>0</v>
      </c>
      <c r="J13" s="450">
        <f>SUM(E13:I13)</f>
        <v>0</v>
      </c>
      <c r="K13" s="1102">
        <f t="shared" ref="K13:K16" si="18">D13*E13</f>
        <v>0</v>
      </c>
      <c r="L13" s="1103">
        <f t="shared" si="15"/>
        <v>0</v>
      </c>
      <c r="M13" s="1103">
        <f t="shared" si="16"/>
        <v>0</v>
      </c>
      <c r="N13" s="1103">
        <f>+H13*D13</f>
        <v>0</v>
      </c>
      <c r="O13" s="1103">
        <f t="shared" si="17"/>
        <v>0</v>
      </c>
      <c r="P13" s="447">
        <f t="shared" si="4"/>
        <v>0</v>
      </c>
      <c r="Q13" s="983">
        <f t="shared" si="5"/>
        <v>0</v>
      </c>
      <c r="R13" s="687"/>
      <c r="S13" s="687"/>
      <c r="T13" s="686"/>
      <c r="U13" s="45"/>
      <c r="V13" s="687"/>
      <c r="W13" s="687"/>
      <c r="X13" s="687"/>
      <c r="Y13" s="687"/>
      <c r="Z13" s="687"/>
      <c r="AA13" s="687"/>
      <c r="AB13" s="687"/>
      <c r="AC13" s="687"/>
    </row>
    <row r="14" spans="1:29" s="46" customFormat="1" ht="13.5" hidden="1" thickBot="1">
      <c r="A14" s="241" t="s">
        <v>1027</v>
      </c>
      <c r="B14" s="308" t="s">
        <v>1021</v>
      </c>
      <c r="C14" s="230" t="s">
        <v>188</v>
      </c>
      <c r="D14" s="291">
        <v>13</v>
      </c>
      <c r="E14" s="448">
        <f>+SUM('PRES MR 5 KW'!K31)</f>
        <v>0</v>
      </c>
      <c r="F14" s="449">
        <f>+SUM('PRES MR 5 KW'!L31)</f>
        <v>0</v>
      </c>
      <c r="G14" s="449">
        <f>+SUM('PRES MR 5 KW'!M31)</f>
        <v>0</v>
      </c>
      <c r="H14" s="449">
        <f>+SUM('PRES MR 5 KW'!N31)</f>
        <v>0</v>
      </c>
      <c r="I14" s="449">
        <f>+SUM('PRES MR 5 KW'!O31)</f>
        <v>0</v>
      </c>
      <c r="J14" s="450">
        <f t="shared" ref="J14:J16" si="19">SUM(E14:I14)</f>
        <v>0</v>
      </c>
      <c r="K14" s="1102">
        <f t="shared" si="18"/>
        <v>0</v>
      </c>
      <c r="L14" s="1103">
        <f t="shared" si="15"/>
        <v>0</v>
      </c>
      <c r="M14" s="1103">
        <f t="shared" si="16"/>
        <v>0</v>
      </c>
      <c r="N14" s="1103">
        <f t="shared" ref="N14:N16" si="20">+H14*D14</f>
        <v>0</v>
      </c>
      <c r="O14" s="1103">
        <f t="shared" si="17"/>
        <v>0</v>
      </c>
      <c r="P14" s="447">
        <f t="shared" si="4"/>
        <v>0</v>
      </c>
      <c r="Q14" s="983">
        <f t="shared" si="5"/>
        <v>0</v>
      </c>
      <c r="R14" s="687"/>
      <c r="S14" s="687"/>
      <c r="T14" s="686"/>
      <c r="U14" s="45"/>
      <c r="V14" s="687"/>
      <c r="W14" s="687"/>
      <c r="X14" s="687"/>
      <c r="Y14" s="687"/>
      <c r="Z14" s="687"/>
      <c r="AA14" s="687"/>
      <c r="AB14" s="687"/>
      <c r="AC14" s="687"/>
    </row>
    <row r="15" spans="1:29" s="46" customFormat="1" ht="13.5" hidden="1" thickBot="1">
      <c r="A15" s="241" t="s">
        <v>1028</v>
      </c>
      <c r="B15" s="309" t="s">
        <v>1029</v>
      </c>
      <c r="C15" s="230" t="s">
        <v>188</v>
      </c>
      <c r="D15" s="291">
        <f>+D14</f>
        <v>13</v>
      </c>
      <c r="E15" s="448">
        <f>+SUM('PRES MR 5 KW'!K33:K34)</f>
        <v>0</v>
      </c>
      <c r="F15" s="449">
        <f>+SUM('PRES MR 5 KW'!L33:L34)</f>
        <v>0</v>
      </c>
      <c r="G15" s="449">
        <f>+SUM('PRES MR 5 KW'!M33:M34)</f>
        <v>0</v>
      </c>
      <c r="H15" s="449">
        <f>+SUM('PRES MR 5 KW'!N33:N34)</f>
        <v>0</v>
      </c>
      <c r="I15" s="449">
        <f>+SUM('PRES MR 5 KW'!O33:O34)</f>
        <v>0</v>
      </c>
      <c r="J15" s="450">
        <f t="shared" si="19"/>
        <v>0</v>
      </c>
      <c r="K15" s="1102">
        <f t="shared" si="18"/>
        <v>0</v>
      </c>
      <c r="L15" s="1103">
        <f t="shared" si="15"/>
        <v>0</v>
      </c>
      <c r="M15" s="1103">
        <f t="shared" si="16"/>
        <v>0</v>
      </c>
      <c r="N15" s="1103">
        <f t="shared" si="20"/>
        <v>0</v>
      </c>
      <c r="O15" s="1103">
        <f t="shared" si="17"/>
        <v>0</v>
      </c>
      <c r="P15" s="447">
        <f t="shared" si="4"/>
        <v>0</v>
      </c>
      <c r="Q15" s="983">
        <f t="shared" si="5"/>
        <v>0</v>
      </c>
      <c r="R15" s="687"/>
      <c r="S15" s="687"/>
      <c r="T15" s="686"/>
      <c r="U15" s="45"/>
      <c r="V15" s="687"/>
      <c r="W15" s="687"/>
      <c r="X15" s="687"/>
      <c r="Y15" s="687"/>
      <c r="Z15" s="687"/>
      <c r="AA15" s="687"/>
      <c r="AB15" s="687"/>
      <c r="AC15" s="687"/>
    </row>
    <row r="16" spans="1:29" s="46" customFormat="1" ht="13.5" hidden="1" thickBot="1">
      <c r="A16" s="241" t="s">
        <v>1030</v>
      </c>
      <c r="B16" s="310" t="s">
        <v>354</v>
      </c>
      <c r="C16" s="230" t="s">
        <v>188</v>
      </c>
      <c r="D16" s="291">
        <f>+D12</f>
        <v>2</v>
      </c>
      <c r="E16" s="448">
        <f>+SUM('PRES MR 5 KW'!K36:K41)</f>
        <v>0</v>
      </c>
      <c r="F16" s="449">
        <f>+SUM('PRES MR 5 KW'!L36:L41)</f>
        <v>0</v>
      </c>
      <c r="G16" s="449">
        <f>+SUM('PRES MR 5 KW'!M36:M41)</f>
        <v>0</v>
      </c>
      <c r="H16" s="449">
        <f>+SUM('PRES MR 5 KW'!N36:N41)</f>
        <v>0</v>
      </c>
      <c r="I16" s="449">
        <f>+SUM('PRES MR 5 KW'!O36:O41)</f>
        <v>0</v>
      </c>
      <c r="J16" s="450">
        <f t="shared" si="19"/>
        <v>0</v>
      </c>
      <c r="K16" s="1102">
        <f t="shared" si="18"/>
        <v>0</v>
      </c>
      <c r="L16" s="1103">
        <f t="shared" si="15"/>
        <v>0</v>
      </c>
      <c r="M16" s="1103">
        <f t="shared" si="16"/>
        <v>0</v>
      </c>
      <c r="N16" s="1103">
        <f t="shared" si="20"/>
        <v>0</v>
      </c>
      <c r="O16" s="1103">
        <f t="shared" si="17"/>
        <v>0</v>
      </c>
      <c r="P16" s="447">
        <f t="shared" si="4"/>
        <v>0</v>
      </c>
      <c r="Q16" s="983">
        <f t="shared" si="5"/>
        <v>0</v>
      </c>
      <c r="R16" s="687"/>
      <c r="S16" s="687"/>
      <c r="T16" s="686"/>
      <c r="U16" s="45"/>
      <c r="V16" s="687"/>
      <c r="W16" s="687"/>
      <c r="X16" s="687"/>
      <c r="Y16" s="687"/>
      <c r="Z16" s="687"/>
      <c r="AA16" s="687"/>
      <c r="AB16" s="687"/>
      <c r="AC16" s="687"/>
    </row>
    <row r="17" spans="1:29" s="46" customFormat="1" ht="13.5" thickBot="1">
      <c r="A17" s="289">
        <v>4</v>
      </c>
      <c r="B17" s="764" t="s">
        <v>1031</v>
      </c>
      <c r="C17" s="765"/>
      <c r="D17" s="765"/>
      <c r="E17" s="765"/>
      <c r="F17" s="765"/>
      <c r="G17" s="765"/>
      <c r="H17" s="765"/>
      <c r="I17" s="765"/>
      <c r="J17" s="765"/>
      <c r="K17" s="1100">
        <f>SUM(K18:K22)*(1+$Q$1)</f>
        <v>0</v>
      </c>
      <c r="L17" s="1101">
        <f>SUM(L18:L22)*(1+$Q$1)</f>
        <v>0</v>
      </c>
      <c r="M17" s="1101">
        <f>SUM(M18:M22)*(1+$Q$1)</f>
        <v>0</v>
      </c>
      <c r="N17" s="1101">
        <f>SUM(N18:N22)*(1+$Q$1)</f>
        <v>0</v>
      </c>
      <c r="O17" s="1101">
        <f>SUM(O18:O22)*(1+$Q$1)</f>
        <v>0</v>
      </c>
      <c r="P17" s="447">
        <f>SUM(K17:O17)</f>
        <v>0</v>
      </c>
      <c r="Q17" s="983">
        <f t="shared" si="5"/>
        <v>0</v>
      </c>
      <c r="R17" s="687"/>
      <c r="S17" s="687"/>
      <c r="T17" s="686"/>
      <c r="U17" s="45"/>
      <c r="V17" s="687"/>
      <c r="W17" s="687"/>
      <c r="X17" s="687"/>
      <c r="Y17" s="687"/>
      <c r="Z17" s="687"/>
      <c r="AA17" s="687"/>
      <c r="AB17" s="687"/>
      <c r="AC17" s="687"/>
    </row>
    <row r="18" spans="1:29" s="46" customFormat="1" ht="13.5" hidden="1" thickBot="1">
      <c r="A18" s="241" t="s">
        <v>1032</v>
      </c>
      <c r="B18" s="307" t="s">
        <v>1033</v>
      </c>
      <c r="C18" s="230" t="s">
        <v>188</v>
      </c>
      <c r="D18" s="291">
        <v>1</v>
      </c>
      <c r="E18" s="448">
        <f>+SUM('PRES MR 10 KW'!K6:K18)</f>
        <v>0</v>
      </c>
      <c r="F18" s="449">
        <f>+SUM('PRES MR 10 KW'!L6:L18)</f>
        <v>0</v>
      </c>
      <c r="G18" s="449">
        <f>+SUM('PRES MR 10 KW'!M6:M18)</f>
        <v>0</v>
      </c>
      <c r="H18" s="449">
        <f>+SUM('PRES MR 10 KW'!N6:N18)</f>
        <v>0</v>
      </c>
      <c r="I18" s="449">
        <f>+SUM('PRES MR 10 KW'!O6:O18)</f>
        <v>0</v>
      </c>
      <c r="J18" s="446">
        <f>SUM(E18:I18)</f>
        <v>0</v>
      </c>
      <c r="K18" s="1102">
        <f t="shared" ref="K18:K22" si="21">D18*E18</f>
        <v>0</v>
      </c>
      <c r="L18" s="1103">
        <f t="shared" ref="L18:L22" si="22">D18*F18</f>
        <v>0</v>
      </c>
      <c r="M18" s="1103">
        <f t="shared" ref="M18:M22" si="23">D18*G18</f>
        <v>0</v>
      </c>
      <c r="N18" s="1103">
        <f>+D18*H18</f>
        <v>0</v>
      </c>
      <c r="O18" s="1103">
        <f t="shared" ref="O18:O22" si="24">D18*I18</f>
        <v>0</v>
      </c>
      <c r="P18" s="447">
        <f t="shared" si="4"/>
        <v>0</v>
      </c>
      <c r="Q18" s="983">
        <f t="shared" si="5"/>
        <v>0</v>
      </c>
      <c r="R18" s="687"/>
      <c r="S18" s="687"/>
      <c r="T18" s="686"/>
      <c r="U18" s="45"/>
      <c r="V18" s="687"/>
      <c r="W18" s="687"/>
      <c r="X18" s="687"/>
      <c r="Y18" s="687"/>
      <c r="Z18" s="687"/>
      <c r="AA18" s="687"/>
      <c r="AB18" s="687"/>
      <c r="AC18" s="687"/>
    </row>
    <row r="19" spans="1:29" s="46" customFormat="1" ht="13.5" hidden="1" thickBot="1">
      <c r="A19" s="241" t="s">
        <v>1034</v>
      </c>
      <c r="B19" s="308" t="s">
        <v>1035</v>
      </c>
      <c r="C19" s="230" t="s">
        <v>188</v>
      </c>
      <c r="D19" s="291">
        <f>+D18</f>
        <v>1</v>
      </c>
      <c r="E19" s="448">
        <f>+SUM('PRES MR 10 KW'!K20:K29)</f>
        <v>0</v>
      </c>
      <c r="F19" s="448">
        <f>+SUM('PRES MR 10 KW'!L20:L29)</f>
        <v>0</v>
      </c>
      <c r="G19" s="448">
        <f>+SUM('PRES MR 10 KW'!M20:M29)</f>
        <v>0</v>
      </c>
      <c r="H19" s="448">
        <f>+SUM('PRES MR 10 KW'!N20:N29)</f>
        <v>0</v>
      </c>
      <c r="I19" s="448">
        <f>+SUM('PRES MR 10 KW'!O20:O29)</f>
        <v>0</v>
      </c>
      <c r="J19" s="450">
        <f>SUM(E19:I19)</f>
        <v>0</v>
      </c>
      <c r="K19" s="1102">
        <f t="shared" si="21"/>
        <v>0</v>
      </c>
      <c r="L19" s="1103">
        <f t="shared" si="22"/>
        <v>0</v>
      </c>
      <c r="M19" s="1103">
        <f t="shared" si="23"/>
        <v>0</v>
      </c>
      <c r="N19" s="1103">
        <f>+H19*D19</f>
        <v>0</v>
      </c>
      <c r="O19" s="1103">
        <f t="shared" si="24"/>
        <v>0</v>
      </c>
      <c r="P19" s="447">
        <f t="shared" si="4"/>
        <v>0</v>
      </c>
      <c r="Q19" s="983">
        <f t="shared" si="5"/>
        <v>0</v>
      </c>
      <c r="R19" s="687"/>
      <c r="S19" s="687"/>
      <c r="T19" s="686"/>
      <c r="U19" s="45"/>
      <c r="V19" s="687"/>
      <c r="W19" s="687"/>
      <c r="X19" s="687"/>
      <c r="Y19" s="687"/>
      <c r="Z19" s="687"/>
      <c r="AA19" s="687"/>
      <c r="AB19" s="687"/>
      <c r="AC19" s="687"/>
    </row>
    <row r="20" spans="1:29" s="46" customFormat="1" ht="13.5" hidden="1" thickBot="1">
      <c r="A20" s="241" t="s">
        <v>1036</v>
      </c>
      <c r="B20" s="308" t="s">
        <v>1021</v>
      </c>
      <c r="C20" s="230" t="s">
        <v>188</v>
      </c>
      <c r="D20" s="291">
        <v>15</v>
      </c>
      <c r="E20" s="452">
        <f>+'PRES MR 10 KW'!K31</f>
        <v>0</v>
      </c>
      <c r="F20" s="449">
        <f>+'PRES MR 10 KW'!L31</f>
        <v>0</v>
      </c>
      <c r="G20" s="449">
        <f>+'PRES MR 10 KW'!M31</f>
        <v>0</v>
      </c>
      <c r="H20" s="449">
        <f>+'PRES MR 10 KW'!N31</f>
        <v>0</v>
      </c>
      <c r="I20" s="449">
        <f>+'PRES MR 10 KW'!O31</f>
        <v>0</v>
      </c>
      <c r="J20" s="450">
        <f t="shared" ref="J20:J22" si="25">SUM(E20:I20)</f>
        <v>0</v>
      </c>
      <c r="K20" s="1102">
        <f t="shared" si="21"/>
        <v>0</v>
      </c>
      <c r="L20" s="1103">
        <f t="shared" si="22"/>
        <v>0</v>
      </c>
      <c r="M20" s="1103">
        <f t="shared" si="23"/>
        <v>0</v>
      </c>
      <c r="N20" s="1103">
        <f>+D20*H20</f>
        <v>0</v>
      </c>
      <c r="O20" s="1103">
        <f t="shared" si="24"/>
        <v>0</v>
      </c>
      <c r="P20" s="447">
        <f t="shared" si="4"/>
        <v>0</v>
      </c>
      <c r="Q20" s="983">
        <f t="shared" si="5"/>
        <v>0</v>
      </c>
      <c r="R20" s="687"/>
      <c r="S20" s="687"/>
      <c r="T20" s="686"/>
      <c r="U20" s="45"/>
      <c r="V20" s="687"/>
      <c r="W20" s="687"/>
      <c r="X20" s="687"/>
      <c r="Y20" s="687"/>
      <c r="Z20" s="687"/>
      <c r="AA20" s="687"/>
      <c r="AB20" s="687"/>
      <c r="AC20" s="687"/>
    </row>
    <row r="21" spans="1:29" s="46" customFormat="1" ht="13.5" hidden="1" thickBot="1">
      <c r="A21" s="241" t="s">
        <v>1037</v>
      </c>
      <c r="B21" s="309" t="s">
        <v>1029</v>
      </c>
      <c r="C21" s="230" t="s">
        <v>188</v>
      </c>
      <c r="D21" s="291">
        <f>+D20</f>
        <v>15</v>
      </c>
      <c r="E21" s="448">
        <f>+SUM('PRES MR 10 KW'!K33:K34)</f>
        <v>0</v>
      </c>
      <c r="F21" s="449">
        <f>+SUM('PRES MR 10 KW'!L33:L34)</f>
        <v>0</v>
      </c>
      <c r="G21" s="449">
        <f>+SUM('PRES MR 10 KW'!M33:M34)</f>
        <v>0</v>
      </c>
      <c r="H21" s="449">
        <f>+SUM('PRES MR 10 KW'!N33:N34)</f>
        <v>0</v>
      </c>
      <c r="I21" s="449">
        <f>+SUM('PRES MR 10 KW'!O33:O34)</f>
        <v>0</v>
      </c>
      <c r="J21" s="450">
        <f t="shared" si="25"/>
        <v>0</v>
      </c>
      <c r="K21" s="1102">
        <f t="shared" si="21"/>
        <v>0</v>
      </c>
      <c r="L21" s="1103">
        <f t="shared" si="22"/>
        <v>0</v>
      </c>
      <c r="M21" s="1103">
        <f t="shared" si="23"/>
        <v>0</v>
      </c>
      <c r="N21" s="1103">
        <f t="shared" ref="N21" si="26">+H21*D21</f>
        <v>0</v>
      </c>
      <c r="O21" s="1103">
        <f t="shared" si="24"/>
        <v>0</v>
      </c>
      <c r="P21" s="447">
        <f t="shared" si="4"/>
        <v>0</v>
      </c>
      <c r="Q21" s="983">
        <f t="shared" si="5"/>
        <v>0</v>
      </c>
      <c r="R21" s="687"/>
      <c r="S21" s="687"/>
      <c r="T21" s="686"/>
      <c r="U21" s="45"/>
      <c r="V21" s="687"/>
      <c r="W21" s="687"/>
      <c r="X21" s="687"/>
      <c r="Y21" s="687"/>
      <c r="Z21" s="687"/>
      <c r="AA21" s="687"/>
      <c r="AB21" s="687"/>
      <c r="AC21" s="687"/>
    </row>
    <row r="22" spans="1:29" s="46" customFormat="1" ht="13.5" hidden="1" thickBot="1">
      <c r="A22" s="241" t="s">
        <v>1038</v>
      </c>
      <c r="B22" s="310" t="s">
        <v>354</v>
      </c>
      <c r="C22" s="230" t="s">
        <v>188</v>
      </c>
      <c r="D22" s="291">
        <f>+D18</f>
        <v>1</v>
      </c>
      <c r="E22" s="448">
        <f>+SUM('PRES MR 10 KW'!K36:K41)</f>
        <v>0</v>
      </c>
      <c r="F22" s="449">
        <f>+SUM('PRES MR 10 KW'!L36:L41)</f>
        <v>0</v>
      </c>
      <c r="G22" s="449">
        <f>+SUM('PRES MR 10 KW'!M36:M41)</f>
        <v>0</v>
      </c>
      <c r="H22" s="449">
        <f>+SUM('PRES MR 10 KW'!N36:N41)</f>
        <v>0</v>
      </c>
      <c r="I22" s="449">
        <f>+SUM('PRES MR 10 KW'!O36:O41)</f>
        <v>0</v>
      </c>
      <c r="J22" s="450">
        <f t="shared" si="25"/>
        <v>0</v>
      </c>
      <c r="K22" s="1102">
        <f t="shared" si="21"/>
        <v>0</v>
      </c>
      <c r="L22" s="1103">
        <f t="shared" si="22"/>
        <v>0</v>
      </c>
      <c r="M22" s="1103">
        <f t="shared" si="23"/>
        <v>0</v>
      </c>
      <c r="N22" s="1103">
        <f t="shared" ref="N22" si="27">+D22*H22</f>
        <v>0</v>
      </c>
      <c r="O22" s="1103">
        <f t="shared" si="24"/>
        <v>0</v>
      </c>
      <c r="P22" s="447">
        <f t="shared" si="4"/>
        <v>0</v>
      </c>
      <c r="Q22" s="983">
        <f t="shared" si="5"/>
        <v>0</v>
      </c>
      <c r="R22" s="687"/>
      <c r="S22" s="687"/>
      <c r="T22" s="686"/>
      <c r="U22" s="45"/>
      <c r="V22" s="687"/>
      <c r="W22" s="687"/>
      <c r="X22" s="687"/>
      <c r="Y22" s="687"/>
      <c r="Z22" s="687"/>
      <c r="AA22" s="687"/>
      <c r="AB22" s="687"/>
      <c r="AC22" s="687"/>
    </row>
    <row r="23" spans="1:29" s="46" customFormat="1" ht="30" customHeight="1" thickBot="1">
      <c r="A23" s="289">
        <v>5</v>
      </c>
      <c r="B23" s="764" t="s">
        <v>1039</v>
      </c>
      <c r="C23" s="765"/>
      <c r="D23" s="765"/>
      <c r="E23" s="765"/>
      <c r="F23" s="765"/>
      <c r="G23" s="765"/>
      <c r="H23" s="765"/>
      <c r="I23" s="765"/>
      <c r="J23" s="765"/>
      <c r="K23" s="1100">
        <f>SUM(K24:K28)*(1+$Q$1)</f>
        <v>0</v>
      </c>
      <c r="L23" s="1101">
        <f>SUM(L24:L28)*(1+$Q$1)</f>
        <v>0</v>
      </c>
      <c r="M23" s="1101">
        <f>SUM(M24:M28)*(1+$Q$1)</f>
        <v>0</v>
      </c>
      <c r="N23" s="1101">
        <f>SUM(N24:N28)*(1+$Q$1)</f>
        <v>0</v>
      </c>
      <c r="O23" s="1101">
        <f>SUM(O24:O28)*(1+$Q$1)</f>
        <v>0</v>
      </c>
      <c r="P23" s="447">
        <f>SUM(K23:O23)</f>
        <v>0</v>
      </c>
      <c r="Q23" s="983">
        <f t="shared" si="5"/>
        <v>0</v>
      </c>
      <c r="R23" s="687"/>
      <c r="S23" s="687"/>
      <c r="T23" s="686"/>
      <c r="U23" s="45"/>
      <c r="V23" s="687"/>
      <c r="W23" s="687"/>
      <c r="X23" s="687"/>
      <c r="Y23" s="687"/>
      <c r="Z23" s="687"/>
      <c r="AA23" s="687"/>
      <c r="AB23" s="687"/>
      <c r="AC23" s="687"/>
    </row>
    <row r="24" spans="1:29" s="46" customFormat="1" ht="13.5" hidden="1" thickBot="1">
      <c r="A24" s="241" t="s">
        <v>1040</v>
      </c>
      <c r="B24" s="307" t="s">
        <v>1041</v>
      </c>
      <c r="C24" s="230" t="s">
        <v>188</v>
      </c>
      <c r="D24" s="291">
        <v>1</v>
      </c>
      <c r="E24" s="448">
        <f>+SUM('PRES MR 15 KW'!K6:K18)</f>
        <v>0</v>
      </c>
      <c r="F24" s="449">
        <f>+SUM('PRES MR 15 KW'!L6:L18)</f>
        <v>0</v>
      </c>
      <c r="G24" s="449">
        <f>+SUM('PRES MR 15 KW'!M6:M18)</f>
        <v>0</v>
      </c>
      <c r="H24" s="449">
        <f>+SUM('PRES MR 15 KW'!N6:N18)</f>
        <v>0</v>
      </c>
      <c r="I24" s="449">
        <f>+SUM('PRES MR 15 KW'!O6:O18)</f>
        <v>0</v>
      </c>
      <c r="J24" s="446">
        <f>SUM(E24:I24)</f>
        <v>0</v>
      </c>
      <c r="K24" s="1102">
        <f t="shared" ref="K24:K26" si="28">D24*E24</f>
        <v>0</v>
      </c>
      <c r="L24" s="1103">
        <f t="shared" ref="L24:L27" si="29">D24*F24</f>
        <v>0</v>
      </c>
      <c r="M24" s="1103">
        <f t="shared" ref="M24:M27" si="30">D24*G24</f>
        <v>0</v>
      </c>
      <c r="N24" s="1103">
        <f>+D24*H24</f>
        <v>0</v>
      </c>
      <c r="O24" s="1103">
        <f t="shared" ref="O24:O27" si="31">D24*I24</f>
        <v>0</v>
      </c>
      <c r="P24" s="447">
        <f t="shared" si="4"/>
        <v>0</v>
      </c>
      <c r="Q24" s="983">
        <f t="shared" si="5"/>
        <v>0</v>
      </c>
      <c r="R24" s="687"/>
      <c r="S24" s="687"/>
      <c r="T24" s="686"/>
      <c r="U24" s="45"/>
      <c r="V24" s="687"/>
      <c r="W24" s="687"/>
      <c r="X24" s="687"/>
      <c r="Y24" s="687"/>
      <c r="Z24" s="687"/>
      <c r="AA24" s="687"/>
      <c r="AB24" s="687"/>
      <c r="AC24" s="687"/>
    </row>
    <row r="25" spans="1:29" s="46" customFormat="1" ht="13.5" hidden="1" thickBot="1">
      <c r="A25" s="241" t="s">
        <v>1042</v>
      </c>
      <c r="B25" s="308" t="s">
        <v>1043</v>
      </c>
      <c r="C25" s="230" t="s">
        <v>188</v>
      </c>
      <c r="D25" s="291">
        <f>+D24</f>
        <v>1</v>
      </c>
      <c r="E25" s="448">
        <f>+SUM('PRES MR 15 KW'!K20:K29)</f>
        <v>0</v>
      </c>
      <c r="F25" s="448">
        <f>+SUM('PRES MR 15 KW'!L20:L29)</f>
        <v>0</v>
      </c>
      <c r="G25" s="448">
        <f>+SUM('PRES MR 15 KW'!M20:M29)</f>
        <v>0</v>
      </c>
      <c r="H25" s="448">
        <f>+SUM('PRES MR 15 KW'!N20:N29)</f>
        <v>0</v>
      </c>
      <c r="I25" s="448">
        <f>+SUM('PRES MR 15 KW'!O20:O29)</f>
        <v>0</v>
      </c>
      <c r="J25" s="450">
        <f>SUM(E25:I25)</f>
        <v>0</v>
      </c>
      <c r="K25" s="1102">
        <f t="shared" si="28"/>
        <v>0</v>
      </c>
      <c r="L25" s="1103">
        <f t="shared" si="29"/>
        <v>0</v>
      </c>
      <c r="M25" s="1103">
        <f t="shared" si="30"/>
        <v>0</v>
      </c>
      <c r="N25" s="1103">
        <f>+H25*D25</f>
        <v>0</v>
      </c>
      <c r="O25" s="1103">
        <f t="shared" si="31"/>
        <v>0</v>
      </c>
      <c r="P25" s="447">
        <f t="shared" si="4"/>
        <v>0</v>
      </c>
      <c r="Q25" s="983">
        <f t="shared" si="5"/>
        <v>0</v>
      </c>
      <c r="R25" s="687"/>
      <c r="S25" s="687"/>
      <c r="T25" s="686"/>
      <c r="U25" s="45"/>
      <c r="V25" s="687"/>
      <c r="W25" s="687"/>
      <c r="X25" s="687"/>
      <c r="Y25" s="687"/>
      <c r="Z25" s="687"/>
      <c r="AA25" s="687"/>
      <c r="AB25" s="687"/>
      <c r="AC25" s="687"/>
    </row>
    <row r="26" spans="1:29" s="46" customFormat="1" ht="13.5" hidden="1" thickBot="1">
      <c r="A26" s="241" t="s">
        <v>1044</v>
      </c>
      <c r="B26" s="308" t="s">
        <v>1021</v>
      </c>
      <c r="C26" s="230" t="s">
        <v>188</v>
      </c>
      <c r="D26" s="291">
        <v>17</v>
      </c>
      <c r="E26" s="448">
        <f>+SUM('PRES MR 15 KW'!K31)</f>
        <v>0</v>
      </c>
      <c r="F26" s="449">
        <f>+SUM('PRES MR 15 KW'!L31)</f>
        <v>0</v>
      </c>
      <c r="G26" s="449">
        <f>+SUM('PRES MR 15 KW'!M31)</f>
        <v>0</v>
      </c>
      <c r="H26" s="449">
        <f>+SUM('PRES MR 15 KW'!N31)</f>
        <v>0</v>
      </c>
      <c r="I26" s="449">
        <f>+SUM('PRES MR 15 KW'!O31)</f>
        <v>0</v>
      </c>
      <c r="J26" s="450">
        <f t="shared" ref="J26:J28" si="32">SUM(E26:I26)</f>
        <v>0</v>
      </c>
      <c r="K26" s="1102">
        <f t="shared" si="28"/>
        <v>0</v>
      </c>
      <c r="L26" s="1103">
        <f t="shared" si="29"/>
        <v>0</v>
      </c>
      <c r="M26" s="1103">
        <f t="shared" si="30"/>
        <v>0</v>
      </c>
      <c r="N26" s="1103">
        <f t="shared" ref="N26" si="33">+D26*H26</f>
        <v>0</v>
      </c>
      <c r="O26" s="1103">
        <f t="shared" si="31"/>
        <v>0</v>
      </c>
      <c r="P26" s="447">
        <f t="shared" si="4"/>
        <v>0</v>
      </c>
      <c r="Q26" s="983">
        <f t="shared" si="5"/>
        <v>0</v>
      </c>
      <c r="R26" s="687"/>
      <c r="S26" s="687"/>
      <c r="T26" s="686"/>
      <c r="U26" s="45"/>
      <c r="V26" s="687"/>
      <c r="W26" s="687"/>
      <c r="X26" s="687"/>
      <c r="Y26" s="687"/>
      <c r="Z26" s="687"/>
      <c r="AA26" s="687"/>
      <c r="AB26" s="687"/>
      <c r="AC26" s="687"/>
    </row>
    <row r="27" spans="1:29" s="46" customFormat="1" ht="13.5" hidden="1" thickBot="1">
      <c r="A27" s="241" t="s">
        <v>1045</v>
      </c>
      <c r="B27" s="309" t="s">
        <v>1029</v>
      </c>
      <c r="C27" s="453" t="s">
        <v>188</v>
      </c>
      <c r="D27" s="291">
        <f>+D26</f>
        <v>17</v>
      </c>
      <c r="E27" s="457">
        <f>+SUM('PRES MR 15 KW'!K33:K34)</f>
        <v>0</v>
      </c>
      <c r="F27" s="458">
        <f>+SUM('PRES MR 15 KW'!L33:L34)</f>
        <v>0</v>
      </c>
      <c r="G27" s="458">
        <f>+SUM('PRES MR 15 KW'!M33:M34)</f>
        <v>0</v>
      </c>
      <c r="H27" s="458">
        <f>+SUM('PRES MR 15 KW'!N33:N34)</f>
        <v>0</v>
      </c>
      <c r="I27" s="458">
        <f>+SUM('PRES MR 15 KW'!O33:O34)</f>
        <v>0</v>
      </c>
      <c r="J27" s="450">
        <f t="shared" si="32"/>
        <v>0</v>
      </c>
      <c r="K27" s="1104">
        <f>D27*E27</f>
        <v>0</v>
      </c>
      <c r="L27" s="1105">
        <f t="shared" si="29"/>
        <v>0</v>
      </c>
      <c r="M27" s="1105">
        <f t="shared" si="30"/>
        <v>0</v>
      </c>
      <c r="N27" s="1103">
        <f t="shared" ref="N27" si="34">+H27*D27</f>
        <v>0</v>
      </c>
      <c r="O27" s="1105">
        <f t="shared" si="31"/>
        <v>0</v>
      </c>
      <c r="P27" s="447">
        <f t="shared" si="4"/>
        <v>0</v>
      </c>
      <c r="Q27" s="983">
        <f t="shared" si="5"/>
        <v>0</v>
      </c>
      <c r="R27" s="687"/>
      <c r="S27" s="687"/>
      <c r="T27" s="686"/>
      <c r="U27" s="45"/>
      <c r="V27" s="687"/>
      <c r="W27" s="687"/>
      <c r="X27" s="687"/>
      <c r="Y27" s="687"/>
      <c r="Z27" s="687"/>
      <c r="AA27" s="687"/>
      <c r="AB27" s="687"/>
      <c r="AC27" s="687"/>
    </row>
    <row r="28" spans="1:29" s="46" customFormat="1" ht="13.5" hidden="1" thickBot="1">
      <c r="A28" s="241" t="s">
        <v>1046</v>
      </c>
      <c r="B28" s="310" t="s">
        <v>354</v>
      </c>
      <c r="C28" s="453" t="s">
        <v>188</v>
      </c>
      <c r="D28" s="967">
        <f>+D24</f>
        <v>1</v>
      </c>
      <c r="E28" s="721">
        <f>+SUM('PRES MR 15 KW'!K36:K41)</f>
        <v>0</v>
      </c>
      <c r="F28" s="721">
        <f>+SUM('PRES MR 15 KW'!L36:L41)</f>
        <v>0</v>
      </c>
      <c r="G28" s="721">
        <f>+SUM('PRES MR 15 KW'!M36:M41)</f>
        <v>0</v>
      </c>
      <c r="H28" s="721">
        <f>+SUM('PRES MR 15 KW'!N36:N41)</f>
        <v>0</v>
      </c>
      <c r="I28" s="721">
        <f>+SUM('PRES MR 15 KW'!O36:O41)</f>
        <v>0</v>
      </c>
      <c r="J28" s="450">
        <f t="shared" si="32"/>
        <v>0</v>
      </c>
      <c r="K28" s="1104">
        <f>$D28*E28</f>
        <v>0</v>
      </c>
      <c r="L28" s="1104">
        <f>$D28*F28</f>
        <v>0</v>
      </c>
      <c r="M28" s="1104">
        <f>$D28*G28</f>
        <v>0</v>
      </c>
      <c r="N28" s="1103">
        <f t="shared" ref="N28" si="35">+D28*H28</f>
        <v>0</v>
      </c>
      <c r="O28" s="1104">
        <f>$D28*I28</f>
        <v>0</v>
      </c>
      <c r="P28" s="447">
        <f t="shared" si="4"/>
        <v>0</v>
      </c>
      <c r="Q28" s="983">
        <f t="shared" si="5"/>
        <v>0</v>
      </c>
      <c r="R28" s="687"/>
      <c r="S28" s="687"/>
      <c r="T28" s="686"/>
      <c r="U28" s="45"/>
      <c r="V28" s="687"/>
      <c r="W28" s="687"/>
      <c r="X28" s="687"/>
      <c r="Y28" s="687"/>
      <c r="Z28" s="687"/>
      <c r="AA28" s="687"/>
      <c r="AB28" s="687"/>
      <c r="AC28" s="687"/>
    </row>
    <row r="29" spans="1:29" s="46" customFormat="1" ht="13.5" hidden="1" thickBot="1">
      <c r="A29" s="289"/>
      <c r="B29" s="764"/>
      <c r="C29" s="765"/>
      <c r="D29" s="765"/>
      <c r="E29" s="765"/>
      <c r="F29" s="765"/>
      <c r="G29" s="765"/>
      <c r="H29" s="765"/>
      <c r="I29" s="765"/>
      <c r="J29" s="765"/>
      <c r="K29" s="1100"/>
      <c r="L29" s="1101"/>
      <c r="M29" s="1101"/>
      <c r="N29" s="1101"/>
      <c r="O29" s="1101"/>
      <c r="P29" s="447">
        <f t="shared" si="4"/>
        <v>0</v>
      </c>
      <c r="Q29" s="983">
        <f t="shared" si="5"/>
        <v>0</v>
      </c>
      <c r="R29" s="687"/>
      <c r="S29" s="687"/>
      <c r="T29" s="686"/>
      <c r="U29" s="45"/>
      <c r="V29" s="687"/>
      <c r="W29" s="687"/>
      <c r="X29" s="687"/>
      <c r="Y29" s="687"/>
      <c r="Z29" s="687"/>
      <c r="AA29" s="687"/>
      <c r="AB29" s="687"/>
      <c r="AC29" s="687"/>
    </row>
    <row r="30" spans="1:29" s="46" customFormat="1" ht="13.5" hidden="1" thickBot="1">
      <c r="A30" s="400"/>
      <c r="B30" s="310"/>
      <c r="C30" s="398"/>
      <c r="D30" s="399"/>
      <c r="E30" s="454"/>
      <c r="F30" s="455"/>
      <c r="G30" s="455"/>
      <c r="H30" s="455"/>
      <c r="I30" s="455"/>
      <c r="J30" s="456"/>
      <c r="K30" s="1106"/>
      <c r="L30" s="1107"/>
      <c r="M30" s="1107"/>
      <c r="N30" s="1103">
        <f>+D30*H30</f>
        <v>0</v>
      </c>
      <c r="O30" s="1107"/>
      <c r="P30" s="447">
        <f t="shared" si="4"/>
        <v>0</v>
      </c>
      <c r="Q30" s="983">
        <f t="shared" si="5"/>
        <v>116248268.26199999</v>
      </c>
      <c r="R30" s="687"/>
      <c r="S30" s="687">
        <f>+P30-R30</f>
        <v>0</v>
      </c>
      <c r="T30" s="686"/>
      <c r="U30" s="45"/>
      <c r="V30" s="687"/>
      <c r="W30" s="687"/>
      <c r="X30" s="687"/>
      <c r="Y30" s="687"/>
      <c r="Z30" s="687"/>
      <c r="AA30" s="687"/>
      <c r="AB30" s="687"/>
      <c r="AC30" s="687"/>
    </row>
    <row r="31" spans="1:29" s="46" customFormat="1" ht="13.5" thickBot="1">
      <c r="A31" s="400">
        <v>6</v>
      </c>
      <c r="B31" s="764" t="s">
        <v>1047</v>
      </c>
      <c r="C31" s="765"/>
      <c r="D31" s="765"/>
      <c r="E31" s="765"/>
      <c r="F31" s="765"/>
      <c r="G31" s="765"/>
      <c r="H31" s="765"/>
      <c r="I31" s="765"/>
      <c r="J31" s="765"/>
      <c r="K31" s="1100">
        <f>+K32*(1+$Q$1)</f>
        <v>89364142</v>
      </c>
      <c r="L31" s="1101">
        <f>+L32*(1+$Q$1)</f>
        <v>2434320</v>
      </c>
      <c r="M31" s="1101">
        <f>+M32*(1+$Q$1)</f>
        <v>2689886.2620000001</v>
      </c>
      <c r="N31" s="1101">
        <f>+N32*(1+$Q$1)</f>
        <v>11338502</v>
      </c>
      <c r="O31" s="1101">
        <f>+O32*(1+$Q$1)</f>
        <v>10421418</v>
      </c>
      <c r="P31" s="447">
        <f>SUM(K31:O31)</f>
        <v>116248268.26199999</v>
      </c>
      <c r="Q31" s="983">
        <f t="shared" si="5"/>
        <v>232496536.52399999</v>
      </c>
      <c r="R31" s="695"/>
      <c r="S31" s="692"/>
      <c r="T31" s="686"/>
      <c r="U31" s="45"/>
      <c r="V31" s="47"/>
      <c r="W31" s="47"/>
      <c r="X31" s="47"/>
      <c r="Y31" s="47"/>
      <c r="Z31" s="47"/>
      <c r="AA31" s="47"/>
      <c r="AB31" s="47"/>
      <c r="AC31" s="47"/>
    </row>
    <row r="32" spans="1:29" s="46" customFormat="1" ht="100.5" hidden="1" thickBot="1">
      <c r="A32" s="292">
        <v>6.1</v>
      </c>
      <c r="B32" s="972" t="str">
        <f>+'61'!B4</f>
        <v>Suministro, transporte e instalación de instalación interna domiciliaria en AC, comprende los siguientes elementos:
- Tablero de distribución monofásico de cuatro circuitos.
- Dos (2) interruptores automáticos monopolares tipo enchufable de 20 A.
- Cuatro (4) salidas de alumbrado con interruptor con polo a tierra.
- Hasta 30 m de tubería PVC SCH 40 de 1/2" con accesorios.
- Hasta 100 m de cable de Cu THHN Nº 12 AWG
- Cuatro (4) salidas para tomacorrientes dobles con polo a tierra.</v>
      </c>
      <c r="C32" s="234" t="s">
        <v>188</v>
      </c>
      <c r="D32" s="968">
        <f>+USUARIOS!C16</f>
        <v>98</v>
      </c>
      <c r="E32" s="971">
        <f>+'61'!G24</f>
        <v>911879</v>
      </c>
      <c r="F32" s="969">
        <f>+'61'!G31</f>
        <v>24840</v>
      </c>
      <c r="G32" s="969">
        <f>+'61'!G37</f>
        <v>27447.819</v>
      </c>
      <c r="H32" s="969">
        <f>+'61'!G41</f>
        <v>115699</v>
      </c>
      <c r="I32" s="969">
        <f>+'61'!G42</f>
        <v>106341</v>
      </c>
      <c r="J32" s="446">
        <f>SUM(E32:I32)</f>
        <v>1186206.8190000001</v>
      </c>
      <c r="K32" s="971">
        <f t="shared" ref="K32" si="36">D32*E32</f>
        <v>89364142</v>
      </c>
      <c r="L32" s="969">
        <f>D32*F32</f>
        <v>2434320</v>
      </c>
      <c r="M32" s="969">
        <f t="shared" ref="M32" si="37">D32*G32</f>
        <v>2689886.2620000001</v>
      </c>
      <c r="N32" s="449">
        <f>+D32*H32</f>
        <v>11338502</v>
      </c>
      <c r="O32" s="969">
        <f t="shared" ref="O32" si="38">D32*I32</f>
        <v>10421418</v>
      </c>
      <c r="P32" s="451">
        <f>ROUND(D32*J32,0)</f>
        <v>116248268</v>
      </c>
      <c r="Q32" s="686"/>
      <c r="R32" s="693">
        <v>1078827496</v>
      </c>
      <c r="S32" s="692">
        <f>+P32-R32</f>
        <v>-962579228</v>
      </c>
      <c r="T32" s="686"/>
      <c r="U32" s="45"/>
      <c r="V32" s="47"/>
      <c r="W32" s="47"/>
      <c r="X32" s="47"/>
      <c r="Y32" s="47"/>
      <c r="Z32" s="47"/>
      <c r="AA32" s="47"/>
      <c r="AB32" s="47"/>
      <c r="AC32" s="47"/>
    </row>
    <row r="33" spans="1:22" s="46" customFormat="1" ht="18" customHeight="1">
      <c r="A33" s="1640" t="s">
        <v>1048</v>
      </c>
      <c r="B33" s="1641"/>
      <c r="C33" s="1641"/>
      <c r="D33" s="1641"/>
      <c r="E33" s="1641"/>
      <c r="F33" s="1641"/>
      <c r="G33" s="1641"/>
      <c r="H33" s="1641"/>
      <c r="I33" s="1641"/>
      <c r="J33" s="1642"/>
      <c r="K33" s="464">
        <f>+K31+K29+K23+K17+K11+K7+K5</f>
        <v>89364142</v>
      </c>
      <c r="L33" s="464">
        <f t="shared" ref="L33:O33" si="39">+L31+L29+L23+L17+L11+L7+L5</f>
        <v>2750076</v>
      </c>
      <c r="M33" s="464">
        <f t="shared" si="39"/>
        <v>3561008.2620000001</v>
      </c>
      <c r="N33" s="464">
        <f t="shared" ref="N33" si="40">+N31+N29+N23+N17+N11+N7+N5</f>
        <v>12352802</v>
      </c>
      <c r="O33" s="464">
        <f t="shared" si="39"/>
        <v>11116140</v>
      </c>
      <c r="P33" s="459">
        <f>SUM(K33:O33)</f>
        <v>119144168.26199999</v>
      </c>
      <c r="Q33" s="984">
        <f>SUM(Q5:Q32)</f>
        <v>357432504.78600001</v>
      </c>
      <c r="R33" s="696"/>
      <c r="S33" s="697"/>
      <c r="T33" s="686"/>
      <c r="U33" s="45"/>
      <c r="V33" s="47"/>
    </row>
    <row r="34" spans="1:22" s="46" customFormat="1" ht="18" customHeight="1" thickBot="1">
      <c r="A34" s="1361" t="s">
        <v>1049</v>
      </c>
      <c r="B34" s="1362"/>
      <c r="C34" s="1362"/>
      <c r="D34" s="1362"/>
      <c r="E34" s="1362"/>
      <c r="F34" s="1362"/>
      <c r="G34" s="1362"/>
      <c r="H34" s="1362"/>
      <c r="I34" s="1363"/>
      <c r="J34" s="702" t="e">
        <f>+'AIU Proyecto'!F65</f>
        <v>#DIV/0!</v>
      </c>
      <c r="K34" s="302"/>
      <c r="L34" s="302"/>
      <c r="M34" s="302"/>
      <c r="N34" s="302"/>
      <c r="O34" s="302"/>
      <c r="P34" s="460"/>
      <c r="Q34" s="686"/>
      <c r="R34" s="698"/>
      <c r="S34" s="699"/>
      <c r="T34" s="686"/>
      <c r="U34" s="45"/>
      <c r="V34" s="47"/>
    </row>
    <row r="35" spans="1:22" s="46" customFormat="1" ht="18" customHeight="1">
      <c r="A35" s="1361" t="s">
        <v>1050</v>
      </c>
      <c r="B35" s="1362"/>
      <c r="C35" s="1362"/>
      <c r="D35" s="1362"/>
      <c r="E35" s="1362"/>
      <c r="F35" s="1362"/>
      <c r="G35" s="1362"/>
      <c r="H35" s="1362"/>
      <c r="I35" s="1363"/>
      <c r="J35" s="250">
        <f>+'AIU Proyecto'!F66</f>
        <v>0.01</v>
      </c>
      <c r="K35" s="302"/>
      <c r="L35" s="302"/>
      <c r="M35" s="302"/>
      <c r="N35" s="302"/>
      <c r="O35" s="302"/>
      <c r="P35" s="460"/>
      <c r="Q35" s="686"/>
      <c r="R35" s="690"/>
      <c r="S35" s="690"/>
      <c r="T35" s="686"/>
      <c r="U35" s="45"/>
      <c r="V35" s="47"/>
    </row>
    <row r="36" spans="1:22" s="46" customFormat="1" ht="18" customHeight="1">
      <c r="A36" s="1361" t="s">
        <v>1051</v>
      </c>
      <c r="B36" s="1362"/>
      <c r="C36" s="1362"/>
      <c r="D36" s="1362"/>
      <c r="E36" s="1362"/>
      <c r="F36" s="1362"/>
      <c r="G36" s="1362"/>
      <c r="H36" s="1362"/>
      <c r="I36" s="1363"/>
      <c r="J36" s="250">
        <f>+'AIU Proyecto'!F67</f>
        <v>0.05</v>
      </c>
      <c r="K36" s="302"/>
      <c r="L36" s="302"/>
      <c r="M36" s="302"/>
      <c r="N36" s="302"/>
      <c r="O36" s="302"/>
      <c r="P36" s="460"/>
      <c r="Q36" s="686"/>
      <c r="R36" s="690"/>
      <c r="S36" s="690"/>
      <c r="T36" s="686"/>
      <c r="U36" s="45"/>
      <c r="V36" s="47"/>
    </row>
    <row r="37" spans="1:22" s="46" customFormat="1" ht="18" customHeight="1">
      <c r="A37" s="1361" t="s">
        <v>571</v>
      </c>
      <c r="B37" s="1362"/>
      <c r="C37" s="1362"/>
      <c r="D37" s="1362"/>
      <c r="E37" s="1362"/>
      <c r="F37" s="1362"/>
      <c r="G37" s="1362"/>
      <c r="H37" s="1362"/>
      <c r="I37" s="1363"/>
      <c r="J37" s="250">
        <v>0.19</v>
      </c>
      <c r="K37" s="302"/>
      <c r="L37" s="302"/>
      <c r="M37" s="302"/>
      <c r="N37" s="302"/>
      <c r="O37" s="302"/>
      <c r="P37" s="460"/>
      <c r="Q37" s="686"/>
      <c r="R37" s="690"/>
      <c r="S37" s="690"/>
      <c r="T37" s="686"/>
      <c r="U37" s="45"/>
      <c r="V37" s="47"/>
    </row>
    <row r="38" spans="1:22" s="46" customFormat="1" ht="18" customHeight="1">
      <c r="A38" s="1361" t="s">
        <v>1052</v>
      </c>
      <c r="B38" s="1362"/>
      <c r="C38" s="1362"/>
      <c r="D38" s="1362"/>
      <c r="E38" s="1362"/>
      <c r="F38" s="1362"/>
      <c r="G38" s="1362"/>
      <c r="H38" s="1362"/>
      <c r="I38" s="1363"/>
      <c r="J38" s="249">
        <f>+'PRES GENERAL MR(OXI)'!J43</f>
        <v>0</v>
      </c>
      <c r="K38" s="302"/>
      <c r="L38" s="302"/>
      <c r="M38" s="302"/>
      <c r="N38" s="302"/>
      <c r="O38" s="302"/>
      <c r="P38" s="460"/>
      <c r="Q38" s="686"/>
      <c r="R38" s="690"/>
      <c r="S38" s="690"/>
      <c r="T38" s="686"/>
      <c r="U38" s="45"/>
      <c r="V38" s="47"/>
    </row>
    <row r="39" spans="1:22" s="46" customFormat="1" ht="18" customHeight="1">
      <c r="A39" s="1381" t="s">
        <v>1053</v>
      </c>
      <c r="B39" s="1382"/>
      <c r="C39" s="1382"/>
      <c r="D39" s="1382"/>
      <c r="E39" s="1382"/>
      <c r="F39" s="1382"/>
      <c r="G39" s="1382"/>
      <c r="H39" s="1382"/>
      <c r="I39" s="1382"/>
      <c r="J39" s="1383"/>
      <c r="K39" s="465">
        <f>K33+K38</f>
        <v>89364142</v>
      </c>
      <c r="L39" s="465">
        <f>L33+L38</f>
        <v>2750076</v>
      </c>
      <c r="M39" s="465">
        <f>M33+M38</f>
        <v>3561008.2620000001</v>
      </c>
      <c r="N39" s="465">
        <f>N33+N38</f>
        <v>12352802</v>
      </c>
      <c r="O39" s="465">
        <f>O33+O38</f>
        <v>11116140</v>
      </c>
      <c r="P39" s="461">
        <f>+'PRES GENERAL MR(OXI)'!P44</f>
        <v>0</v>
      </c>
      <c r="Q39" s="1114">
        <f>+Q33-Q40</f>
        <v>357432504.78600001</v>
      </c>
      <c r="R39" s="690"/>
      <c r="S39" s="690"/>
      <c r="T39" s="686"/>
      <c r="U39" s="45"/>
      <c r="V39" s="47"/>
    </row>
    <row r="40" spans="1:22" s="47" customFormat="1" ht="18" customHeight="1">
      <c r="A40" s="1346" t="s">
        <v>1054</v>
      </c>
      <c r="B40" s="1347"/>
      <c r="C40" s="1347"/>
      <c r="D40" s="1347"/>
      <c r="E40" s="1347"/>
      <c r="F40" s="1347"/>
      <c r="G40" s="1347"/>
      <c r="H40" s="1347"/>
      <c r="I40" s="1347"/>
      <c r="J40" s="703" t="e">
        <f>+P40/P39</f>
        <v>#DIV/0!</v>
      </c>
      <c r="K40" s="304"/>
      <c r="L40" s="305"/>
      <c r="M40" s="305"/>
      <c r="N40" s="305"/>
      <c r="O40" s="305"/>
      <c r="P40" s="1108">
        <f>+'Presupuesto Interventoría'!G50</f>
        <v>257711731</v>
      </c>
      <c r="Q40" s="686">
        <f>+'PRES GENERAL MR(OXI)'!P44</f>
        <v>0</v>
      </c>
      <c r="R40" s="690"/>
      <c r="S40" s="690"/>
      <c r="T40" s="690"/>
    </row>
    <row r="41" spans="1:22" s="47" customFormat="1" ht="18" customHeight="1">
      <c r="A41" s="1346" t="s">
        <v>1055</v>
      </c>
      <c r="B41" s="1347"/>
      <c r="C41" s="1347"/>
      <c r="D41" s="1347"/>
      <c r="E41" s="1347"/>
      <c r="F41" s="1347"/>
      <c r="G41" s="1347"/>
      <c r="H41" s="1347"/>
      <c r="I41" s="1347"/>
      <c r="J41" s="249">
        <v>0.01</v>
      </c>
      <c r="K41" s="303"/>
      <c r="L41" s="303"/>
      <c r="M41" s="303"/>
      <c r="N41" s="303"/>
      <c r="O41" s="303"/>
      <c r="P41" s="1108">
        <f>+'PRES GENERAL MR(OXI)'!P46</f>
        <v>0</v>
      </c>
      <c r="Q41" s="686"/>
      <c r="R41" s="690"/>
      <c r="S41" s="690"/>
      <c r="T41" s="690"/>
    </row>
    <row r="42" spans="1:22" s="47" customFormat="1" ht="18" customHeight="1">
      <c r="A42" s="1346" t="s">
        <v>1056</v>
      </c>
      <c r="B42" s="1347"/>
      <c r="C42" s="1347"/>
      <c r="D42" s="1347"/>
      <c r="E42" s="1347"/>
      <c r="F42" s="1347"/>
      <c r="G42" s="1347"/>
      <c r="H42" s="1347"/>
      <c r="I42" s="1347"/>
      <c r="J42" s="249" t="e">
        <f>+P42/P39</f>
        <v>#DIV/0!</v>
      </c>
      <c r="K42" s="303"/>
      <c r="L42" s="303"/>
      <c r="M42" s="303"/>
      <c r="N42" s="303"/>
      <c r="O42" s="303"/>
      <c r="P42" s="1108">
        <f>+'PRES GENERAL MR(OXI)'!P47</f>
        <v>0</v>
      </c>
      <c r="Q42" s="686"/>
      <c r="R42" s="690"/>
      <c r="S42" s="690"/>
      <c r="T42" s="690"/>
    </row>
    <row r="43" spans="1:22" s="47" customFormat="1" ht="18" customHeight="1">
      <c r="A43" s="1346" t="s">
        <v>1057</v>
      </c>
      <c r="B43" s="1347"/>
      <c r="C43" s="1347"/>
      <c r="D43" s="1347"/>
      <c r="E43" s="1347"/>
      <c r="F43" s="1347"/>
      <c r="G43" s="1347"/>
      <c r="H43" s="1347"/>
      <c r="I43" s="1347"/>
      <c r="J43" s="249" t="e">
        <f>+P43/P39</f>
        <v>#DIV/0!</v>
      </c>
      <c r="K43" s="303"/>
      <c r="L43" s="303"/>
      <c r="M43" s="303"/>
      <c r="N43" s="303"/>
      <c r="O43" s="303"/>
      <c r="P43" s="1108">
        <f>+'PRES GENERAL MR(OXI)'!P48</f>
        <v>0</v>
      </c>
      <c r="Q43" s="686"/>
      <c r="R43" s="690"/>
      <c r="S43" s="690"/>
      <c r="T43" s="690"/>
    </row>
    <row r="44" spans="1:22" s="47" customFormat="1" ht="18" customHeight="1">
      <c r="A44" s="1346" t="s">
        <v>1058</v>
      </c>
      <c r="B44" s="1347"/>
      <c r="C44" s="1347"/>
      <c r="D44" s="1347"/>
      <c r="E44" s="1347"/>
      <c r="F44" s="1347"/>
      <c r="G44" s="1347"/>
      <c r="H44" s="1347"/>
      <c r="I44" s="1347"/>
      <c r="J44" s="249">
        <v>0.1</v>
      </c>
      <c r="K44" s="303"/>
      <c r="L44" s="303"/>
      <c r="M44" s="303"/>
      <c r="N44" s="303"/>
      <c r="O44" s="303"/>
      <c r="P44" s="1108">
        <f>+'PRES GENERAL MR(OXI)'!P49</f>
        <v>0</v>
      </c>
      <c r="Q44" s="686"/>
      <c r="R44" s="690"/>
      <c r="S44" s="690"/>
      <c r="T44" s="690"/>
    </row>
    <row r="45" spans="1:22" s="47" customFormat="1" ht="18" customHeight="1">
      <c r="A45" s="1346" t="s">
        <v>1059</v>
      </c>
      <c r="B45" s="1347"/>
      <c r="C45" s="1347"/>
      <c r="D45" s="1347"/>
      <c r="E45" s="1347"/>
      <c r="F45" s="1347"/>
      <c r="G45" s="1347"/>
      <c r="H45" s="1347"/>
      <c r="I45" s="1347"/>
      <c r="J45" s="249">
        <f>+P45/P33</f>
        <v>0</v>
      </c>
      <c r="K45" s="303"/>
      <c r="L45" s="303"/>
      <c r="M45" s="303"/>
      <c r="N45" s="303"/>
      <c r="O45" s="303"/>
      <c r="P45" s="1108">
        <f>+'PRES GENERAL MR(OXI)'!P50</f>
        <v>0</v>
      </c>
      <c r="Q45" s="686"/>
      <c r="R45" s="690"/>
      <c r="S45" s="690"/>
      <c r="T45" s="690"/>
    </row>
    <row r="46" spans="1:22" s="47" customFormat="1" ht="18" customHeight="1">
      <c r="A46" s="1346" t="s">
        <v>1060</v>
      </c>
      <c r="B46" s="1347"/>
      <c r="C46" s="1347"/>
      <c r="D46" s="1347"/>
      <c r="E46" s="1347"/>
      <c r="F46" s="1347"/>
      <c r="G46" s="1347"/>
      <c r="H46" s="1347"/>
      <c r="I46" s="1347"/>
      <c r="J46" s="249">
        <v>0.01</v>
      </c>
      <c r="K46" s="303"/>
      <c r="L46" s="303"/>
      <c r="M46" s="303"/>
      <c r="N46" s="303"/>
      <c r="O46" s="303"/>
      <c r="P46" s="1108">
        <f>+'PRES GENERAL MR(OXI)'!P51</f>
        <v>0</v>
      </c>
      <c r="Q46" s="686"/>
      <c r="R46" s="690"/>
      <c r="S46" s="690"/>
      <c r="T46" s="690"/>
    </row>
    <row r="47" spans="1:22" s="47" customFormat="1" ht="18" customHeight="1">
      <c r="A47" s="1346" t="s">
        <v>1061</v>
      </c>
      <c r="B47" s="1347"/>
      <c r="C47" s="1347"/>
      <c r="D47" s="1347"/>
      <c r="E47" s="1347"/>
      <c r="F47" s="1347"/>
      <c r="G47" s="1347"/>
      <c r="H47" s="1347"/>
      <c r="I47" s="1347"/>
      <c r="J47" s="249">
        <f>+ROUND(P47/$P$33,5)</f>
        <v>0</v>
      </c>
      <c r="K47" s="303"/>
      <c r="L47" s="303"/>
      <c r="M47" s="303"/>
      <c r="N47" s="303"/>
      <c r="O47" s="303"/>
      <c r="P47" s="1108">
        <f>+'PRES GENERAL MR(OXI)'!P52</f>
        <v>0</v>
      </c>
      <c r="Q47" s="686"/>
      <c r="R47" s="690"/>
      <c r="S47" s="690"/>
      <c r="T47" s="690"/>
    </row>
    <row r="48" spans="1:22" s="47" customFormat="1" ht="18" customHeight="1">
      <c r="A48" s="1346" t="s">
        <v>1062</v>
      </c>
      <c r="B48" s="1347"/>
      <c r="C48" s="1347"/>
      <c r="D48" s="1347"/>
      <c r="E48" s="1347"/>
      <c r="F48" s="1347"/>
      <c r="G48" s="1347"/>
      <c r="H48" s="1347"/>
      <c r="I48" s="1347"/>
      <c r="J48" s="249">
        <v>4.0000000000000001E-3</v>
      </c>
      <c r="K48" s="303"/>
      <c r="L48" s="303"/>
      <c r="M48" s="303"/>
      <c r="N48" s="303"/>
      <c r="O48" s="303"/>
      <c r="P48" s="1108">
        <f>+'PRES GENERAL MR(OXI)'!P53</f>
        <v>0</v>
      </c>
      <c r="Q48" s="690"/>
      <c r="R48" s="690"/>
      <c r="S48" s="690"/>
      <c r="T48" s="690"/>
    </row>
    <row r="49" spans="1:29" s="47" customFormat="1" ht="18" customHeight="1">
      <c r="A49" s="1643" t="s">
        <v>1063</v>
      </c>
      <c r="B49" s="1644"/>
      <c r="C49" s="1644"/>
      <c r="D49" s="1644"/>
      <c r="E49" s="1644"/>
      <c r="F49" s="1644"/>
      <c r="G49" s="1644"/>
      <c r="H49" s="1644"/>
      <c r="I49" s="1644"/>
      <c r="J49" s="211"/>
      <c r="K49" s="306"/>
      <c r="L49" s="306"/>
      <c r="M49" s="306"/>
      <c r="N49" s="306"/>
      <c r="O49" s="306"/>
      <c r="P49" s="462">
        <f>SUM(P39:P48)</f>
        <v>257711731</v>
      </c>
      <c r="Q49" s="690">
        <v>5778713484</v>
      </c>
      <c r="R49" s="690"/>
      <c r="S49" s="690"/>
      <c r="T49" s="690"/>
    </row>
    <row r="50" spans="1:29" s="47" customFormat="1" ht="18" customHeight="1">
      <c r="A50" s="1346" t="s">
        <v>1064</v>
      </c>
      <c r="B50" s="1347"/>
      <c r="C50" s="1347"/>
      <c r="D50" s="1347"/>
      <c r="E50" s="1347"/>
      <c r="F50" s="1347"/>
      <c r="G50" s="1347"/>
      <c r="H50" s="1347"/>
      <c r="I50" s="1347"/>
      <c r="J50" s="62"/>
      <c r="K50" s="57"/>
      <c r="L50" s="57"/>
      <c r="M50" s="57"/>
      <c r="N50" s="57"/>
      <c r="O50" s="57"/>
      <c r="P50" s="463">
        <f>+USUARIOS!C16</f>
        <v>98</v>
      </c>
      <c r="Q50" s="690"/>
      <c r="R50" s="690"/>
      <c r="S50" s="690"/>
      <c r="T50" s="690"/>
    </row>
    <row r="51" spans="1:29" ht="13.5" thickBot="1">
      <c r="A51" s="1348" t="s">
        <v>1065</v>
      </c>
      <c r="B51" s="1349"/>
      <c r="C51" s="1349"/>
      <c r="D51" s="1349"/>
      <c r="E51" s="1349"/>
      <c r="F51" s="1349"/>
      <c r="G51" s="1349"/>
      <c r="H51" s="1349"/>
      <c r="I51" s="1349"/>
      <c r="J51" s="979"/>
      <c r="K51" s="980"/>
      <c r="L51" s="980"/>
      <c r="M51" s="980"/>
      <c r="N51" s="980"/>
      <c r="O51" s="980"/>
      <c r="P51" s="981">
        <f>+P49/P50</f>
        <v>2629711.5408163266</v>
      </c>
      <c r="T51" s="701">
        <f>+'PRES GENERAL MR(OXI)'!P54</f>
        <v>0</v>
      </c>
    </row>
    <row r="52" spans="1:29">
      <c r="L52" s="60"/>
      <c r="Q52" s="701">
        <f>+Q49-5784021210</f>
        <v>-5307726</v>
      </c>
    </row>
    <row r="53" spans="1:29">
      <c r="A53" s="441"/>
      <c r="B53" s="441"/>
      <c r="L53" s="34"/>
    </row>
    <row r="54" spans="1:29" s="701" customFormat="1" ht="13">
      <c r="A54" s="442"/>
      <c r="B54" s="441"/>
      <c r="C54"/>
      <c r="D54"/>
      <c r="E54"/>
      <c r="F54"/>
      <c r="G54"/>
      <c r="H54"/>
      <c r="I54" s="34"/>
      <c r="J54"/>
      <c r="K54"/>
      <c r="L54" s="55"/>
      <c r="M54"/>
      <c r="N54"/>
      <c r="O54"/>
      <c r="P54" s="462"/>
      <c r="U54"/>
      <c r="V54"/>
      <c r="W54"/>
      <c r="X54"/>
      <c r="Y54"/>
      <c r="Z54"/>
      <c r="AA54"/>
      <c r="AB54"/>
      <c r="AC54"/>
    </row>
    <row r="55" spans="1:29" s="701" customFormat="1" ht="13">
      <c r="A55"/>
      <c r="B55" s="60"/>
      <c r="C55"/>
      <c r="D55"/>
      <c r="E55"/>
      <c r="F55"/>
      <c r="G55"/>
      <c r="H55"/>
      <c r="I55" s="34"/>
      <c r="J55"/>
      <c r="K55" s="56"/>
      <c r="L55" s="55"/>
      <c r="M55"/>
      <c r="N55"/>
      <c r="O55"/>
      <c r="P55" s="462">
        <f>+'PRES GENERAL MR(OXI)'!P54</f>
        <v>0</v>
      </c>
      <c r="U55"/>
      <c r="V55"/>
      <c r="W55"/>
      <c r="X55"/>
      <c r="Y55"/>
      <c r="Z55"/>
      <c r="AA55"/>
      <c r="AB55"/>
      <c r="AC55"/>
    </row>
    <row r="56" spans="1:29" s="701" customFormat="1">
      <c r="A56"/>
      <c r="B56"/>
      <c r="C56"/>
      <c r="D56"/>
      <c r="E56"/>
      <c r="F56"/>
      <c r="G56"/>
      <c r="H56"/>
      <c r="I56" s="34"/>
      <c r="J56"/>
      <c r="K56" s="56"/>
      <c r="L56" s="55"/>
      <c r="M56"/>
      <c r="N56"/>
      <c r="O56"/>
      <c r="P56" s="3"/>
      <c r="U56"/>
      <c r="V56"/>
      <c r="W56"/>
      <c r="X56"/>
      <c r="Y56"/>
      <c r="Z56"/>
      <c r="AA56"/>
      <c r="AB56"/>
      <c r="AC56"/>
    </row>
    <row r="57" spans="1:29" s="701" customFormat="1">
      <c r="A57"/>
      <c r="B57"/>
      <c r="C57"/>
      <c r="D57"/>
      <c r="E57"/>
      <c r="F57"/>
      <c r="G57"/>
      <c r="H57"/>
      <c r="I57"/>
      <c r="J57"/>
      <c r="K57" s="56"/>
      <c r="L57"/>
      <c r="M57"/>
      <c r="N57"/>
      <c r="O57"/>
      <c r="P57" s="55"/>
      <c r="U57"/>
      <c r="V57"/>
      <c r="W57"/>
      <c r="X57"/>
      <c r="Y57"/>
      <c r="Z57"/>
      <c r="AA57"/>
      <c r="AB57"/>
      <c r="AC57"/>
    </row>
    <row r="58" spans="1:29" s="701" customFormat="1">
      <c r="A58"/>
      <c r="B58" s="60"/>
      <c r="C58"/>
      <c r="D58"/>
      <c r="E58"/>
      <c r="F58"/>
      <c r="G58"/>
      <c r="H58"/>
      <c r="I58"/>
      <c r="J58"/>
      <c r="K58" s="56"/>
      <c r="L58"/>
      <c r="M58"/>
      <c r="N58"/>
      <c r="O58"/>
      <c r="P58"/>
      <c r="U58"/>
      <c r="V58"/>
      <c r="W58"/>
      <c r="X58"/>
      <c r="Y58"/>
      <c r="Z58"/>
      <c r="AA58"/>
      <c r="AB58"/>
      <c r="AC58"/>
    </row>
    <row r="60" spans="1:29" s="701" customFormat="1">
      <c r="A60"/>
      <c r="B60"/>
      <c r="C60"/>
      <c r="D60"/>
      <c r="E60"/>
      <c r="F60"/>
      <c r="G60"/>
      <c r="H60"/>
      <c r="I60"/>
      <c r="J60"/>
      <c r="K60" s="56">
        <f>+K7/(1+'PRES GENERAL MR(OXI)'!J43)</f>
        <v>0</v>
      </c>
      <c r="L60"/>
      <c r="M60"/>
      <c r="N60"/>
      <c r="O60"/>
      <c r="P60"/>
      <c r="U60"/>
      <c r="V60"/>
      <c r="W60"/>
      <c r="X60"/>
      <c r="Y60"/>
      <c r="Z60"/>
      <c r="AA60"/>
      <c r="AB60"/>
      <c r="AC60"/>
    </row>
    <row r="61" spans="1:29" s="701" customFormat="1">
      <c r="A61"/>
      <c r="B61" s="60"/>
      <c r="C61"/>
      <c r="D61"/>
      <c r="E61"/>
      <c r="F61"/>
      <c r="G61"/>
      <c r="H61"/>
      <c r="I61"/>
      <c r="J61"/>
      <c r="K61" s="1099">
        <f>+K60/53</f>
        <v>0</v>
      </c>
      <c r="L61" s="34" t="s">
        <v>1066</v>
      </c>
      <c r="M61"/>
      <c r="N61"/>
      <c r="O61"/>
      <c r="P61"/>
      <c r="U61"/>
      <c r="V61"/>
      <c r="W61"/>
      <c r="X61"/>
      <c r="Y61"/>
      <c r="Z61"/>
      <c r="AA61"/>
      <c r="AB61"/>
      <c r="AC61"/>
    </row>
    <row r="62" spans="1:29" s="701" customFormat="1">
      <c r="A62"/>
      <c r="B62"/>
      <c r="C62"/>
      <c r="D62"/>
      <c r="E62"/>
      <c r="F62"/>
      <c r="G62"/>
      <c r="H62"/>
      <c r="I62"/>
      <c r="J62"/>
      <c r="K62" s="56"/>
      <c r="L62"/>
      <c r="M62"/>
      <c r="N62"/>
      <c r="O62"/>
      <c r="P62"/>
      <c r="U62"/>
      <c r="V62"/>
      <c r="W62"/>
      <c r="X62"/>
      <c r="Y62"/>
      <c r="Z62"/>
      <c r="AA62"/>
      <c r="AB62"/>
      <c r="AC62"/>
    </row>
    <row r="64" spans="1:29" s="701" customFormat="1">
      <c r="A64"/>
      <c r="B64" s="60"/>
      <c r="C64"/>
      <c r="D64"/>
      <c r="E64"/>
      <c r="F64"/>
      <c r="G64"/>
      <c r="H64"/>
      <c r="I64"/>
      <c r="J64"/>
      <c r="K64"/>
      <c r="L64"/>
      <c r="M64"/>
      <c r="N64"/>
      <c r="O64"/>
      <c r="P64"/>
      <c r="U64"/>
      <c r="V64"/>
      <c r="W64"/>
      <c r="X64"/>
      <c r="Y64"/>
      <c r="Z64"/>
      <c r="AA64"/>
      <c r="AB64"/>
      <c r="AC64"/>
    </row>
    <row r="65" spans="1:29" s="701" customFormat="1">
      <c r="A65"/>
      <c r="B65"/>
      <c r="C65"/>
      <c r="D65"/>
      <c r="E65"/>
      <c r="F65"/>
      <c r="G65"/>
      <c r="H65"/>
      <c r="I65"/>
      <c r="J65" s="56"/>
      <c r="K65"/>
      <c r="L65"/>
      <c r="M65"/>
      <c r="N65"/>
      <c r="O65"/>
      <c r="P65"/>
      <c r="U65"/>
      <c r="V65"/>
      <c r="W65"/>
      <c r="X65"/>
      <c r="Y65"/>
      <c r="Z65"/>
      <c r="AA65"/>
      <c r="AB65"/>
      <c r="AC65"/>
    </row>
    <row r="67" spans="1:29" s="701" customFormat="1">
      <c r="A67"/>
      <c r="B67"/>
      <c r="C67"/>
      <c r="D67"/>
      <c r="E67"/>
      <c r="F67"/>
      <c r="G67"/>
      <c r="H67"/>
      <c r="I67"/>
      <c r="J67" s="56"/>
      <c r="K67"/>
      <c r="L67"/>
      <c r="M67"/>
      <c r="N67"/>
      <c r="O67"/>
      <c r="P67"/>
      <c r="U67"/>
      <c r="V67"/>
      <c r="W67"/>
      <c r="X67"/>
      <c r="Y67"/>
      <c r="Z67"/>
      <c r="AA67"/>
      <c r="AB67"/>
      <c r="AC67"/>
    </row>
  </sheetData>
  <mergeCells count="27">
    <mergeCell ref="A50:I50"/>
    <mergeCell ref="A51:I51"/>
    <mergeCell ref="A44:I44"/>
    <mergeCell ref="A45:I45"/>
    <mergeCell ref="A46:I46"/>
    <mergeCell ref="A47:I47"/>
    <mergeCell ref="A48:I48"/>
    <mergeCell ref="A49:I49"/>
    <mergeCell ref="A43:I43"/>
    <mergeCell ref="A33:J33"/>
    <mergeCell ref="A34:I34"/>
    <mergeCell ref="A35:I35"/>
    <mergeCell ref="A36:I36"/>
    <mergeCell ref="A37:I37"/>
    <mergeCell ref="A38:I38"/>
    <mergeCell ref="A39:J39"/>
    <mergeCell ref="A40:I40"/>
    <mergeCell ref="A41:I41"/>
    <mergeCell ref="A42:I42"/>
    <mergeCell ref="A1:P1"/>
    <mergeCell ref="A2:P2"/>
    <mergeCell ref="A3:A4"/>
    <mergeCell ref="B3:B4"/>
    <mergeCell ref="C3:C4"/>
    <mergeCell ref="D3:D4"/>
    <mergeCell ref="E3:J3"/>
    <mergeCell ref="K3:P3"/>
  </mergeCells>
  <conditionalFormatting sqref="S5">
    <cfRule type="colorScale" priority="1">
      <colorScale>
        <cfvo type="min"/>
        <cfvo type="percentile" val="50"/>
        <cfvo type="max"/>
        <color rgb="FF63BE7B"/>
        <color rgb="FFFFEB84"/>
        <color rgb="FFF8696B"/>
      </colorScale>
    </cfRule>
  </conditionalFormatting>
  <conditionalFormatting sqref="S6:S31">
    <cfRule type="colorScale" priority="2">
      <colorScale>
        <cfvo type="min"/>
        <cfvo type="percentile" val="50"/>
        <cfvo type="max"/>
        <color rgb="FF63BE7B"/>
        <color rgb="FFFFEB84"/>
        <color rgb="FFF8696B"/>
      </colorScale>
    </cfRule>
  </conditionalFormatting>
  <printOptions horizontalCentered="1"/>
  <pageMargins left="0.39370078740157483" right="0.39370078740157483" top="0.39370078740157483" bottom="0.39370078740157483" header="0" footer="0"/>
  <pageSetup scale="41" orientation="landscape"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42884-AD09-42AD-9966-AB82519842A8}">
  <sheetPr>
    <tabColor rgb="FF92D050"/>
    <pageSetUpPr fitToPage="1"/>
  </sheetPr>
  <dimension ref="A1:AC72"/>
  <sheetViews>
    <sheetView tabSelected="1" view="pageBreakPreview" topLeftCell="A2" zoomScale="70" zoomScaleNormal="70" zoomScaleSheetLayoutView="70" workbookViewId="0">
      <selection activeCell="D3" sqref="D3:D4"/>
    </sheetView>
  </sheetViews>
  <sheetFormatPr baseColWidth="10" defaultColWidth="11.453125" defaultRowHeight="12.5"/>
  <cols>
    <col min="1" max="1" width="6.453125" customWidth="1"/>
    <col min="2" max="2" width="61.81640625" customWidth="1"/>
    <col min="3" max="3" width="8.453125" customWidth="1"/>
    <col min="4" max="4" width="11" customWidth="1"/>
    <col min="5" max="9" width="15.54296875" hidden="1" customWidth="1"/>
    <col min="10" max="10" width="15.54296875" customWidth="1"/>
    <col min="11" max="11" width="21" hidden="1" customWidth="1"/>
    <col min="12" max="12" width="24" hidden="1" customWidth="1"/>
    <col min="13" max="15" width="22" hidden="1" customWidth="1"/>
    <col min="16" max="16" width="23" bestFit="1" customWidth="1"/>
    <col min="17" max="18" width="25.1796875" style="701" hidden="1" customWidth="1"/>
    <col min="19" max="19" width="23.81640625" style="701" hidden="1" customWidth="1"/>
    <col min="20" max="20" width="21" style="701" hidden="1" customWidth="1"/>
    <col min="21" max="21" width="21" hidden="1" customWidth="1"/>
    <col min="22" max="22" width="30.81640625" hidden="1" customWidth="1"/>
    <col min="23" max="23" width="17" hidden="1" customWidth="1"/>
    <col min="24" max="24" width="52.54296875" hidden="1" customWidth="1"/>
    <col min="25" max="25" width="49.81640625" hidden="1" customWidth="1"/>
    <col min="26" max="26" width="53.1796875" hidden="1" customWidth="1"/>
    <col min="27" max="27" width="50.54296875" hidden="1" customWidth="1"/>
    <col min="28" max="28" width="40.453125" hidden="1" customWidth="1"/>
    <col min="29" max="29" width="15.1796875" hidden="1" customWidth="1"/>
  </cols>
  <sheetData>
    <row r="1" spans="1:29" s="45" customFormat="1" ht="30" hidden="1" customHeight="1" thickBot="1">
      <c r="A1" s="1364" t="s">
        <v>747</v>
      </c>
      <c r="B1" s="1365"/>
      <c r="C1" s="1365"/>
      <c r="D1" s="1365"/>
      <c r="E1" s="1365"/>
      <c r="F1" s="1365"/>
      <c r="G1" s="1365"/>
      <c r="H1" s="1365"/>
      <c r="I1" s="1365"/>
      <c r="J1" s="1365"/>
      <c r="K1" s="1365"/>
      <c r="L1" s="1365"/>
      <c r="M1" s="1365"/>
      <c r="N1" s="1365"/>
      <c r="O1" s="1365"/>
      <c r="P1" s="1366"/>
      <c r="Q1" s="686"/>
      <c r="R1" s="686"/>
      <c r="S1" s="686"/>
      <c r="T1" s="686"/>
    </row>
    <row r="2" spans="1:29" s="45" customFormat="1" ht="13.5" thickBot="1">
      <c r="A2" s="1367" t="s">
        <v>1007</v>
      </c>
      <c r="B2" s="1368"/>
      <c r="C2" s="1368"/>
      <c r="D2" s="1368"/>
      <c r="E2" s="1368"/>
      <c r="F2" s="1368"/>
      <c r="G2" s="1368"/>
      <c r="H2" s="1368"/>
      <c r="I2" s="1368"/>
      <c r="J2" s="1368"/>
      <c r="K2" s="1368"/>
      <c r="L2" s="1368"/>
      <c r="M2" s="1368"/>
      <c r="N2" s="1368"/>
      <c r="O2" s="1368"/>
      <c r="P2" s="1369"/>
      <c r="Q2" s="686"/>
      <c r="R2" s="686"/>
      <c r="S2" s="686"/>
      <c r="T2" s="686"/>
    </row>
    <row r="3" spans="1:29" s="2" customFormat="1" ht="30" customHeight="1" thickBot="1">
      <c r="A3" s="1370" t="s">
        <v>584</v>
      </c>
      <c r="B3" s="1372" t="s">
        <v>1008</v>
      </c>
      <c r="C3" s="1374" t="s">
        <v>259</v>
      </c>
      <c r="D3" s="1376" t="s">
        <v>688</v>
      </c>
      <c r="E3" s="1378" t="s">
        <v>1009</v>
      </c>
      <c r="F3" s="1379"/>
      <c r="G3" s="1379"/>
      <c r="H3" s="1379"/>
      <c r="I3" s="1379"/>
      <c r="J3" s="1380"/>
      <c r="K3" s="1378" t="s">
        <v>1010</v>
      </c>
      <c r="L3" s="1379"/>
      <c r="M3" s="1379"/>
      <c r="N3" s="1379"/>
      <c r="O3" s="1379"/>
      <c r="P3" s="1380"/>
      <c r="Q3" s="687"/>
      <c r="R3" s="687"/>
      <c r="S3" s="687"/>
      <c r="T3" s="687"/>
      <c r="U3" s="82"/>
      <c r="V3" s="82"/>
      <c r="W3" s="82"/>
      <c r="X3" s="82"/>
      <c r="Y3" s="82"/>
      <c r="Z3" s="82"/>
      <c r="AA3" s="82"/>
      <c r="AB3" s="82"/>
      <c r="AC3" s="82"/>
    </row>
    <row r="4" spans="1:29" s="2" customFormat="1" ht="26.5" customHeight="1" thickBot="1">
      <c r="A4" s="1371"/>
      <c r="B4" s="1373"/>
      <c r="C4" s="1375"/>
      <c r="D4" s="1377"/>
      <c r="E4" s="973" t="s">
        <v>749</v>
      </c>
      <c r="F4" s="974" t="s">
        <v>1011</v>
      </c>
      <c r="G4" s="974" t="s">
        <v>1012</v>
      </c>
      <c r="H4" s="977" t="s">
        <v>1013</v>
      </c>
      <c r="I4" s="977" t="s">
        <v>1014</v>
      </c>
      <c r="J4" s="975" t="s">
        <v>1015</v>
      </c>
      <c r="K4" s="976" t="s">
        <v>749</v>
      </c>
      <c r="L4" s="977" t="s">
        <v>1011</v>
      </c>
      <c r="M4" s="977" t="s">
        <v>1012</v>
      </c>
      <c r="N4" s="977" t="s">
        <v>1013</v>
      </c>
      <c r="O4" s="977" t="s">
        <v>1014</v>
      </c>
      <c r="P4" s="978" t="s">
        <v>1016</v>
      </c>
      <c r="Q4" s="686" t="s">
        <v>1067</v>
      </c>
      <c r="R4" s="688" t="s">
        <v>1068</v>
      </c>
      <c r="S4" s="689" t="s">
        <v>1069</v>
      </c>
      <c r="T4" s="690" t="s">
        <v>1070</v>
      </c>
      <c r="U4" s="82"/>
      <c r="V4" s="82"/>
      <c r="W4" s="82"/>
      <c r="X4" s="82"/>
      <c r="Y4" s="82"/>
      <c r="Z4" s="82"/>
      <c r="AA4" s="82"/>
      <c r="AB4" s="82"/>
      <c r="AC4" s="82"/>
    </row>
    <row r="5" spans="1:29" s="46" customFormat="1" ht="30" hidden="1" customHeight="1" thickBot="1">
      <c r="A5" s="1246">
        <v>1</v>
      </c>
      <c r="B5" s="1247" t="s">
        <v>1017</v>
      </c>
      <c r="C5" s="1248" t="s">
        <v>188</v>
      </c>
      <c r="D5" s="1249">
        <f>+USUARIOS!C16</f>
        <v>98</v>
      </c>
      <c r="E5" s="1250">
        <f>+'1'!F13</f>
        <v>0</v>
      </c>
      <c r="F5" s="1251">
        <f>+'1'!F20</f>
        <v>3222</v>
      </c>
      <c r="G5" s="1251">
        <f>+'1'!F27</f>
        <v>8889</v>
      </c>
      <c r="H5" s="1251">
        <f>+'1'!F31</f>
        <v>10350</v>
      </c>
      <c r="I5" s="1251">
        <f>+'1'!F32</f>
        <v>7089</v>
      </c>
      <c r="J5" s="1252">
        <f>SUM(E5:I5)</f>
        <v>29550</v>
      </c>
      <c r="K5" s="1250">
        <f t="shared" ref="K5" si="0">D5*E5</f>
        <v>0</v>
      </c>
      <c r="L5" s="1251">
        <f t="shared" ref="L5" si="1">D5*F5</f>
        <v>315756</v>
      </c>
      <c r="M5" s="1251">
        <f t="shared" ref="M5" si="2">D5*G5</f>
        <v>871122</v>
      </c>
      <c r="N5" s="1251">
        <f>+H5*D5</f>
        <v>1014300</v>
      </c>
      <c r="O5" s="1251">
        <f t="shared" ref="O5" si="3">D5*I5</f>
        <v>694722</v>
      </c>
      <c r="P5" s="1253"/>
      <c r="Q5" s="686">
        <v>2895900</v>
      </c>
      <c r="R5" s="691">
        <v>42705342</v>
      </c>
      <c r="S5" s="692">
        <f>+P5-R5</f>
        <v>-42705342</v>
      </c>
      <c r="T5" s="690"/>
      <c r="U5" s="372" t="s">
        <v>1065</v>
      </c>
      <c r="V5" s="372" t="s">
        <v>1071</v>
      </c>
      <c r="W5" s="47"/>
      <c r="X5" s="1352" t="s">
        <v>1072</v>
      </c>
      <c r="Y5" s="1353"/>
      <c r="Z5" s="1353"/>
      <c r="AA5" s="1353"/>
      <c r="AB5" s="1353"/>
      <c r="AC5" s="1354"/>
    </row>
    <row r="6" spans="1:29" s="46" customFormat="1" ht="28.5" customHeight="1" thickBot="1">
      <c r="A6" s="248">
        <v>1</v>
      </c>
      <c r="B6" s="1265" t="s">
        <v>1018</v>
      </c>
      <c r="C6" s="1265"/>
      <c r="D6" s="1265"/>
      <c r="E6" s="1265"/>
      <c r="F6" s="1265"/>
      <c r="G6" s="1265"/>
      <c r="H6" s="1265"/>
      <c r="I6" s="1265"/>
      <c r="J6" s="1265"/>
      <c r="K6" s="1265"/>
      <c r="L6" s="1265"/>
      <c r="M6" s="1265"/>
      <c r="N6" s="1265"/>
      <c r="O6" s="1265"/>
      <c r="P6" s="1266"/>
      <c r="Q6" s="686"/>
      <c r="R6" s="693">
        <v>2971600443</v>
      </c>
      <c r="S6" s="692">
        <f>+P6-R6</f>
        <v>-2971600443</v>
      </c>
      <c r="T6" s="690"/>
      <c r="U6" s="369">
        <f>+P6/D9</f>
        <v>0</v>
      </c>
      <c r="V6" s="103"/>
      <c r="W6" s="47"/>
      <c r="X6" s="377" t="s">
        <v>1073</v>
      </c>
      <c r="Y6" s="378" t="s">
        <v>1074</v>
      </c>
      <c r="Z6" s="378" t="s">
        <v>1075</v>
      </c>
      <c r="AA6" s="379" t="s">
        <v>1076</v>
      </c>
      <c r="AB6" s="379" t="s">
        <v>1077</v>
      </c>
      <c r="AC6" s="380" t="s">
        <v>1078</v>
      </c>
    </row>
    <row r="7" spans="1:29" s="46" customFormat="1" ht="13.5" thickBot="1">
      <c r="A7" s="1261" t="s">
        <v>845</v>
      </c>
      <c r="B7" s="1262" t="s">
        <v>1019</v>
      </c>
      <c r="C7" s="1261" t="s">
        <v>188</v>
      </c>
      <c r="D7" s="1261">
        <f>+Tabla1[[#Totals],[INDIVIDUALES]]</f>
        <v>53</v>
      </c>
      <c r="E7" s="1263">
        <f>SUM('PRES. SISFV 2010 W B200'!K6:K13)</f>
        <v>0</v>
      </c>
      <c r="F7" s="1263">
        <f>SUM('PRES. SISFV 2010 W B200'!L6:L13)</f>
        <v>0</v>
      </c>
      <c r="G7" s="1263">
        <f>SUM('PRES. SISFV 2010 W B200'!M6:M13)</f>
        <v>0</v>
      </c>
      <c r="H7" s="1263">
        <f>SUM('PRES. SISFV 2010 W B200'!N6:N13)</f>
        <v>0</v>
      </c>
      <c r="I7" s="1263">
        <f>SUM('PRES. SISFV 2010 W B200'!O6:O13)</f>
        <v>0</v>
      </c>
      <c r="J7" s="1264"/>
      <c r="K7" s="1263"/>
      <c r="L7" s="1263"/>
      <c r="M7" s="1263"/>
      <c r="N7" s="1263"/>
      <c r="O7" s="1263"/>
      <c r="P7" s="1264"/>
      <c r="Q7" s="686"/>
      <c r="R7" s="694">
        <v>2241818730</v>
      </c>
      <c r="S7" s="692">
        <f>+P7-R7</f>
        <v>-2241818730</v>
      </c>
      <c r="T7" s="690"/>
      <c r="U7" s="103"/>
      <c r="V7" s="103"/>
      <c r="W7" s="47"/>
      <c r="X7" s="373">
        <v>52661210393.519997</v>
      </c>
      <c r="Y7" s="374">
        <f>+X7-P54</f>
        <v>52661210393.519997</v>
      </c>
      <c r="Z7" s="375" t="e">
        <f>+Y7/SUM(#REF!+#REF!+D29+#REF!+#REF!+#REF!)</f>
        <v>#REF!</v>
      </c>
      <c r="AA7" s="374">
        <v>58598097.939827591</v>
      </c>
      <c r="AB7" s="374" t="e">
        <f>+Z7-AA7</f>
        <v>#REF!</v>
      </c>
      <c r="AC7" s="376" t="e">
        <f>+AB7/AA7</f>
        <v>#REF!</v>
      </c>
    </row>
    <row r="8" spans="1:29" s="46" customFormat="1" ht="13">
      <c r="A8" s="1258" t="s">
        <v>848</v>
      </c>
      <c r="B8" s="1259" t="s">
        <v>1020</v>
      </c>
      <c r="C8" s="1258" t="s">
        <v>188</v>
      </c>
      <c r="D8" s="1258">
        <f>+Tabla1[[#Totals],[INDIVIDUALES]]</f>
        <v>53</v>
      </c>
      <c r="E8" s="449">
        <f>+SUM('PRES. SISFV 2010 W B200'!K15:K16)</f>
        <v>0</v>
      </c>
      <c r="F8" s="449">
        <f>+SUM('PRES. SISFV 2010 W B200'!L15:L16)</f>
        <v>0</v>
      </c>
      <c r="G8" s="449">
        <f>+SUM('PRES. SISFV 2010 W B200'!M15:M16)</f>
        <v>0</v>
      </c>
      <c r="H8" s="449">
        <f>+SUM('PRES. SISFV 2010 W B200'!N15:N16)</f>
        <v>0</v>
      </c>
      <c r="I8" s="449">
        <f>+SUM('PRES. SISFV 2010 W B200'!O15:O16)</f>
        <v>0</v>
      </c>
      <c r="J8" s="1260"/>
      <c r="K8" s="449"/>
      <c r="L8" s="449"/>
      <c r="M8" s="449"/>
      <c r="N8" s="449"/>
      <c r="O8" s="449"/>
      <c r="P8" s="1260"/>
      <c r="Q8" s="686"/>
      <c r="R8" s="694">
        <v>296443393</v>
      </c>
      <c r="S8" s="692">
        <f>+P8-R8</f>
        <v>-296443393</v>
      </c>
      <c r="T8" s="690"/>
      <c r="U8" s="103"/>
      <c r="V8" s="103"/>
      <c r="W8" s="47"/>
      <c r="X8" s="47"/>
      <c r="Y8" s="47"/>
      <c r="Z8" s="47"/>
      <c r="AA8" s="47"/>
      <c r="AB8" s="47"/>
      <c r="AC8" s="47"/>
    </row>
    <row r="9" spans="1:29" s="46" customFormat="1" ht="13">
      <c r="A9" s="1261" t="s">
        <v>1877</v>
      </c>
      <c r="B9" s="1259" t="s">
        <v>1021</v>
      </c>
      <c r="C9" s="1258" t="s">
        <v>188</v>
      </c>
      <c r="D9" s="1258">
        <f>+Tabla1[[#Totals],[INDIVIDUALES]]</f>
        <v>53</v>
      </c>
      <c r="E9" s="449">
        <f>SUM('PRES. SISFV 2010 W B200'!K18)</f>
        <v>0</v>
      </c>
      <c r="F9" s="449">
        <f>SUM('PRES. SISFV 2010 W B200'!L18)</f>
        <v>0</v>
      </c>
      <c r="G9" s="449">
        <f>SUM('PRES. SISFV 2010 W B200'!M18)</f>
        <v>0</v>
      </c>
      <c r="H9" s="449">
        <f>SUM('PRES. SISFV 2010 W B200'!N18)</f>
        <v>0</v>
      </c>
      <c r="I9" s="449">
        <f>SUM('PRES. SISFV 2010 W B200'!O18)</f>
        <v>0</v>
      </c>
      <c r="J9" s="1260"/>
      <c r="K9" s="449"/>
      <c r="L9" s="449"/>
      <c r="M9" s="449"/>
      <c r="N9" s="449"/>
      <c r="O9" s="449"/>
      <c r="P9" s="1260"/>
      <c r="Q9" s="686"/>
      <c r="R9" s="694">
        <v>433338320</v>
      </c>
      <c r="S9" s="692">
        <f>+P9-R9</f>
        <v>-433338320</v>
      </c>
      <c r="T9" s="690"/>
      <c r="U9" s="103"/>
      <c r="V9" s="103"/>
      <c r="W9" s="47"/>
      <c r="X9" s="47"/>
      <c r="Y9" s="47"/>
      <c r="Z9" s="47"/>
      <c r="AA9" s="47"/>
      <c r="AB9" s="47"/>
      <c r="AC9" s="47"/>
    </row>
    <row r="10" spans="1:29" s="46" customFormat="1" ht="13">
      <c r="A10" s="1258" t="s">
        <v>851</v>
      </c>
      <c r="B10" s="1259" t="s">
        <v>1876</v>
      </c>
      <c r="C10" s="1258" t="s">
        <v>188</v>
      </c>
      <c r="D10" s="1258">
        <v>53</v>
      </c>
      <c r="E10" s="449"/>
      <c r="F10" s="449"/>
      <c r="G10" s="449"/>
      <c r="H10" s="449"/>
      <c r="I10" s="449"/>
      <c r="J10" s="1260"/>
      <c r="K10" s="449"/>
      <c r="L10" s="449"/>
      <c r="M10" s="449"/>
      <c r="N10" s="449"/>
      <c r="O10" s="449"/>
      <c r="P10" s="1260"/>
      <c r="Q10" s="686"/>
      <c r="R10" s="694"/>
      <c r="S10" s="692"/>
      <c r="T10" s="690"/>
      <c r="U10" s="103"/>
      <c r="V10" s="103"/>
      <c r="W10" s="47"/>
      <c r="X10" s="47"/>
      <c r="Y10" s="47"/>
      <c r="Z10" s="47"/>
      <c r="AA10" s="47"/>
      <c r="AB10" s="47"/>
      <c r="AC10" s="47"/>
    </row>
    <row r="11" spans="1:29" s="46" customFormat="1" ht="100.5" thickBot="1">
      <c r="A11" s="1261" t="s">
        <v>1878</v>
      </c>
      <c r="B11" s="1267" t="s">
        <v>1302</v>
      </c>
      <c r="C11" s="1003" t="s">
        <v>188</v>
      </c>
      <c r="D11" s="1258">
        <v>53</v>
      </c>
      <c r="E11" s="449"/>
      <c r="F11" s="449"/>
      <c r="G11" s="449"/>
      <c r="H11" s="449"/>
      <c r="I11" s="449"/>
      <c r="J11" s="1260"/>
      <c r="K11" s="449"/>
      <c r="L11" s="449"/>
      <c r="M11" s="449"/>
      <c r="N11" s="449"/>
      <c r="O11" s="449"/>
      <c r="P11" s="1260"/>
      <c r="Q11" s="686"/>
      <c r="R11" s="694"/>
      <c r="S11" s="692"/>
      <c r="T11" s="690"/>
      <c r="U11" s="103"/>
      <c r="V11" s="103"/>
      <c r="W11" s="47"/>
      <c r="X11" s="47"/>
      <c r="Y11" s="47"/>
      <c r="Z11" s="47"/>
      <c r="AA11" s="47"/>
      <c r="AB11" s="47"/>
      <c r="AC11" s="47"/>
    </row>
    <row r="12" spans="1:29" s="46" customFormat="1" ht="25.4" customHeight="1" thickBot="1">
      <c r="A12" s="248">
        <v>2</v>
      </c>
      <c r="B12" s="1265" t="s">
        <v>1022</v>
      </c>
      <c r="C12" s="1265"/>
      <c r="D12" s="1265"/>
      <c r="E12" s="1265"/>
      <c r="F12" s="1265"/>
      <c r="G12" s="1265"/>
      <c r="H12" s="1265"/>
      <c r="I12" s="1265"/>
      <c r="J12" s="1265"/>
      <c r="K12" s="1265"/>
      <c r="L12" s="1265"/>
      <c r="M12" s="1265"/>
      <c r="N12" s="1265"/>
      <c r="O12" s="1265"/>
      <c r="P12" s="1266"/>
      <c r="Q12" s="686">
        <f>+P12/13</f>
        <v>0</v>
      </c>
      <c r="R12" s="694"/>
      <c r="S12" s="692"/>
      <c r="T12" s="690"/>
      <c r="U12" s="370"/>
      <c r="V12" s="103"/>
      <c r="W12" s="47"/>
      <c r="X12" s="47"/>
      <c r="Y12" s="47"/>
      <c r="Z12" s="47"/>
      <c r="AA12" s="47"/>
      <c r="AB12" s="47"/>
      <c r="AC12" s="47"/>
    </row>
    <row r="13" spans="1:29" s="46" customFormat="1" ht="13">
      <c r="A13" s="1261" t="s">
        <v>869</v>
      </c>
      <c r="B13" s="1262" t="s">
        <v>1024</v>
      </c>
      <c r="C13" s="1261" t="s">
        <v>188</v>
      </c>
      <c r="D13" s="1261">
        <v>2</v>
      </c>
      <c r="E13" s="1263">
        <f>+SUM('PRES MR 5 KW'!K6:K18)</f>
        <v>0</v>
      </c>
      <c r="F13" s="1263">
        <f>+SUM('PRES MR 5 KW'!L6:L18)</f>
        <v>0</v>
      </c>
      <c r="G13" s="1263">
        <f>+SUM('PRES MR 5 KW'!M6:M18)</f>
        <v>0</v>
      </c>
      <c r="H13" s="1263">
        <f>+SUM('PRES MR 5 KW'!N6:N18)</f>
        <v>0</v>
      </c>
      <c r="I13" s="1263">
        <f>+SUM('PRES MR 5 KW'!O6:O18)</f>
        <v>0</v>
      </c>
      <c r="J13" s="1264"/>
      <c r="K13" s="1263"/>
      <c r="L13" s="1263"/>
      <c r="M13" s="1263"/>
      <c r="N13" s="1263"/>
      <c r="O13" s="1263"/>
      <c r="P13" s="1264"/>
      <c r="Q13" s="686"/>
      <c r="R13" s="694"/>
      <c r="S13" s="692"/>
      <c r="T13" s="690"/>
      <c r="U13" s="370"/>
      <c r="V13" s="103"/>
      <c r="W13" s="47"/>
      <c r="X13" s="47"/>
      <c r="Y13" s="47"/>
      <c r="Z13" s="47"/>
      <c r="AA13" s="47"/>
      <c r="AB13" s="47"/>
      <c r="AC13" s="47"/>
    </row>
    <row r="14" spans="1:29" s="46" customFormat="1" ht="13">
      <c r="A14" s="1258" t="s">
        <v>874</v>
      </c>
      <c r="B14" s="1259" t="s">
        <v>1026</v>
      </c>
      <c r="C14" s="1258" t="s">
        <v>188</v>
      </c>
      <c r="D14" s="1258">
        <f>+D13</f>
        <v>2</v>
      </c>
      <c r="E14" s="449">
        <f>+SUM('PRES MR 5 KW'!K20:K29)</f>
        <v>0</v>
      </c>
      <c r="F14" s="449">
        <f>+SUM('PRES MR 5 KW'!L20:L29)</f>
        <v>0</v>
      </c>
      <c r="G14" s="449">
        <f>+SUM('PRES MR 5 KW'!M20:M29)</f>
        <v>0</v>
      </c>
      <c r="H14" s="449">
        <f>+SUM('PRES MR 5 KW'!N20:N29)</f>
        <v>0</v>
      </c>
      <c r="I14" s="449">
        <f>+SUM('PRES MR 5 KW'!O20:O29)</f>
        <v>0</v>
      </c>
      <c r="J14" s="1260"/>
      <c r="K14" s="449"/>
      <c r="L14" s="449"/>
      <c r="M14" s="449"/>
      <c r="N14" s="449"/>
      <c r="O14" s="449"/>
      <c r="P14" s="1260"/>
      <c r="Q14" s="686"/>
      <c r="R14" s="694"/>
      <c r="S14" s="692"/>
      <c r="T14" s="690"/>
      <c r="U14" s="370"/>
      <c r="V14" s="103"/>
      <c r="W14" s="47"/>
      <c r="X14" s="47"/>
      <c r="Y14" s="47"/>
      <c r="Z14" s="47"/>
      <c r="AA14" s="47"/>
      <c r="AB14" s="47"/>
      <c r="AC14" s="47"/>
    </row>
    <row r="15" spans="1:29" s="46" customFormat="1" ht="13">
      <c r="A15" s="1261" t="s">
        <v>878</v>
      </c>
      <c r="B15" s="1259" t="s">
        <v>1021</v>
      </c>
      <c r="C15" s="1258" t="s">
        <v>188</v>
      </c>
      <c r="D15" s="1258">
        <v>13</v>
      </c>
      <c r="E15" s="449">
        <f>+SUM('PRES MR 5 KW'!K31)</f>
        <v>0</v>
      </c>
      <c r="F15" s="449">
        <f>+SUM('PRES MR 5 KW'!L31)</f>
        <v>0</v>
      </c>
      <c r="G15" s="449">
        <f>+SUM('PRES MR 5 KW'!M31)</f>
        <v>0</v>
      </c>
      <c r="H15" s="449">
        <f>+SUM('PRES MR 5 KW'!N31)</f>
        <v>0</v>
      </c>
      <c r="I15" s="449">
        <f>+SUM('PRES MR 5 KW'!O31)</f>
        <v>0</v>
      </c>
      <c r="J15" s="1260"/>
      <c r="K15" s="449"/>
      <c r="L15" s="449"/>
      <c r="M15" s="449"/>
      <c r="N15" s="449"/>
      <c r="O15" s="449"/>
      <c r="P15" s="1260"/>
      <c r="Q15" s="686"/>
      <c r="R15" s="694"/>
      <c r="S15" s="692"/>
      <c r="T15" s="690"/>
      <c r="U15" s="370"/>
      <c r="V15" s="103"/>
      <c r="W15" s="47"/>
      <c r="X15" s="47"/>
      <c r="Y15" s="47"/>
      <c r="Z15" s="47"/>
      <c r="AA15" s="47"/>
      <c r="AB15" s="47"/>
      <c r="AC15" s="47"/>
    </row>
    <row r="16" spans="1:29" s="46" customFormat="1" ht="13">
      <c r="A16" s="1258" t="s">
        <v>887</v>
      </c>
      <c r="B16" s="1259" t="s">
        <v>1029</v>
      </c>
      <c r="C16" s="1258" t="s">
        <v>188</v>
      </c>
      <c r="D16" s="1258">
        <f>+D15</f>
        <v>13</v>
      </c>
      <c r="E16" s="449">
        <f>+SUM('PRES MR 5 KW'!K33:K34)</f>
        <v>0</v>
      </c>
      <c r="F16" s="449">
        <f>+SUM('PRES MR 5 KW'!L33:L34)</f>
        <v>0</v>
      </c>
      <c r="G16" s="449">
        <f>+SUM('PRES MR 5 KW'!M33:M34)</f>
        <v>0</v>
      </c>
      <c r="H16" s="449">
        <f>+SUM('PRES MR 5 KW'!N33:N34)</f>
        <v>0</v>
      </c>
      <c r="I16" s="449">
        <f>+SUM('PRES MR 5 KW'!O33:O34)</f>
        <v>0</v>
      </c>
      <c r="J16" s="1260"/>
      <c r="K16" s="449"/>
      <c r="L16" s="449"/>
      <c r="M16" s="449"/>
      <c r="N16" s="449"/>
      <c r="O16" s="449"/>
      <c r="P16" s="1260"/>
      <c r="Q16" s="686"/>
      <c r="R16" s="694"/>
      <c r="S16" s="692"/>
      <c r="T16" s="690"/>
      <c r="U16" s="370"/>
      <c r="V16" s="103"/>
      <c r="W16" s="47"/>
      <c r="X16" s="47"/>
      <c r="Y16" s="47"/>
      <c r="Z16" s="47"/>
      <c r="AA16" s="47"/>
      <c r="AB16" s="47"/>
      <c r="AC16" s="47"/>
    </row>
    <row r="17" spans="1:29" s="46" customFormat="1" ht="13">
      <c r="A17" s="1261" t="s">
        <v>1879</v>
      </c>
      <c r="B17" s="1259" t="s">
        <v>354</v>
      </c>
      <c r="C17" s="1258" t="s">
        <v>188</v>
      </c>
      <c r="D17" s="1258">
        <f>+D13</f>
        <v>2</v>
      </c>
      <c r="E17" s="449">
        <f>+SUM('PRES MR 5 KW'!K36:K41)</f>
        <v>0</v>
      </c>
      <c r="F17" s="449">
        <f>+SUM('PRES MR 5 KW'!L36:L41)</f>
        <v>0</v>
      </c>
      <c r="G17" s="449">
        <f>+SUM('PRES MR 5 KW'!M36:M41)</f>
        <v>0</v>
      </c>
      <c r="H17" s="449">
        <f>+SUM('PRES MR 5 KW'!N36:N41)</f>
        <v>0</v>
      </c>
      <c r="I17" s="449">
        <f>+SUM('PRES MR 5 KW'!O36:O41)</f>
        <v>0</v>
      </c>
      <c r="J17" s="1260"/>
      <c r="K17" s="449"/>
      <c r="L17" s="449"/>
      <c r="M17" s="449"/>
      <c r="N17" s="449"/>
      <c r="O17" s="449"/>
      <c r="P17" s="1260"/>
      <c r="Q17" s="686"/>
      <c r="R17" s="694"/>
      <c r="S17" s="692"/>
      <c r="T17" s="690"/>
      <c r="U17" s="370"/>
      <c r="V17" s="103"/>
      <c r="W17" s="47"/>
      <c r="X17" s="47"/>
      <c r="Y17" s="47"/>
      <c r="Z17" s="47"/>
      <c r="AA17" s="47"/>
      <c r="AB17" s="47"/>
      <c r="AC17" s="47"/>
    </row>
    <row r="18" spans="1:29" s="46" customFormat="1" ht="13">
      <c r="A18" s="1258" t="s">
        <v>1880</v>
      </c>
      <c r="B18" s="1259" t="s">
        <v>1876</v>
      </c>
      <c r="C18" s="1258" t="s">
        <v>188</v>
      </c>
      <c r="D18" s="1258">
        <v>13</v>
      </c>
      <c r="E18" s="449"/>
      <c r="F18" s="449"/>
      <c r="G18" s="449"/>
      <c r="H18" s="449"/>
      <c r="I18" s="449"/>
      <c r="J18" s="1260"/>
      <c r="K18" s="449"/>
      <c r="L18" s="449"/>
      <c r="M18" s="449"/>
      <c r="N18" s="449"/>
      <c r="O18" s="449"/>
      <c r="P18" s="1260"/>
      <c r="Q18" s="686"/>
      <c r="R18" s="694"/>
      <c r="S18" s="692"/>
      <c r="T18" s="690"/>
      <c r="U18" s="370"/>
      <c r="V18" s="103"/>
      <c r="W18" s="47"/>
      <c r="X18" s="47"/>
      <c r="Y18" s="47"/>
      <c r="Z18" s="47"/>
      <c r="AA18" s="47"/>
      <c r="AB18" s="47"/>
      <c r="AC18" s="47"/>
    </row>
    <row r="19" spans="1:29" s="46" customFormat="1" ht="100.5" thickBot="1">
      <c r="A19" s="1261" t="s">
        <v>1881</v>
      </c>
      <c r="B19" s="1267" t="s">
        <v>1302</v>
      </c>
      <c r="C19" s="1003" t="s">
        <v>188</v>
      </c>
      <c r="D19" s="1258">
        <v>13</v>
      </c>
      <c r="E19" s="449"/>
      <c r="F19" s="449"/>
      <c r="G19" s="449"/>
      <c r="H19" s="449"/>
      <c r="I19" s="449"/>
      <c r="J19" s="1260"/>
      <c r="K19" s="449"/>
      <c r="L19" s="449"/>
      <c r="M19" s="449"/>
      <c r="N19" s="449"/>
      <c r="O19" s="449"/>
      <c r="P19" s="1260"/>
      <c r="Q19" s="686"/>
      <c r="R19" s="694"/>
      <c r="S19" s="692"/>
      <c r="T19" s="690"/>
      <c r="U19" s="370"/>
      <c r="V19" s="103"/>
      <c r="W19" s="47"/>
      <c r="X19" s="47"/>
      <c r="Y19" s="47"/>
      <c r="Z19" s="47"/>
      <c r="AA19" s="47"/>
      <c r="AB19" s="47"/>
      <c r="AC19" s="47"/>
    </row>
    <row r="20" spans="1:29" s="46" customFormat="1" ht="13.5" thickBot="1">
      <c r="A20" s="248">
        <v>3</v>
      </c>
      <c r="B20" s="1265" t="s">
        <v>1031</v>
      </c>
      <c r="C20" s="1265"/>
      <c r="D20" s="1265"/>
      <c r="E20" s="1265"/>
      <c r="F20" s="1265"/>
      <c r="G20" s="1265"/>
      <c r="H20" s="1265"/>
      <c r="I20" s="1265"/>
      <c r="J20" s="1265"/>
      <c r="K20" s="1265"/>
      <c r="L20" s="1265"/>
      <c r="M20" s="1265"/>
      <c r="N20" s="1265"/>
      <c r="O20" s="1265"/>
      <c r="P20" s="1266"/>
      <c r="Q20" s="686"/>
      <c r="R20" s="694"/>
      <c r="S20" s="692"/>
      <c r="T20" s="690"/>
      <c r="U20" s="370"/>
      <c r="V20" s="103"/>
      <c r="W20" s="47"/>
      <c r="X20" s="47"/>
      <c r="Y20" s="47"/>
      <c r="Z20" s="47"/>
      <c r="AA20" s="47"/>
      <c r="AB20" s="47"/>
      <c r="AC20" s="47"/>
    </row>
    <row r="21" spans="1:29" s="46" customFormat="1" ht="13">
      <c r="A21" s="1261" t="s">
        <v>1023</v>
      </c>
      <c r="B21" s="1262" t="s">
        <v>1033</v>
      </c>
      <c r="C21" s="1261" t="s">
        <v>188</v>
      </c>
      <c r="D21" s="1261">
        <v>1</v>
      </c>
      <c r="E21" s="1263">
        <f>+SUM('PRES MR 10 KW'!K6:K18)</f>
        <v>0</v>
      </c>
      <c r="F21" s="1263">
        <f>+SUM('PRES MR 10 KW'!L6:L18)</f>
        <v>0</v>
      </c>
      <c r="G21" s="1263">
        <f>+SUM('PRES MR 10 KW'!M6:M18)</f>
        <v>0</v>
      </c>
      <c r="H21" s="1263">
        <f>+SUM('PRES MR 10 KW'!N6:N18)</f>
        <v>0</v>
      </c>
      <c r="I21" s="1263">
        <f>+SUM('PRES MR 10 KW'!O6:O18)</f>
        <v>0</v>
      </c>
      <c r="J21" s="1264"/>
      <c r="K21" s="1263"/>
      <c r="L21" s="1263"/>
      <c r="M21" s="1263"/>
      <c r="N21" s="1263"/>
      <c r="O21" s="1263"/>
      <c r="P21" s="1264"/>
      <c r="Q21" s="686"/>
      <c r="R21" s="694"/>
      <c r="S21" s="692"/>
      <c r="T21" s="690"/>
      <c r="U21" s="370"/>
      <c r="V21" s="103"/>
      <c r="W21" s="47"/>
      <c r="X21" s="47"/>
      <c r="Y21" s="47"/>
      <c r="Z21" s="47"/>
      <c r="AA21" s="47"/>
      <c r="AB21" s="47"/>
      <c r="AC21" s="47"/>
    </row>
    <row r="22" spans="1:29" s="46" customFormat="1" ht="13">
      <c r="A22" s="1258" t="s">
        <v>1025</v>
      </c>
      <c r="B22" s="1259" t="s">
        <v>1035</v>
      </c>
      <c r="C22" s="1258" t="s">
        <v>188</v>
      </c>
      <c r="D22" s="1258">
        <f>+D21</f>
        <v>1</v>
      </c>
      <c r="E22" s="449">
        <f>+SUM('PRES MR 10 KW'!K20:K29)</f>
        <v>0</v>
      </c>
      <c r="F22" s="449">
        <f>+SUM('PRES MR 10 KW'!L20:L29)</f>
        <v>0</v>
      </c>
      <c r="G22" s="449">
        <f>+SUM('PRES MR 10 KW'!M20:M29)</f>
        <v>0</v>
      </c>
      <c r="H22" s="449">
        <f>+SUM('PRES MR 10 KW'!N20:N29)</f>
        <v>0</v>
      </c>
      <c r="I22" s="449">
        <f>+SUM('PRES MR 10 KW'!O20:O29)</f>
        <v>0</v>
      </c>
      <c r="J22" s="1260"/>
      <c r="K22" s="449"/>
      <c r="L22" s="449"/>
      <c r="M22" s="449"/>
      <c r="N22" s="449"/>
      <c r="O22" s="449"/>
      <c r="P22" s="1260"/>
      <c r="Q22" s="686"/>
      <c r="R22" s="694"/>
      <c r="S22" s="692"/>
      <c r="T22" s="690"/>
      <c r="U22" s="370"/>
      <c r="V22" s="103"/>
      <c r="W22" s="47"/>
      <c r="X22" s="47"/>
      <c r="Y22" s="47"/>
      <c r="Z22" s="47"/>
      <c r="AA22" s="47"/>
      <c r="AB22" s="47"/>
      <c r="AC22" s="47"/>
    </row>
    <row r="23" spans="1:29" s="46" customFormat="1" ht="13">
      <c r="A23" s="1261" t="s">
        <v>1027</v>
      </c>
      <c r="B23" s="1259" t="s">
        <v>1021</v>
      </c>
      <c r="C23" s="1258" t="s">
        <v>188</v>
      </c>
      <c r="D23" s="1258">
        <v>15</v>
      </c>
      <c r="E23" s="449">
        <f>+'PRES MR 10 KW'!K31</f>
        <v>0</v>
      </c>
      <c r="F23" s="449">
        <f>+'PRES MR 10 KW'!L31</f>
        <v>0</v>
      </c>
      <c r="G23" s="449">
        <f>+'PRES MR 10 KW'!M31</f>
        <v>0</v>
      </c>
      <c r="H23" s="449">
        <f>+'PRES MR 10 KW'!N31</f>
        <v>0</v>
      </c>
      <c r="I23" s="449">
        <f>+'PRES MR 10 KW'!O31</f>
        <v>0</v>
      </c>
      <c r="J23" s="1260"/>
      <c r="K23" s="449"/>
      <c r="L23" s="449"/>
      <c r="M23" s="449"/>
      <c r="N23" s="449"/>
      <c r="O23" s="449"/>
      <c r="P23" s="1260"/>
      <c r="Q23" s="686"/>
      <c r="R23" s="694"/>
      <c r="S23" s="692"/>
      <c r="T23" s="690"/>
      <c r="U23" s="370"/>
      <c r="V23" s="103"/>
      <c r="W23" s="47"/>
      <c r="X23" s="47"/>
      <c r="Y23" s="47"/>
      <c r="Z23" s="47"/>
      <c r="AA23" s="47"/>
      <c r="AB23" s="47"/>
      <c r="AC23" s="47"/>
    </row>
    <row r="24" spans="1:29" s="46" customFormat="1" ht="13">
      <c r="A24" s="1258" t="s">
        <v>1028</v>
      </c>
      <c r="B24" s="1259" t="s">
        <v>1029</v>
      </c>
      <c r="C24" s="1258" t="s">
        <v>188</v>
      </c>
      <c r="D24" s="1258">
        <f>+D23</f>
        <v>15</v>
      </c>
      <c r="E24" s="449">
        <f>+SUM('PRES MR 10 KW'!K33:K34)</f>
        <v>0</v>
      </c>
      <c r="F24" s="449">
        <f>+SUM('PRES MR 10 KW'!L33:L34)</f>
        <v>0</v>
      </c>
      <c r="G24" s="449">
        <f>+SUM('PRES MR 10 KW'!M33:M34)</f>
        <v>0</v>
      </c>
      <c r="H24" s="449">
        <f>+SUM('PRES MR 10 KW'!N33:N34)</f>
        <v>0</v>
      </c>
      <c r="I24" s="449">
        <f>+SUM('PRES MR 10 KW'!O33:O34)</f>
        <v>0</v>
      </c>
      <c r="J24" s="1260"/>
      <c r="K24" s="449"/>
      <c r="L24" s="449"/>
      <c r="M24" s="449"/>
      <c r="N24" s="449"/>
      <c r="O24" s="449"/>
      <c r="P24" s="1260"/>
      <c r="Q24" s="686"/>
      <c r="R24" s="694"/>
      <c r="S24" s="692"/>
      <c r="T24" s="690"/>
      <c r="U24" s="370"/>
      <c r="V24" s="103"/>
      <c r="W24" s="47"/>
      <c r="X24" s="47"/>
      <c r="Y24" s="47"/>
      <c r="Z24" s="47"/>
      <c r="AA24" s="47"/>
      <c r="AB24" s="47"/>
      <c r="AC24" s="47"/>
    </row>
    <row r="25" spans="1:29" s="46" customFormat="1" ht="13">
      <c r="A25" s="1261" t="s">
        <v>1030</v>
      </c>
      <c r="B25" s="1259" t="s">
        <v>354</v>
      </c>
      <c r="C25" s="1258" t="s">
        <v>188</v>
      </c>
      <c r="D25" s="1258">
        <f>+D21</f>
        <v>1</v>
      </c>
      <c r="E25" s="449">
        <f>+SUM('PRES MR 10 KW'!K36:K41)</f>
        <v>0</v>
      </c>
      <c r="F25" s="449">
        <f>+SUM('PRES MR 10 KW'!L36:L41)</f>
        <v>0</v>
      </c>
      <c r="G25" s="449">
        <f>+SUM('PRES MR 10 KW'!M36:M41)</f>
        <v>0</v>
      </c>
      <c r="H25" s="449">
        <f>+SUM('PRES MR 10 KW'!N36:N41)</f>
        <v>0</v>
      </c>
      <c r="I25" s="449">
        <f>+SUM('PRES MR 10 KW'!O36:O41)</f>
        <v>0</v>
      </c>
      <c r="J25" s="1260"/>
      <c r="K25" s="449"/>
      <c r="L25" s="449"/>
      <c r="M25" s="449"/>
      <c r="N25" s="449"/>
      <c r="O25" s="449"/>
      <c r="P25" s="1260"/>
      <c r="Q25" s="686"/>
      <c r="R25" s="694"/>
      <c r="S25" s="692"/>
      <c r="T25" s="690"/>
      <c r="U25" s="370"/>
      <c r="V25" s="103"/>
      <c r="W25" s="47"/>
      <c r="X25" s="47"/>
      <c r="Y25" s="47"/>
      <c r="Z25" s="47"/>
      <c r="AA25" s="47"/>
      <c r="AB25" s="47"/>
      <c r="AC25" s="47"/>
    </row>
    <row r="26" spans="1:29" s="46" customFormat="1" ht="13">
      <c r="A26" s="1258" t="s">
        <v>1872</v>
      </c>
      <c r="B26" s="1259" t="s">
        <v>1876</v>
      </c>
      <c r="C26" s="1258" t="s">
        <v>188</v>
      </c>
      <c r="D26" s="1258">
        <v>15</v>
      </c>
      <c r="E26" s="449"/>
      <c r="F26" s="449"/>
      <c r="G26" s="449"/>
      <c r="H26" s="449"/>
      <c r="I26" s="449"/>
      <c r="J26" s="1260"/>
      <c r="K26" s="449"/>
      <c r="L26" s="449"/>
      <c r="M26" s="449"/>
      <c r="N26" s="449"/>
      <c r="O26" s="449"/>
      <c r="P26" s="1260"/>
      <c r="Q26" s="686"/>
      <c r="R26" s="694"/>
      <c r="S26" s="692"/>
      <c r="T26" s="690"/>
      <c r="U26" s="370"/>
      <c r="V26" s="103"/>
      <c r="W26" s="47"/>
      <c r="X26" s="47"/>
      <c r="Y26" s="47"/>
      <c r="Z26" s="47"/>
      <c r="AA26" s="47"/>
      <c r="AB26" s="47"/>
      <c r="AC26" s="47"/>
    </row>
    <row r="27" spans="1:29" s="46" customFormat="1" ht="100.5" thickBot="1">
      <c r="A27" s="1261" t="s">
        <v>1873</v>
      </c>
      <c r="B27" s="1267" t="s">
        <v>1302</v>
      </c>
      <c r="C27" s="1003" t="s">
        <v>188</v>
      </c>
      <c r="D27" s="1258">
        <v>15</v>
      </c>
      <c r="E27" s="449"/>
      <c r="F27" s="449"/>
      <c r="G27" s="449"/>
      <c r="H27" s="449"/>
      <c r="I27" s="449"/>
      <c r="J27" s="1260"/>
      <c r="K27" s="449"/>
      <c r="L27" s="449"/>
      <c r="M27" s="449"/>
      <c r="N27" s="449"/>
      <c r="O27" s="449"/>
      <c r="P27" s="1260"/>
      <c r="Q27" s="686"/>
      <c r="R27" s="694"/>
      <c r="S27" s="692"/>
      <c r="T27" s="690"/>
      <c r="U27" s="370"/>
      <c r="V27" s="103"/>
      <c r="W27" s="47"/>
      <c r="X27" s="47"/>
      <c r="Y27" s="47"/>
      <c r="Z27" s="47"/>
      <c r="AA27" s="47"/>
      <c r="AB27" s="47"/>
      <c r="AC27" s="47"/>
    </row>
    <row r="28" spans="1:29" s="46" customFormat="1" ht="30" customHeight="1" thickBot="1">
      <c r="A28" s="248">
        <v>4</v>
      </c>
      <c r="B28" s="1265" t="s">
        <v>1039</v>
      </c>
      <c r="C28" s="1265"/>
      <c r="D28" s="1265"/>
      <c r="E28" s="1265"/>
      <c r="F28" s="1265"/>
      <c r="G28" s="1265"/>
      <c r="H28" s="1265"/>
      <c r="I28" s="1265"/>
      <c r="J28" s="1265"/>
      <c r="K28" s="1265"/>
      <c r="L28" s="1265"/>
      <c r="M28" s="1265"/>
      <c r="N28" s="1265"/>
      <c r="O28" s="1265"/>
      <c r="P28" s="1266"/>
      <c r="Q28" s="686"/>
      <c r="R28" s="693">
        <v>3985306519</v>
      </c>
      <c r="S28" s="692"/>
      <c r="T28" s="690"/>
      <c r="U28" s="369">
        <f>+P28/D32</f>
        <v>0</v>
      </c>
      <c r="V28" s="370" t="e">
        <f>+U28/$U$6-1</f>
        <v>#DIV/0!</v>
      </c>
      <c r="W28" s="47"/>
      <c r="X28" s="47"/>
      <c r="Y28" s="47"/>
      <c r="Z28" s="47"/>
      <c r="AA28" s="47"/>
      <c r="AB28" s="47"/>
      <c r="AC28" s="47"/>
    </row>
    <row r="29" spans="1:29" s="46" customFormat="1" ht="13">
      <c r="A29" s="1261" t="s">
        <v>1032</v>
      </c>
      <c r="B29" s="1262" t="s">
        <v>1041</v>
      </c>
      <c r="C29" s="1261" t="s">
        <v>188</v>
      </c>
      <c r="D29" s="1261">
        <v>1</v>
      </c>
      <c r="E29" s="1263">
        <f>+SUM('PRES MR 15 KW'!K6:K18)</f>
        <v>0</v>
      </c>
      <c r="F29" s="1263">
        <f>+SUM('PRES MR 15 KW'!L6:L18)</f>
        <v>0</v>
      </c>
      <c r="G29" s="1263">
        <f>+SUM('PRES MR 15 KW'!M6:M18)</f>
        <v>0</v>
      </c>
      <c r="H29" s="1263">
        <f>+SUM('PRES MR 15 KW'!N6:N18)</f>
        <v>0</v>
      </c>
      <c r="I29" s="1263">
        <f>+SUM('PRES MR 15 KW'!O6:O18)</f>
        <v>0</v>
      </c>
      <c r="J29" s="1264"/>
      <c r="K29" s="1263"/>
      <c r="L29" s="1263"/>
      <c r="M29" s="1263"/>
      <c r="N29" s="1263"/>
      <c r="O29" s="1263"/>
      <c r="P29" s="1264"/>
      <c r="Q29" s="686"/>
      <c r="R29" s="694">
        <v>1861617561</v>
      </c>
      <c r="S29" s="692">
        <f>+P29-R29</f>
        <v>-1861617561</v>
      </c>
      <c r="T29" s="690"/>
      <c r="U29" s="370" t="e">
        <f>+P29/P28</f>
        <v>#DIV/0!</v>
      </c>
      <c r="V29" s="371"/>
      <c r="W29" s="47"/>
      <c r="X29" s="47"/>
      <c r="Y29" s="47"/>
      <c r="Z29" s="47"/>
      <c r="AA29" s="47"/>
      <c r="AB29" s="47"/>
      <c r="AC29" s="47"/>
    </row>
    <row r="30" spans="1:29" s="46" customFormat="1" ht="13">
      <c r="A30" s="1258" t="s">
        <v>1034</v>
      </c>
      <c r="B30" s="1259" t="s">
        <v>1043</v>
      </c>
      <c r="C30" s="1258" t="s">
        <v>188</v>
      </c>
      <c r="D30" s="1258">
        <f>+D29</f>
        <v>1</v>
      </c>
      <c r="E30" s="449">
        <f>+SUM('PRES MR 15 KW'!K20:K29)</f>
        <v>0</v>
      </c>
      <c r="F30" s="449">
        <f>+SUM('PRES MR 15 KW'!L20:L29)</f>
        <v>0</v>
      </c>
      <c r="G30" s="449">
        <f>+SUM('PRES MR 15 KW'!M20:M29)</f>
        <v>0</v>
      </c>
      <c r="H30" s="449">
        <f>+SUM('PRES MR 15 KW'!N20:N29)</f>
        <v>0</v>
      </c>
      <c r="I30" s="449">
        <f>+SUM('PRES MR 15 KW'!O20:O29)</f>
        <v>0</v>
      </c>
      <c r="J30" s="1260"/>
      <c r="K30" s="449"/>
      <c r="L30" s="449"/>
      <c r="M30" s="449"/>
      <c r="N30" s="449"/>
      <c r="O30" s="449"/>
      <c r="P30" s="1260"/>
      <c r="Q30" s="686"/>
      <c r="R30" s="694">
        <v>0</v>
      </c>
      <c r="S30" s="692">
        <f>+P30-R30</f>
        <v>0</v>
      </c>
      <c r="T30" s="690"/>
      <c r="U30" s="370" t="e">
        <f>+P30/P28</f>
        <v>#DIV/0!</v>
      </c>
      <c r="V30" s="103"/>
      <c r="W30" s="47"/>
      <c r="X30" s="47"/>
      <c r="Y30" s="47"/>
      <c r="Z30" s="47"/>
      <c r="AA30" s="47"/>
      <c r="AB30" s="47"/>
      <c r="AC30" s="47"/>
    </row>
    <row r="31" spans="1:29" s="46" customFormat="1" ht="13">
      <c r="A31" s="1261" t="s">
        <v>1036</v>
      </c>
      <c r="B31" s="1259" t="s">
        <v>1021</v>
      </c>
      <c r="C31" s="1258" t="s">
        <v>188</v>
      </c>
      <c r="D31" s="1258">
        <v>17</v>
      </c>
      <c r="E31" s="449">
        <f>+SUM('PRES MR 15 KW'!K31)</f>
        <v>0</v>
      </c>
      <c r="F31" s="449">
        <f>+SUM('PRES MR 15 KW'!L31)</f>
        <v>0</v>
      </c>
      <c r="G31" s="449">
        <f>+SUM('PRES MR 15 KW'!M31)</f>
        <v>0</v>
      </c>
      <c r="H31" s="449">
        <f>+SUM('PRES MR 15 KW'!N31)</f>
        <v>0</v>
      </c>
      <c r="I31" s="449">
        <f>+SUM('PRES MR 15 KW'!O31)</f>
        <v>0</v>
      </c>
      <c r="J31" s="1260"/>
      <c r="K31" s="449"/>
      <c r="L31" s="449"/>
      <c r="M31" s="449"/>
      <c r="N31" s="449"/>
      <c r="O31" s="449"/>
      <c r="P31" s="1260"/>
      <c r="Q31" s="686"/>
      <c r="R31" s="694">
        <v>69082233</v>
      </c>
      <c r="S31" s="692">
        <f>+P31-R31</f>
        <v>-69082233</v>
      </c>
      <c r="T31" s="690"/>
      <c r="U31" s="370" t="e">
        <f>+P31/P28</f>
        <v>#DIV/0!</v>
      </c>
      <c r="V31" s="103"/>
      <c r="W31" s="47"/>
      <c r="X31" s="47"/>
      <c r="Y31" s="47"/>
      <c r="Z31" s="47"/>
      <c r="AA31" s="47"/>
      <c r="AB31" s="47"/>
      <c r="AC31" s="47"/>
    </row>
    <row r="32" spans="1:29" s="46" customFormat="1" ht="13">
      <c r="A32" s="1258" t="s">
        <v>1037</v>
      </c>
      <c r="B32" s="1259" t="s">
        <v>1029</v>
      </c>
      <c r="C32" s="1258" t="s">
        <v>188</v>
      </c>
      <c r="D32" s="1258">
        <f>+D31</f>
        <v>17</v>
      </c>
      <c r="E32" s="449">
        <f>+SUM('PRES MR 15 KW'!K33:K34)</f>
        <v>0</v>
      </c>
      <c r="F32" s="449">
        <f>+SUM('PRES MR 15 KW'!L33:L34)</f>
        <v>0</v>
      </c>
      <c r="G32" s="449">
        <f>+SUM('PRES MR 15 KW'!M33:M34)</f>
        <v>0</v>
      </c>
      <c r="H32" s="449">
        <f>+SUM('PRES MR 15 KW'!N33:N34)</f>
        <v>0</v>
      </c>
      <c r="I32" s="449">
        <f>+SUM('PRES MR 15 KW'!O33:O34)</f>
        <v>0</v>
      </c>
      <c r="J32" s="1260"/>
      <c r="K32" s="449"/>
      <c r="L32" s="449"/>
      <c r="M32" s="449"/>
      <c r="N32" s="449"/>
      <c r="O32" s="449"/>
      <c r="P32" s="1260"/>
      <c r="Q32" s="686"/>
      <c r="R32" s="694">
        <v>370099510</v>
      </c>
      <c r="S32" s="692">
        <f>+P32-R32</f>
        <v>-370099510</v>
      </c>
      <c r="T32" s="690"/>
      <c r="U32" s="370" t="e">
        <f>+P32/P28</f>
        <v>#DIV/0!</v>
      </c>
      <c r="V32" s="103"/>
      <c r="W32" s="47"/>
      <c r="X32" s="47"/>
      <c r="Y32" s="47"/>
      <c r="Z32" s="47"/>
      <c r="AA32" s="47"/>
      <c r="AB32" s="47"/>
      <c r="AC32" s="47"/>
    </row>
    <row r="33" spans="1:29" s="46" customFormat="1" ht="13">
      <c r="A33" s="1261" t="s">
        <v>1038</v>
      </c>
      <c r="B33" s="1259" t="s">
        <v>354</v>
      </c>
      <c r="C33" s="1258" t="s">
        <v>188</v>
      </c>
      <c r="D33" s="1258">
        <f>+D29</f>
        <v>1</v>
      </c>
      <c r="E33" s="449">
        <f>+SUM('PRES MR 15 KW'!K36:K41)</f>
        <v>0</v>
      </c>
      <c r="F33" s="449">
        <f>+SUM('PRES MR 15 KW'!L36:L41)</f>
        <v>0</v>
      </c>
      <c r="G33" s="449">
        <f>+SUM('PRES MR 15 KW'!M36:M41)</f>
        <v>0</v>
      </c>
      <c r="H33" s="449">
        <f>+SUM('PRES MR 15 KW'!N36:N41)</f>
        <v>0</v>
      </c>
      <c r="I33" s="449">
        <f>+SUM('PRES MR 15 KW'!O36:O41)</f>
        <v>0</v>
      </c>
      <c r="J33" s="1260"/>
      <c r="K33" s="449"/>
      <c r="L33" s="449"/>
      <c r="M33" s="449"/>
      <c r="N33" s="449"/>
      <c r="O33" s="449"/>
      <c r="P33" s="1260"/>
      <c r="Q33" s="686"/>
      <c r="R33" s="694"/>
      <c r="S33" s="692"/>
      <c r="T33" s="690"/>
      <c r="U33" s="370"/>
      <c r="V33" s="103"/>
      <c r="W33" s="47"/>
      <c r="X33" s="47"/>
      <c r="Y33" s="47"/>
      <c r="Z33" s="47"/>
      <c r="AA33" s="47"/>
      <c r="AB33" s="47"/>
      <c r="AC33" s="47"/>
    </row>
    <row r="34" spans="1:29" s="46" customFormat="1" ht="13">
      <c r="A34" s="1258" t="s">
        <v>1826</v>
      </c>
      <c r="B34" s="1259" t="s">
        <v>1876</v>
      </c>
      <c r="C34" s="1258" t="s">
        <v>188</v>
      </c>
      <c r="D34" s="1258">
        <v>17</v>
      </c>
      <c r="E34" s="449"/>
      <c r="F34" s="449"/>
      <c r="G34" s="449"/>
      <c r="H34" s="449"/>
      <c r="I34" s="449"/>
      <c r="J34" s="1260"/>
      <c r="K34" s="449"/>
      <c r="L34" s="449"/>
      <c r="M34" s="449"/>
      <c r="N34" s="449"/>
      <c r="O34" s="449"/>
      <c r="P34" s="1260"/>
      <c r="Q34" s="686"/>
      <c r="R34" s="694"/>
      <c r="S34" s="692"/>
      <c r="T34" s="690"/>
      <c r="U34" s="370"/>
      <c r="V34" s="103"/>
      <c r="W34" s="47"/>
      <c r="X34" s="47"/>
      <c r="Y34" s="47"/>
      <c r="Z34" s="47"/>
      <c r="AA34" s="47"/>
      <c r="AB34" s="47"/>
      <c r="AC34" s="47"/>
    </row>
    <row r="35" spans="1:29" s="46" customFormat="1" ht="100.5" thickBot="1">
      <c r="A35" s="1261" t="s">
        <v>1828</v>
      </c>
      <c r="B35" s="1259" t="s">
        <v>1302</v>
      </c>
      <c r="C35" s="1258" t="s">
        <v>188</v>
      </c>
      <c r="D35" s="1258">
        <v>17</v>
      </c>
      <c r="E35" s="449"/>
      <c r="F35" s="449"/>
      <c r="G35" s="449"/>
      <c r="H35" s="449"/>
      <c r="I35" s="449"/>
      <c r="J35" s="1260"/>
      <c r="K35" s="449"/>
      <c r="L35" s="449"/>
      <c r="M35" s="449"/>
      <c r="N35" s="449"/>
      <c r="O35" s="449"/>
      <c r="P35" s="1260"/>
      <c r="Q35" s="686"/>
      <c r="R35" s="694"/>
      <c r="S35" s="692"/>
      <c r="T35" s="690"/>
      <c r="U35" s="370"/>
      <c r="V35" s="103"/>
      <c r="W35" s="47"/>
      <c r="X35" s="47"/>
      <c r="Y35" s="47"/>
      <c r="Z35" s="47"/>
      <c r="AA35" s="47"/>
      <c r="AB35" s="47"/>
      <c r="AC35" s="47"/>
    </row>
    <row r="36" spans="1:29" s="46" customFormat="1" ht="13.5" hidden="1" thickBot="1">
      <c r="A36" s="400">
        <v>6</v>
      </c>
      <c r="B36" s="1254" t="s">
        <v>1047</v>
      </c>
      <c r="C36" s="1255"/>
      <c r="D36" s="1255"/>
      <c r="E36" s="1255"/>
      <c r="F36" s="1255"/>
      <c r="G36" s="1255"/>
      <c r="H36" s="1255"/>
      <c r="I36" s="1255"/>
      <c r="J36" s="1255"/>
      <c r="K36" s="1255"/>
      <c r="L36" s="1255"/>
      <c r="M36" s="1255"/>
      <c r="N36" s="1255"/>
      <c r="O36" s="1256"/>
      <c r="P36" s="1257"/>
      <c r="Q36" s="686"/>
      <c r="R36" s="695"/>
      <c r="S36" s="692"/>
      <c r="T36" s="690"/>
      <c r="U36" s="386"/>
      <c r="V36" s="47"/>
      <c r="W36" s="47"/>
      <c r="X36" s="47"/>
      <c r="Y36" s="47"/>
      <c r="Z36" s="47"/>
      <c r="AA36" s="47"/>
      <c r="AB36" s="47"/>
      <c r="AC36" s="47"/>
    </row>
    <row r="37" spans="1:29" s="46" customFormat="1" ht="133.4" hidden="1" customHeight="1" thickBot="1">
      <c r="A37" s="292">
        <v>6.1</v>
      </c>
      <c r="B37" s="972" t="str">
        <f>+'61'!B4</f>
        <v>Suministro, transporte e instalación de instalación interna domiciliaria en AC, comprende los siguientes elementos:
- Tablero de distribución monofásico de cuatro circuitos.
- Dos (2) interruptores automáticos monopolares tipo enchufable de 20 A.
- Cuatro (4) salidas de alumbrado con interruptor con polo a tierra.
- Hasta 30 m de tubería PVC SCH 40 de 1/2" con accesorios.
- Hasta 100 m de cable de Cu THHN Nº 12 AWG
- Cuatro (4) salidas para tomacorrientes dobles con polo a tierra.</v>
      </c>
      <c r="C37" s="234" t="s">
        <v>188</v>
      </c>
      <c r="D37" s="968">
        <f>+USUARIOS!C16</f>
        <v>98</v>
      </c>
      <c r="E37" s="971">
        <f>+'61'!G24</f>
        <v>911879</v>
      </c>
      <c r="F37" s="969">
        <f>+'61'!G31</f>
        <v>24840</v>
      </c>
      <c r="G37" s="969">
        <f>+'61'!G37</f>
        <v>27447.819</v>
      </c>
      <c r="H37" s="969">
        <f>+'61'!G41</f>
        <v>115699</v>
      </c>
      <c r="I37" s="969">
        <f>+'61'!G42</f>
        <v>106341</v>
      </c>
      <c r="J37" s="970">
        <f>SUM(E37:I37)</f>
        <v>1186206.8190000001</v>
      </c>
      <c r="K37" s="971">
        <f t="shared" ref="K37" si="4">D37*E37</f>
        <v>89364142</v>
      </c>
      <c r="L37" s="969">
        <f>D37*F37</f>
        <v>2434320</v>
      </c>
      <c r="M37" s="969">
        <f t="shared" ref="M37" si="5">D37*G37</f>
        <v>2689886.2620000001</v>
      </c>
      <c r="N37" s="969">
        <f>+H37*D37</f>
        <v>11338502</v>
      </c>
      <c r="O37" s="969">
        <f t="shared" ref="O37" si="6">D37*I37</f>
        <v>10421418</v>
      </c>
      <c r="P37" s="451"/>
      <c r="Q37" s="686">
        <v>116248268</v>
      </c>
      <c r="R37" s="693">
        <v>1078827496</v>
      </c>
      <c r="S37" s="692">
        <f>+P37-R37</f>
        <v>-1078827496</v>
      </c>
      <c r="T37" s="690"/>
      <c r="U37" s="47"/>
      <c r="V37" s="47"/>
      <c r="W37" s="47"/>
      <c r="X37" s="47"/>
      <c r="Y37" s="47"/>
      <c r="Z37" s="47"/>
      <c r="AA37" s="47"/>
      <c r="AB37" s="47"/>
      <c r="AC37" s="47"/>
    </row>
    <row r="38" spans="1:29" s="46" customFormat="1" ht="18" customHeight="1" thickBot="1">
      <c r="A38" s="1355" t="s">
        <v>1048</v>
      </c>
      <c r="B38" s="1356"/>
      <c r="C38" s="1356"/>
      <c r="D38" s="1356"/>
      <c r="E38" s="1356"/>
      <c r="F38" s="1356"/>
      <c r="G38" s="1356"/>
      <c r="H38" s="1356"/>
      <c r="I38" s="1356"/>
      <c r="J38" s="1357"/>
      <c r="K38" s="1272">
        <f>ROUND(SUM(K5:K37),0)</f>
        <v>89364142</v>
      </c>
      <c r="L38" s="1272">
        <f>ROUND(SUM(L5:L37),0)</f>
        <v>2750076</v>
      </c>
      <c r="M38" s="1272">
        <f>ROUND(SUM(M5:M37),0)</f>
        <v>3561008</v>
      </c>
      <c r="N38" s="1272">
        <f>ROUND(SUM(N5:N37),0)</f>
        <v>12352802</v>
      </c>
      <c r="O38" s="1273">
        <f>ROUND(SUM(O5:O37),0)</f>
        <v>11116140</v>
      </c>
      <c r="P38" s="1274"/>
      <c r="Q38" s="686">
        <f>+Q12+P37/D37</f>
        <v>0</v>
      </c>
      <c r="R38" s="696"/>
      <c r="S38" s="697"/>
      <c r="T38" s="690"/>
      <c r="U38" s="47"/>
      <c r="V38" s="47"/>
      <c r="W38" s="47"/>
      <c r="X38" s="47"/>
      <c r="Y38" s="47"/>
      <c r="Z38" s="47"/>
      <c r="AA38" s="47"/>
      <c r="AB38" s="47"/>
      <c r="AC38" s="47"/>
    </row>
    <row r="39" spans="1:29" s="46" customFormat="1" ht="18" customHeight="1" thickBot="1">
      <c r="A39" s="1358" t="s">
        <v>1049</v>
      </c>
      <c r="B39" s="1359"/>
      <c r="C39" s="1359"/>
      <c r="D39" s="1359"/>
      <c r="E39" s="1359"/>
      <c r="F39" s="1359"/>
      <c r="G39" s="1359"/>
      <c r="H39" s="1359"/>
      <c r="I39" s="1360"/>
      <c r="J39" s="1268"/>
      <c r="K39" s="1269"/>
      <c r="L39" s="1269"/>
      <c r="M39" s="1269"/>
      <c r="N39" s="1269"/>
      <c r="O39" s="1270"/>
      <c r="P39" s="1271"/>
      <c r="Q39" s="686">
        <f>+Q12*1.3</f>
        <v>0</v>
      </c>
      <c r="R39" s="698"/>
      <c r="S39" s="699"/>
      <c r="T39" s="690"/>
      <c r="U39" s="47"/>
      <c r="V39" s="47"/>
      <c r="W39" s="47"/>
      <c r="X39" s="47"/>
      <c r="Y39" s="47"/>
      <c r="Z39" s="47"/>
      <c r="AA39" s="47"/>
      <c r="AB39" s="47"/>
      <c r="AC39" s="47"/>
    </row>
    <row r="40" spans="1:29" s="46" customFormat="1" ht="18" customHeight="1">
      <c r="A40" s="1361" t="s">
        <v>1050</v>
      </c>
      <c r="B40" s="1362"/>
      <c r="C40" s="1362"/>
      <c r="D40" s="1362"/>
      <c r="E40" s="1362"/>
      <c r="F40" s="1362"/>
      <c r="G40" s="1362"/>
      <c r="H40" s="1362"/>
      <c r="I40" s="1363"/>
      <c r="J40" s="250"/>
      <c r="K40" s="302"/>
      <c r="L40" s="302"/>
      <c r="M40" s="302"/>
      <c r="N40" s="302"/>
      <c r="O40" s="1229"/>
      <c r="P40" s="1234"/>
      <c r="Q40" s="686"/>
      <c r="R40" s="690"/>
      <c r="S40" s="690"/>
      <c r="T40" s="690"/>
      <c r="U40" s="47"/>
      <c r="V40" s="47"/>
      <c r="W40" s="47"/>
      <c r="X40" s="47"/>
      <c r="Y40" s="47"/>
      <c r="Z40" s="47"/>
      <c r="AA40" s="47"/>
      <c r="AB40" s="47"/>
      <c r="AC40" s="47"/>
    </row>
    <row r="41" spans="1:29" s="46" customFormat="1" ht="18" customHeight="1">
      <c r="A41" s="1361" t="s">
        <v>1051</v>
      </c>
      <c r="B41" s="1362"/>
      <c r="C41" s="1362"/>
      <c r="D41" s="1362"/>
      <c r="E41" s="1362"/>
      <c r="F41" s="1362"/>
      <c r="G41" s="1362"/>
      <c r="H41" s="1362"/>
      <c r="I41" s="1363"/>
      <c r="J41" s="250"/>
      <c r="K41" s="302"/>
      <c r="L41" s="302"/>
      <c r="M41" s="302"/>
      <c r="N41" s="302"/>
      <c r="O41" s="1229"/>
      <c r="P41" s="1234"/>
      <c r="Q41" s="686"/>
      <c r="R41" s="690"/>
      <c r="S41" s="690"/>
      <c r="T41" s="690">
        <f>2900000000/72</f>
        <v>40277777.777777776</v>
      </c>
      <c r="U41" s="47"/>
    </row>
    <row r="42" spans="1:29" s="46" customFormat="1" ht="18" customHeight="1">
      <c r="A42" s="1361" t="s">
        <v>571</v>
      </c>
      <c r="B42" s="1362"/>
      <c r="C42" s="1362"/>
      <c r="D42" s="1362"/>
      <c r="E42" s="1362"/>
      <c r="F42" s="1362"/>
      <c r="G42" s="1362"/>
      <c r="H42" s="1362"/>
      <c r="I42" s="1363"/>
      <c r="J42" s="250"/>
      <c r="K42" s="302"/>
      <c r="L42" s="302"/>
      <c r="M42" s="302"/>
      <c r="N42" s="302"/>
      <c r="O42" s="1229"/>
      <c r="P42" s="1234"/>
      <c r="Q42" s="686"/>
      <c r="R42" s="690"/>
      <c r="S42" s="690"/>
      <c r="T42" s="690"/>
      <c r="U42" s="47"/>
    </row>
    <row r="43" spans="1:29" s="46" customFormat="1" ht="18" customHeight="1">
      <c r="A43" s="1361" t="s">
        <v>1052</v>
      </c>
      <c r="B43" s="1362"/>
      <c r="C43" s="1362"/>
      <c r="D43" s="1362"/>
      <c r="E43" s="1362"/>
      <c r="F43" s="1362"/>
      <c r="G43" s="1362"/>
      <c r="H43" s="1362"/>
      <c r="I43" s="1363"/>
      <c r="J43" s="249"/>
      <c r="K43" s="302"/>
      <c r="L43" s="302"/>
      <c r="M43" s="302"/>
      <c r="N43" s="302"/>
      <c r="O43" s="1229"/>
      <c r="P43" s="1234"/>
      <c r="Q43" s="686"/>
      <c r="R43" s="690"/>
      <c r="S43" s="690"/>
      <c r="T43" s="690"/>
      <c r="U43" s="47"/>
    </row>
    <row r="44" spans="1:29" s="46" customFormat="1" ht="18" customHeight="1">
      <c r="A44" s="1381" t="s">
        <v>1053</v>
      </c>
      <c r="B44" s="1382"/>
      <c r="C44" s="1382"/>
      <c r="D44" s="1382"/>
      <c r="E44" s="1382"/>
      <c r="F44" s="1382"/>
      <c r="G44" s="1382"/>
      <c r="H44" s="1382"/>
      <c r="I44" s="1382"/>
      <c r="J44" s="1383"/>
      <c r="K44" s="465"/>
      <c r="L44" s="465"/>
      <c r="M44" s="465"/>
      <c r="N44" s="465"/>
      <c r="O44" s="1230"/>
      <c r="P44" s="1235"/>
      <c r="Q44" s="47"/>
      <c r="R44" s="690"/>
      <c r="S44" s="690"/>
      <c r="T44" s="690"/>
      <c r="U44" s="47"/>
    </row>
    <row r="45" spans="1:29" s="47" customFormat="1" ht="18" hidden="1" customHeight="1">
      <c r="A45" s="1346" t="s">
        <v>1054</v>
      </c>
      <c r="B45" s="1347"/>
      <c r="C45" s="1347"/>
      <c r="D45" s="1347"/>
      <c r="E45" s="1347"/>
      <c r="F45" s="1347"/>
      <c r="G45" s="1347"/>
      <c r="H45" s="1347"/>
      <c r="I45" s="1347"/>
      <c r="J45" s="703" t="e">
        <f>+P45/P44</f>
        <v>#DIV/0!</v>
      </c>
      <c r="K45" s="304"/>
      <c r="L45" s="305"/>
      <c r="M45" s="305"/>
      <c r="N45" s="305"/>
      <c r="O45" s="1231"/>
      <c r="P45" s="1234">
        <f>+'Presupuesto Interventoría'!G50</f>
        <v>257711731</v>
      </c>
      <c r="Q45" s="686">
        <f>+Q38*0.07</f>
        <v>0</v>
      </c>
      <c r="R45" s="690"/>
      <c r="S45" s="690"/>
      <c r="T45" s="690"/>
    </row>
    <row r="46" spans="1:29" s="47" customFormat="1" ht="18" customHeight="1">
      <c r="A46" s="1346" t="s">
        <v>1055</v>
      </c>
      <c r="B46" s="1347"/>
      <c r="C46" s="1347"/>
      <c r="D46" s="1347"/>
      <c r="E46" s="1347"/>
      <c r="F46" s="1347"/>
      <c r="G46" s="1347"/>
      <c r="H46" s="1347"/>
      <c r="I46" s="1347"/>
      <c r="J46" s="249"/>
      <c r="K46" s="303"/>
      <c r="L46" s="303"/>
      <c r="M46" s="303"/>
      <c r="N46" s="303"/>
      <c r="O46" s="1232"/>
      <c r="P46" s="1234"/>
      <c r="Q46" s="686">
        <f>+Q38*0.01</f>
        <v>0</v>
      </c>
      <c r="R46" s="690"/>
      <c r="S46" s="690"/>
      <c r="T46" s="690"/>
    </row>
    <row r="47" spans="1:29" s="47" customFormat="1" ht="18" hidden="1" customHeight="1">
      <c r="A47" s="1346" t="s">
        <v>1056</v>
      </c>
      <c r="B47" s="1347"/>
      <c r="C47" s="1347"/>
      <c r="D47" s="1347"/>
      <c r="E47" s="1347"/>
      <c r="F47" s="1347"/>
      <c r="G47" s="1347"/>
      <c r="H47" s="1347"/>
      <c r="I47" s="1347"/>
      <c r="J47" s="249"/>
      <c r="K47" s="303"/>
      <c r="L47" s="303"/>
      <c r="M47" s="303"/>
      <c r="N47" s="303"/>
      <c r="O47" s="1232"/>
      <c r="P47" s="1234"/>
      <c r="Q47" s="686"/>
      <c r="R47" s="690"/>
      <c r="S47" s="690"/>
      <c r="T47" s="690"/>
    </row>
    <row r="48" spans="1:29" s="47" customFormat="1" ht="18" hidden="1" customHeight="1">
      <c r="A48" s="1346" t="s">
        <v>1057</v>
      </c>
      <c r="B48" s="1347"/>
      <c r="C48" s="1347"/>
      <c r="D48" s="1347"/>
      <c r="E48" s="1347"/>
      <c r="F48" s="1347"/>
      <c r="G48" s="1347"/>
      <c r="H48" s="1347"/>
      <c r="I48" s="1347"/>
      <c r="J48" s="249"/>
      <c r="K48" s="303"/>
      <c r="L48" s="303"/>
      <c r="M48" s="303"/>
      <c r="N48" s="303"/>
      <c r="O48" s="1232"/>
      <c r="P48" s="1234"/>
      <c r="Q48" s="686"/>
      <c r="R48" s="690"/>
      <c r="S48" s="690"/>
      <c r="T48" s="690"/>
    </row>
    <row r="49" spans="1:29" s="47" customFormat="1" ht="18" hidden="1" customHeight="1">
      <c r="A49" s="1346" t="s">
        <v>1058</v>
      </c>
      <c r="B49" s="1347"/>
      <c r="C49" s="1347"/>
      <c r="D49" s="1347"/>
      <c r="E49" s="1347"/>
      <c r="F49" s="1347"/>
      <c r="G49" s="1347"/>
      <c r="H49" s="1347"/>
      <c r="I49" s="1347"/>
      <c r="J49" s="249"/>
      <c r="K49" s="303"/>
      <c r="L49" s="303"/>
      <c r="M49" s="303"/>
      <c r="N49" s="303"/>
      <c r="O49" s="1232"/>
      <c r="P49" s="1234"/>
      <c r="Q49" s="686"/>
      <c r="R49" s="690"/>
      <c r="S49" s="690"/>
      <c r="T49" s="690"/>
    </row>
    <row r="50" spans="1:29" s="47" customFormat="1" ht="18" customHeight="1">
      <c r="A50" s="1346" t="s">
        <v>1059</v>
      </c>
      <c r="B50" s="1347"/>
      <c r="C50" s="1347"/>
      <c r="D50" s="1347"/>
      <c r="E50" s="1347"/>
      <c r="F50" s="1347"/>
      <c r="G50" s="1347"/>
      <c r="H50" s="1347"/>
      <c r="I50" s="1347"/>
      <c r="J50" s="249"/>
      <c r="K50" s="303"/>
      <c r="L50" s="303"/>
      <c r="M50" s="303"/>
      <c r="N50" s="303"/>
      <c r="O50" s="1232"/>
      <c r="P50" s="1234"/>
      <c r="Q50" s="686"/>
      <c r="R50" s="690"/>
      <c r="S50" s="690"/>
      <c r="T50" s="690"/>
    </row>
    <row r="51" spans="1:29" s="47" customFormat="1" ht="18" hidden="1" customHeight="1">
      <c r="A51" s="1346" t="s">
        <v>1060</v>
      </c>
      <c r="B51" s="1347"/>
      <c r="C51" s="1347"/>
      <c r="D51" s="1347"/>
      <c r="E51" s="1347"/>
      <c r="F51" s="1347"/>
      <c r="G51" s="1347"/>
      <c r="H51" s="1347"/>
      <c r="I51" s="1347"/>
      <c r="J51" s="249"/>
      <c r="K51" s="303"/>
      <c r="L51" s="303"/>
      <c r="M51" s="303"/>
      <c r="N51" s="303"/>
      <c r="O51" s="1232"/>
      <c r="P51" s="1234"/>
      <c r="Q51" s="686"/>
      <c r="R51" s="690"/>
      <c r="S51" s="690"/>
      <c r="T51" s="690"/>
    </row>
    <row r="52" spans="1:29" s="47" customFormat="1" ht="18" customHeight="1">
      <c r="A52" s="1346" t="s">
        <v>1061</v>
      </c>
      <c r="B52" s="1347"/>
      <c r="C52" s="1347"/>
      <c r="D52" s="1347"/>
      <c r="E52" s="1347"/>
      <c r="F52" s="1347"/>
      <c r="G52" s="1347"/>
      <c r="H52" s="1347"/>
      <c r="I52" s="1347"/>
      <c r="J52" s="249"/>
      <c r="K52" s="303"/>
      <c r="L52" s="303"/>
      <c r="M52" s="303"/>
      <c r="N52" s="303"/>
      <c r="O52" s="1232"/>
      <c r="P52" s="1234"/>
      <c r="Q52" s="686">
        <f>+Q38*0.01</f>
        <v>0</v>
      </c>
      <c r="R52" s="690"/>
      <c r="S52" s="690"/>
      <c r="T52" s="690"/>
    </row>
    <row r="53" spans="1:29" s="47" customFormat="1" ht="18" customHeight="1" thickBot="1">
      <c r="A53" s="1350" t="s">
        <v>1062</v>
      </c>
      <c r="B53" s="1351"/>
      <c r="C53" s="1351"/>
      <c r="D53" s="1351"/>
      <c r="E53" s="1351"/>
      <c r="F53" s="1351"/>
      <c r="G53" s="1351"/>
      <c r="H53" s="1351"/>
      <c r="I53" s="1351"/>
      <c r="J53" s="1236"/>
      <c r="K53" s="1237"/>
      <c r="L53" s="1237"/>
      <c r="M53" s="1237"/>
      <c r="N53" s="1237"/>
      <c r="O53" s="1238"/>
      <c r="P53" s="1239"/>
      <c r="Q53" s="690">
        <f>+SUM(Q39:Q52)*0.05</f>
        <v>0</v>
      </c>
      <c r="R53" s="690"/>
      <c r="S53" s="690"/>
      <c r="T53" s="690"/>
    </row>
    <row r="54" spans="1:29" s="47" customFormat="1" ht="18" customHeight="1" thickBot="1">
      <c r="A54" s="1342" t="s">
        <v>1874</v>
      </c>
      <c r="B54" s="1343"/>
      <c r="C54" s="1343"/>
      <c r="D54" s="1343"/>
      <c r="E54" s="1343"/>
      <c r="F54" s="1343"/>
      <c r="G54" s="1343"/>
      <c r="H54" s="1343"/>
      <c r="I54" s="1343"/>
      <c r="J54" s="1245" t="s">
        <v>1875</v>
      </c>
      <c r="K54" s="1242"/>
      <c r="L54" s="1242"/>
      <c r="M54" s="1242"/>
      <c r="N54" s="1242"/>
      <c r="O54" s="1243"/>
      <c r="P54" s="1244"/>
      <c r="Q54" s="690">
        <f>SUM(Q39:Q53)</f>
        <v>0</v>
      </c>
      <c r="R54" s="690"/>
      <c r="S54" s="690"/>
      <c r="T54" s="690">
        <f>+Q54*58</f>
        <v>0</v>
      </c>
    </row>
    <row r="55" spans="1:29" s="47" customFormat="1" ht="18" hidden="1" customHeight="1">
      <c r="A55" s="1344" t="s">
        <v>1064</v>
      </c>
      <c r="B55" s="1345"/>
      <c r="C55" s="1345"/>
      <c r="D55" s="1345"/>
      <c r="E55" s="1345"/>
      <c r="F55" s="1345"/>
      <c r="G55" s="1345"/>
      <c r="H55" s="1345"/>
      <c r="I55" s="1345"/>
      <c r="J55" s="1240"/>
      <c r="K55" s="1241"/>
      <c r="L55" s="1241"/>
      <c r="M55" s="1241"/>
      <c r="N55" s="1241"/>
      <c r="O55" s="1241"/>
      <c r="P55" s="1233">
        <f>+USUARIOS!C16</f>
        <v>98</v>
      </c>
      <c r="Q55" s="690">
        <f>+D15+D22+D30+D38</f>
        <v>15</v>
      </c>
      <c r="R55" s="690"/>
      <c r="S55" s="690"/>
      <c r="T55" s="690"/>
    </row>
    <row r="56" spans="1:29" ht="13.5" hidden="1" thickBot="1">
      <c r="A56" s="1348" t="s">
        <v>1065</v>
      </c>
      <c r="B56" s="1349"/>
      <c r="C56" s="1349"/>
      <c r="D56" s="1349"/>
      <c r="E56" s="1349"/>
      <c r="F56" s="1349"/>
      <c r="G56" s="1349"/>
      <c r="H56" s="1349"/>
      <c r="I56" s="1349"/>
      <c r="J56" s="979"/>
      <c r="K56" s="980"/>
      <c r="L56" s="980"/>
      <c r="M56" s="980"/>
      <c r="N56" s="980"/>
      <c r="O56" s="980"/>
      <c r="P56" s="1217">
        <f>+P54/P55</f>
        <v>0</v>
      </c>
      <c r="Q56" s="690">
        <f>+D16+D23+D31+D39</f>
        <v>45</v>
      </c>
    </row>
    <row r="57" spans="1:29" ht="33" hidden="1" customHeight="1">
      <c r="A57" s="1341" t="s">
        <v>1079</v>
      </c>
      <c r="B57" s="1341"/>
      <c r="C57" s="1341"/>
      <c r="D57" s="1341"/>
      <c r="E57" s="1341"/>
      <c r="F57" s="1341"/>
      <c r="G57" s="1341"/>
      <c r="H57" s="1341"/>
      <c r="I57" s="1341"/>
      <c r="J57" s="1341"/>
      <c r="K57" s="1341"/>
      <c r="L57" s="1341"/>
      <c r="M57" s="1341"/>
      <c r="N57" s="1341"/>
      <c r="O57" s="1341"/>
      <c r="P57" s="1341"/>
      <c r="Q57" s="690">
        <f>+D17+D24+D32+D40</f>
        <v>34</v>
      </c>
    </row>
    <row r="58" spans="1:29" ht="15.65" hidden="1" customHeight="1">
      <c r="A58" s="441"/>
      <c r="B58" s="441"/>
      <c r="L58" s="34"/>
      <c r="Q58" s="989">
        <f>+D20+D25+D33+D41</f>
        <v>2</v>
      </c>
    </row>
    <row r="59" spans="1:29" s="701" customFormat="1" ht="20.149999999999999" hidden="1" customHeight="1">
      <c r="A59" s="442"/>
      <c r="B59" s="441"/>
      <c r="C59"/>
      <c r="D59"/>
      <c r="E59"/>
      <c r="F59"/>
      <c r="G59"/>
      <c r="H59"/>
      <c r="I59" s="34"/>
      <c r="J59"/>
      <c r="K59"/>
      <c r="L59" s="55"/>
      <c r="M59"/>
      <c r="N59"/>
      <c r="O59"/>
      <c r="P59"/>
      <c r="U59"/>
      <c r="V59"/>
      <c r="W59"/>
      <c r="X59"/>
      <c r="Y59"/>
      <c r="Z59"/>
      <c r="AA59"/>
      <c r="AB59"/>
      <c r="AC59"/>
    </row>
    <row r="60" spans="1:29" s="701" customFormat="1" ht="25.4" hidden="1" customHeight="1">
      <c r="A60" s="840"/>
      <c r="B60" s="840"/>
      <c r="C60"/>
      <c r="D60"/>
      <c r="E60"/>
      <c r="F60"/>
      <c r="G60"/>
      <c r="H60"/>
      <c r="I60" s="34"/>
      <c r="J60"/>
      <c r="K60" s="56"/>
      <c r="L60" s="55"/>
      <c r="M60"/>
      <c r="N60"/>
      <c r="O60"/>
      <c r="P60"/>
      <c r="U60"/>
      <c r="V60"/>
      <c r="W60"/>
      <c r="X60"/>
      <c r="Y60"/>
      <c r="Z60"/>
      <c r="AA60"/>
      <c r="AB60"/>
      <c r="AC60"/>
    </row>
    <row r="61" spans="1:29" s="701" customFormat="1" ht="15.5">
      <c r="A61" s="1026"/>
      <c r="B61" s="1027"/>
      <c r="C61"/>
      <c r="D61"/>
      <c r="E61"/>
      <c r="F61"/>
      <c r="G61"/>
      <c r="H61"/>
      <c r="I61" s="34"/>
      <c r="J61"/>
      <c r="K61" s="56"/>
      <c r="L61" s="55"/>
      <c r="M61"/>
      <c r="N61"/>
      <c r="O61"/>
      <c r="P61" s="3"/>
      <c r="U61"/>
      <c r="V61"/>
      <c r="W61"/>
      <c r="X61"/>
      <c r="Y61"/>
      <c r="Z61"/>
      <c r="AA61"/>
      <c r="AB61"/>
      <c r="AC61"/>
    </row>
    <row r="62" spans="1:29" s="701" customFormat="1" ht="15.5">
      <c r="A62" s="1026"/>
      <c r="B62" s="1026"/>
      <c r="C62"/>
      <c r="D62"/>
      <c r="E62"/>
      <c r="F62"/>
      <c r="G62"/>
      <c r="H62"/>
      <c r="I62"/>
      <c r="J62"/>
      <c r="K62" s="56"/>
      <c r="L62"/>
      <c r="M62"/>
      <c r="N62"/>
      <c r="O62"/>
      <c r="P62" s="55"/>
      <c r="U62"/>
      <c r="V62"/>
      <c r="W62"/>
      <c r="X62"/>
      <c r="Y62"/>
      <c r="Z62"/>
      <c r="AA62"/>
      <c r="AB62"/>
      <c r="AC62"/>
    </row>
    <row r="63" spans="1:29" s="701" customFormat="1">
      <c r="A63" s="790"/>
      <c r="B63" s="790"/>
      <c r="C63"/>
      <c r="D63"/>
      <c r="E63"/>
      <c r="F63"/>
      <c r="G63"/>
      <c r="H63"/>
      <c r="I63"/>
      <c r="J63"/>
      <c r="K63" s="56"/>
      <c r="L63"/>
      <c r="M63"/>
      <c r="N63"/>
      <c r="O63"/>
      <c r="P63"/>
      <c r="U63"/>
      <c r="V63"/>
      <c r="W63"/>
      <c r="X63"/>
      <c r="Y63"/>
      <c r="Z63"/>
      <c r="AA63"/>
      <c r="AB63"/>
      <c r="AC63"/>
    </row>
    <row r="65" spans="1:29" s="701" customFormat="1">
      <c r="A65"/>
      <c r="B65"/>
      <c r="C65"/>
      <c r="D65"/>
      <c r="E65"/>
      <c r="F65"/>
      <c r="G65"/>
      <c r="H65"/>
      <c r="I65"/>
      <c r="J65"/>
      <c r="K65" s="56"/>
      <c r="L65"/>
      <c r="M65"/>
      <c r="N65"/>
      <c r="O65"/>
      <c r="P65"/>
      <c r="U65"/>
      <c r="V65"/>
      <c r="W65"/>
      <c r="X65"/>
      <c r="Y65"/>
      <c r="Z65"/>
      <c r="AA65"/>
      <c r="AB65"/>
      <c r="AC65"/>
    </row>
    <row r="66" spans="1:29" s="701" customFormat="1">
      <c r="A66"/>
      <c r="B66" s="60"/>
      <c r="C66"/>
      <c r="D66"/>
      <c r="E66"/>
      <c r="F66"/>
      <c r="G66"/>
      <c r="H66"/>
      <c r="I66"/>
      <c r="J66"/>
      <c r="K66" s="56"/>
      <c r="L66"/>
      <c r="M66"/>
      <c r="N66"/>
      <c r="O66"/>
      <c r="P66"/>
      <c r="U66"/>
      <c r="V66"/>
      <c r="W66"/>
      <c r="X66"/>
      <c r="Y66"/>
      <c r="Z66"/>
      <c r="AA66"/>
      <c r="AB66"/>
      <c r="AC66"/>
    </row>
    <row r="67" spans="1:29" s="701" customFormat="1">
      <c r="A67"/>
      <c r="B67"/>
      <c r="C67"/>
      <c r="D67"/>
      <c r="E67"/>
      <c r="F67"/>
      <c r="G67"/>
      <c r="H67"/>
      <c r="I67"/>
      <c r="J67"/>
      <c r="K67" s="56"/>
      <c r="L67"/>
      <c r="M67"/>
      <c r="N67"/>
      <c r="O67"/>
      <c r="P67"/>
      <c r="U67"/>
      <c r="V67"/>
      <c r="W67"/>
      <c r="X67"/>
      <c r="Y67"/>
      <c r="Z67"/>
      <c r="AA67"/>
      <c r="AB67"/>
      <c r="AC67"/>
    </row>
    <row r="69" spans="1:29" s="701" customFormat="1">
      <c r="A69"/>
      <c r="B69" s="60"/>
      <c r="C69"/>
      <c r="D69"/>
      <c r="E69"/>
      <c r="F69"/>
      <c r="G69"/>
      <c r="H69"/>
      <c r="I69"/>
      <c r="J69"/>
      <c r="K69"/>
      <c r="L69"/>
      <c r="M69"/>
      <c r="N69"/>
      <c r="O69"/>
      <c r="P69"/>
      <c r="U69"/>
      <c r="V69"/>
      <c r="W69"/>
      <c r="X69"/>
      <c r="Y69"/>
      <c r="Z69"/>
      <c r="AA69"/>
      <c r="AB69"/>
      <c r="AC69"/>
    </row>
    <row r="70" spans="1:29" s="701" customFormat="1">
      <c r="A70"/>
      <c r="B70"/>
      <c r="C70"/>
      <c r="D70"/>
      <c r="E70"/>
      <c r="F70"/>
      <c r="G70"/>
      <c r="H70"/>
      <c r="I70"/>
      <c r="J70" s="56"/>
      <c r="K70"/>
      <c r="L70"/>
      <c r="M70"/>
      <c r="N70"/>
      <c r="O70"/>
      <c r="P70"/>
      <c r="U70"/>
      <c r="V70"/>
      <c r="W70"/>
      <c r="X70"/>
      <c r="Y70"/>
      <c r="Z70"/>
      <c r="AA70"/>
      <c r="AB70"/>
      <c r="AC70"/>
    </row>
    <row r="72" spans="1:29" s="701" customFormat="1">
      <c r="A72"/>
      <c r="B72"/>
      <c r="C72"/>
      <c r="D72"/>
      <c r="E72"/>
      <c r="F72"/>
      <c r="G72"/>
      <c r="H72"/>
      <c r="I72"/>
      <c r="J72" s="56"/>
      <c r="K72"/>
      <c r="L72"/>
      <c r="M72"/>
      <c r="N72"/>
      <c r="O72"/>
      <c r="P72"/>
      <c r="U72"/>
      <c r="V72"/>
      <c r="W72"/>
      <c r="X72"/>
      <c r="Y72"/>
      <c r="Z72"/>
      <c r="AA72"/>
      <c r="AB72"/>
      <c r="AC72"/>
    </row>
  </sheetData>
  <mergeCells count="29">
    <mergeCell ref="A43:I43"/>
    <mergeCell ref="A44:J44"/>
    <mergeCell ref="A45:I45"/>
    <mergeCell ref="A46:I46"/>
    <mergeCell ref="A52:I52"/>
    <mergeCell ref="A42:I42"/>
    <mergeCell ref="A1:P1"/>
    <mergeCell ref="A2:P2"/>
    <mergeCell ref="A3:A4"/>
    <mergeCell ref="B3:B4"/>
    <mergeCell ref="C3:C4"/>
    <mergeCell ref="D3:D4"/>
    <mergeCell ref="E3:J3"/>
    <mergeCell ref="K3:P3"/>
    <mergeCell ref="X5:AC5"/>
    <mergeCell ref="A38:J38"/>
    <mergeCell ref="A39:I39"/>
    <mergeCell ref="A40:I40"/>
    <mergeCell ref="A41:I41"/>
    <mergeCell ref="A57:P57"/>
    <mergeCell ref="A54:I54"/>
    <mergeCell ref="A55:I55"/>
    <mergeCell ref="A47:I47"/>
    <mergeCell ref="A48:I48"/>
    <mergeCell ref="A49:I49"/>
    <mergeCell ref="A50:I50"/>
    <mergeCell ref="A51:I51"/>
    <mergeCell ref="A56:I56"/>
    <mergeCell ref="A53:I53"/>
  </mergeCells>
  <phoneticPr fontId="106" type="noConversion"/>
  <conditionalFormatting sqref="S5:S36">
    <cfRule type="colorScale" priority="8">
      <colorScale>
        <cfvo type="min"/>
        <cfvo type="percentile" val="50"/>
        <cfvo type="max"/>
        <color rgb="FF63BE7B"/>
        <color rgb="FFFFEB84"/>
        <color rgb="FFF8696B"/>
      </colorScale>
    </cfRule>
  </conditionalFormatting>
  <printOptions horizontalCentered="1"/>
  <pageMargins left="0.39370078740157483" right="0.39370078740157483" top="0.39370078740157483" bottom="0.39370078740157483" header="0" footer="0"/>
  <pageSetup scale="64"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59F8A-D4C3-4ADD-A36B-0D46241BA857}">
  <sheetPr>
    <tabColor rgb="FF92D050"/>
    <pageSetUpPr fitToPage="1"/>
  </sheetPr>
  <dimension ref="A1:R36"/>
  <sheetViews>
    <sheetView view="pageBreakPreview" zoomScale="85" zoomScaleNormal="70" zoomScaleSheetLayoutView="85" workbookViewId="0">
      <selection sqref="A1:P2"/>
    </sheetView>
  </sheetViews>
  <sheetFormatPr baseColWidth="10" defaultColWidth="11.453125" defaultRowHeight="12.5"/>
  <cols>
    <col min="1" max="1" width="6.453125" customWidth="1"/>
    <col min="2" max="2" width="83.81640625" customWidth="1"/>
    <col min="3" max="3" width="8.453125" customWidth="1"/>
    <col min="4" max="4" width="11" customWidth="1"/>
    <col min="5" max="5" width="16.1796875" hidden="1" customWidth="1"/>
    <col min="6" max="9" width="15.54296875" hidden="1" customWidth="1"/>
    <col min="10" max="10" width="17.7265625" customWidth="1"/>
    <col min="11" max="11" width="19.81640625" hidden="1" customWidth="1"/>
    <col min="12" max="12" width="17.54296875" hidden="1" customWidth="1"/>
    <col min="13" max="14" width="18.54296875" hidden="1" customWidth="1"/>
    <col min="15" max="15" width="20" hidden="1" customWidth="1"/>
    <col min="16" max="16" width="23" bestFit="1" customWidth="1"/>
    <col min="18" max="18" width="15.54296875" bestFit="1" customWidth="1"/>
  </cols>
  <sheetData>
    <row r="1" spans="1:18" ht="13" customHeight="1">
      <c r="A1" s="1645" t="s">
        <v>1081</v>
      </c>
      <c r="B1" s="1645"/>
      <c r="C1" s="1645"/>
      <c r="D1" s="1645"/>
      <c r="E1" s="1645"/>
      <c r="F1" s="1645"/>
      <c r="G1" s="1645"/>
      <c r="H1" s="1645"/>
      <c r="I1" s="1645"/>
      <c r="J1" s="1645"/>
      <c r="K1" s="1645"/>
      <c r="L1" s="1645"/>
      <c r="M1" s="1645"/>
      <c r="N1" s="1645"/>
      <c r="O1" s="1645"/>
      <c r="P1" s="1645"/>
    </row>
    <row r="2" spans="1:18" s="45" customFormat="1" ht="12.75" customHeight="1" thickBot="1">
      <c r="A2" s="1645"/>
      <c r="B2" s="1645"/>
      <c r="C2" s="1645"/>
      <c r="D2" s="1645"/>
      <c r="E2" s="1645"/>
      <c r="F2" s="1645"/>
      <c r="G2" s="1645"/>
      <c r="H2" s="1645"/>
      <c r="I2" s="1645"/>
      <c r="J2" s="1645"/>
      <c r="K2" s="1645"/>
      <c r="L2" s="1645"/>
      <c r="M2" s="1645"/>
      <c r="N2" s="1645"/>
      <c r="O2" s="1645"/>
      <c r="P2" s="1645"/>
    </row>
    <row r="3" spans="1:18" s="2" customFormat="1" ht="15" customHeight="1">
      <c r="A3" s="1650" t="s">
        <v>584</v>
      </c>
      <c r="B3" s="1650" t="s">
        <v>1008</v>
      </c>
      <c r="C3" s="1650" t="s">
        <v>259</v>
      </c>
      <c r="D3" s="1652" t="s">
        <v>688</v>
      </c>
      <c r="E3" s="1378" t="s">
        <v>1009</v>
      </c>
      <c r="F3" s="1379"/>
      <c r="G3" s="1379"/>
      <c r="H3" s="1379"/>
      <c r="I3" s="1379"/>
      <c r="J3" s="1380"/>
      <c r="K3" s="1378" t="s">
        <v>1010</v>
      </c>
      <c r="L3" s="1379"/>
      <c r="M3" s="1379"/>
      <c r="N3" s="1379"/>
      <c r="O3" s="1379"/>
      <c r="P3" s="1380"/>
      <c r="Q3" s="82"/>
      <c r="R3" s="82"/>
    </row>
    <row r="4" spans="1:18" s="2" customFormat="1" ht="35.15" customHeight="1" thickBot="1">
      <c r="A4" s="1651"/>
      <c r="B4" s="1651"/>
      <c r="C4" s="1651"/>
      <c r="D4" s="1653"/>
      <c r="E4" s="243" t="s">
        <v>749</v>
      </c>
      <c r="F4" s="210" t="s">
        <v>1011</v>
      </c>
      <c r="G4" s="210" t="s">
        <v>1012</v>
      </c>
      <c r="H4" s="210" t="s">
        <v>1013</v>
      </c>
      <c r="I4" s="210" t="s">
        <v>1014</v>
      </c>
      <c r="J4" s="244" t="s">
        <v>1015</v>
      </c>
      <c r="K4" s="245" t="s">
        <v>749</v>
      </c>
      <c r="L4" s="246" t="s">
        <v>1011</v>
      </c>
      <c r="M4" s="246" t="s">
        <v>1012</v>
      </c>
      <c r="N4" s="210" t="s">
        <v>1013</v>
      </c>
      <c r="O4" s="210" t="s">
        <v>1014</v>
      </c>
      <c r="P4" s="247" t="s">
        <v>1016</v>
      </c>
      <c r="Q4" s="82"/>
      <c r="R4" s="82"/>
    </row>
    <row r="5" spans="1:18" s="46" customFormat="1" ht="30" customHeight="1" thickBot="1">
      <c r="A5" s="248" t="s">
        <v>845</v>
      </c>
      <c r="B5" s="1646" t="s">
        <v>1019</v>
      </c>
      <c r="C5" s="1647"/>
      <c r="D5" s="1647"/>
      <c r="E5" s="1647"/>
      <c r="F5" s="1647"/>
      <c r="G5" s="1647"/>
      <c r="H5" s="1647"/>
      <c r="I5" s="1647"/>
      <c r="J5" s="1647"/>
      <c r="K5" s="1647"/>
      <c r="L5" s="1647"/>
      <c r="M5" s="1647"/>
      <c r="N5" s="1647"/>
      <c r="O5" s="1647"/>
      <c r="P5" s="1648"/>
      <c r="Q5" s="47"/>
      <c r="R5" s="47"/>
    </row>
    <row r="6" spans="1:18" s="46" customFormat="1" ht="50">
      <c r="A6" s="241" t="s">
        <v>1882</v>
      </c>
      <c r="B6" s="237" t="s">
        <v>1082</v>
      </c>
      <c r="C6" s="230" t="s">
        <v>188</v>
      </c>
      <c r="D6" s="231">
        <v>1</v>
      </c>
      <c r="E6" s="214">
        <f>+'211'!G12</f>
        <v>2723812</v>
      </c>
      <c r="F6" s="83">
        <f>+'211'!G19</f>
        <v>24840</v>
      </c>
      <c r="G6" s="83">
        <f>+'211'!G26</f>
        <v>198364.22028662401</v>
      </c>
      <c r="H6" s="83">
        <f>+'211'!G30</f>
        <v>38566</v>
      </c>
      <c r="I6" s="83">
        <f>+'211'!G31</f>
        <v>35447</v>
      </c>
      <c r="J6" s="221"/>
      <c r="K6" s="214"/>
      <c r="L6" s="83"/>
      <c r="M6" s="83"/>
      <c r="N6" s="83"/>
      <c r="O6" s="83"/>
      <c r="P6" s="225"/>
      <c r="Q6" s="47"/>
      <c r="R6" s="47"/>
    </row>
    <row r="7" spans="1:18" s="46" customFormat="1" ht="104.5" customHeight="1">
      <c r="A7" s="241" t="s">
        <v>1883</v>
      </c>
      <c r="B7" s="237" t="s">
        <v>1084</v>
      </c>
      <c r="C7" s="230" t="s">
        <v>188</v>
      </c>
      <c r="D7" s="231">
        <v>1</v>
      </c>
      <c r="E7" s="214">
        <f>+'212'!G14</f>
        <v>292807</v>
      </c>
      <c r="F7" s="83">
        <f>+'212'!G21</f>
        <v>8280</v>
      </c>
      <c r="G7" s="83">
        <f>+'212'!G28</f>
        <v>13162.508380914667</v>
      </c>
      <c r="H7" s="83">
        <f>+'212'!G32</f>
        <v>38566</v>
      </c>
      <c r="I7" s="83">
        <f>+'212'!G33</f>
        <v>35447</v>
      </c>
      <c r="J7" s="221"/>
      <c r="K7" s="214"/>
      <c r="L7" s="83"/>
      <c r="M7" s="83"/>
      <c r="N7" s="83"/>
      <c r="O7" s="83"/>
      <c r="P7" s="225"/>
      <c r="Q7" s="47"/>
      <c r="R7" s="47"/>
    </row>
    <row r="8" spans="1:18" s="46" customFormat="1" ht="137.5">
      <c r="A8" s="241" t="s">
        <v>1884</v>
      </c>
      <c r="B8" s="237" t="s">
        <v>1086</v>
      </c>
      <c r="C8" s="230" t="s">
        <v>188</v>
      </c>
      <c r="D8" s="231">
        <v>1</v>
      </c>
      <c r="E8" s="214">
        <f>+'213'!G24</f>
        <v>2132600</v>
      </c>
      <c r="F8" s="83">
        <f>+'213'!G31</f>
        <v>24840</v>
      </c>
      <c r="G8" s="83">
        <f>+'213'!G38</f>
        <v>40995.197164668309</v>
      </c>
      <c r="H8" s="83">
        <f>+'213'!G42</f>
        <v>115699</v>
      </c>
      <c r="I8" s="83">
        <f>+'213'!G43</f>
        <v>106341</v>
      </c>
      <c r="J8" s="221"/>
      <c r="K8" s="214"/>
      <c r="L8" s="83"/>
      <c r="M8" s="83"/>
      <c r="N8" s="83"/>
      <c r="O8" s="83"/>
      <c r="P8" s="225"/>
      <c r="Q8" s="47"/>
      <c r="R8" s="47"/>
    </row>
    <row r="9" spans="1:18" s="46" customFormat="1" ht="37.5">
      <c r="A9" s="241" t="s">
        <v>1885</v>
      </c>
      <c r="B9" s="237" t="s">
        <v>1088</v>
      </c>
      <c r="C9" s="230" t="s">
        <v>188</v>
      </c>
      <c r="D9" s="231">
        <v>1</v>
      </c>
      <c r="E9" s="214">
        <f>+'214'!G10</f>
        <v>904822</v>
      </c>
      <c r="F9" s="83">
        <f>+'214'!G17</f>
        <v>8280</v>
      </c>
      <c r="G9" s="83">
        <f>+'214'!G24</f>
        <v>4262.9489000000003</v>
      </c>
      <c r="H9" s="83">
        <f>+'214'!G28</f>
        <v>38566</v>
      </c>
      <c r="I9" s="83">
        <f>+'214'!G29</f>
        <v>35447</v>
      </c>
      <c r="J9" s="221"/>
      <c r="K9" s="214"/>
      <c r="L9" s="83"/>
      <c r="M9" s="83"/>
      <c r="N9" s="83"/>
      <c r="O9" s="83"/>
      <c r="P9" s="225"/>
      <c r="Q9" s="47"/>
      <c r="R9" s="47"/>
    </row>
    <row r="10" spans="1:18" s="46" customFormat="1" ht="74.150000000000006" customHeight="1">
      <c r="A10" s="241" t="s">
        <v>1886</v>
      </c>
      <c r="B10" s="237" t="s">
        <v>1090</v>
      </c>
      <c r="C10" s="230" t="s">
        <v>188</v>
      </c>
      <c r="D10" s="231">
        <v>1</v>
      </c>
      <c r="E10" s="214">
        <f>+'215 (2)'!G11</f>
        <v>11168622</v>
      </c>
      <c r="F10" s="83">
        <f>+'215 (2)'!G18</f>
        <v>6210</v>
      </c>
      <c r="G10" s="83">
        <f>+'215 (2)'!G25</f>
        <v>136414.36480000001</v>
      </c>
      <c r="H10" s="83">
        <f>+'215 (2)'!G29</f>
        <v>28925</v>
      </c>
      <c r="I10" s="83">
        <f>+'215 (2)'!G30</f>
        <v>26585</v>
      </c>
      <c r="J10" s="221"/>
      <c r="K10" s="214"/>
      <c r="L10" s="83"/>
      <c r="M10" s="83"/>
      <c r="N10" s="83"/>
      <c r="O10" s="83"/>
      <c r="P10" s="225"/>
      <c r="Q10" s="47"/>
      <c r="R10" s="84"/>
    </row>
    <row r="11" spans="1:18" s="46" customFormat="1" ht="37.5">
      <c r="A11" s="241" t="s">
        <v>1887</v>
      </c>
      <c r="B11" s="237" t="s">
        <v>1092</v>
      </c>
      <c r="C11" s="230" t="s">
        <v>188</v>
      </c>
      <c r="D11" s="231">
        <v>1</v>
      </c>
      <c r="E11" s="214">
        <f>+'216'!G9</f>
        <v>1233020</v>
      </c>
      <c r="F11" s="83">
        <f>+'216'!G16</f>
        <v>8280</v>
      </c>
      <c r="G11" s="83">
        <f>+'216'!G23</f>
        <v>25577.6934</v>
      </c>
      <c r="H11" s="83">
        <f>+'216'!G27</f>
        <v>38566</v>
      </c>
      <c r="I11" s="83">
        <f>+'216'!G28</f>
        <v>35447</v>
      </c>
      <c r="J11" s="221"/>
      <c r="K11" s="214"/>
      <c r="L11" s="83"/>
      <c r="M11" s="83"/>
      <c r="N11" s="83"/>
      <c r="O11" s="83"/>
      <c r="P11" s="225"/>
      <c r="Q11" s="47"/>
      <c r="R11" s="84"/>
    </row>
    <row r="12" spans="1:18" s="46" customFormat="1" ht="25">
      <c r="A12" s="241" t="s">
        <v>1888</v>
      </c>
      <c r="B12" s="237" t="s">
        <v>1094</v>
      </c>
      <c r="C12" s="230" t="s">
        <v>188</v>
      </c>
      <c r="D12" s="231">
        <v>1</v>
      </c>
      <c r="E12" s="214">
        <f>+'217'!G14</f>
        <v>529269</v>
      </c>
      <c r="F12" s="83">
        <f>+'217'!G21</f>
        <v>12420</v>
      </c>
      <c r="G12" s="83">
        <f>+'217'!G28</f>
        <v>66325.516755540011</v>
      </c>
      <c r="H12" s="83">
        <f>+'217'!G32</f>
        <v>57850</v>
      </c>
      <c r="I12" s="83">
        <f>+'217'!G33</f>
        <v>53170</v>
      </c>
      <c r="J12" s="221"/>
      <c r="K12" s="214"/>
      <c r="L12" s="83"/>
      <c r="M12" s="83"/>
      <c r="N12" s="83"/>
      <c r="O12" s="83"/>
      <c r="P12" s="225"/>
      <c r="Q12" s="47"/>
      <c r="R12" s="84"/>
    </row>
    <row r="13" spans="1:18" s="46" customFormat="1" ht="53.15" customHeight="1" thickBot="1">
      <c r="A13" s="241" t="s">
        <v>1889</v>
      </c>
      <c r="B13" s="237" t="s">
        <v>1096</v>
      </c>
      <c r="C13" s="230" t="s">
        <v>188</v>
      </c>
      <c r="D13" s="231">
        <v>1</v>
      </c>
      <c r="E13" s="214">
        <f>+'218'!G14</f>
        <v>118426</v>
      </c>
      <c r="F13" s="83">
        <f>+'218'!G21</f>
        <v>37742</v>
      </c>
      <c r="G13" s="83">
        <f>+'218'!G28</f>
        <v>9266.7414795013319</v>
      </c>
      <c r="H13" s="83">
        <f>+'218'!G32</f>
        <v>25711</v>
      </c>
      <c r="I13" s="83">
        <f>+'218'!G33</f>
        <v>23631</v>
      </c>
      <c r="J13" s="221"/>
      <c r="K13" s="214"/>
      <c r="L13" s="83"/>
      <c r="M13" s="83"/>
      <c r="N13" s="83"/>
      <c r="O13" s="83"/>
      <c r="P13" s="225"/>
      <c r="Q13" s="47"/>
      <c r="R13" s="84"/>
    </row>
    <row r="14" spans="1:18" s="46" customFormat="1" ht="30" customHeight="1" thickBot="1">
      <c r="A14" s="248" t="s">
        <v>848</v>
      </c>
      <c r="B14" s="1646" t="str">
        <f>+'PRES GENERAL MR(OXI)'!B8</f>
        <v>Estructura de soporte para 3 paneles solares</v>
      </c>
      <c r="C14" s="1647"/>
      <c r="D14" s="1647"/>
      <c r="E14" s="1647"/>
      <c r="F14" s="1647"/>
      <c r="G14" s="1647"/>
      <c r="H14" s="1647"/>
      <c r="I14" s="1647"/>
      <c r="J14" s="1647"/>
      <c r="K14" s="1647"/>
      <c r="L14" s="1647"/>
      <c r="M14" s="1647"/>
      <c r="N14" s="1647"/>
      <c r="O14" s="1647"/>
      <c r="P14" s="1648"/>
      <c r="Q14" s="47"/>
      <c r="R14" s="47"/>
    </row>
    <row r="15" spans="1:18" s="46" customFormat="1" ht="54.65" customHeight="1">
      <c r="A15" s="240" t="s">
        <v>1890</v>
      </c>
      <c r="B15" s="236" t="s">
        <v>1097</v>
      </c>
      <c r="C15" s="228" t="s">
        <v>188</v>
      </c>
      <c r="D15" s="229">
        <v>1</v>
      </c>
      <c r="E15" s="212">
        <f>+'221'!G24</f>
        <v>1409785</v>
      </c>
      <c r="F15" s="213">
        <f>+'221'!G28</f>
        <v>41037.5593220339</v>
      </c>
      <c r="G15" s="213">
        <f>+'221'!G38</f>
        <v>1155389.7597188433</v>
      </c>
      <c r="H15" s="213">
        <f>+'221'!G31</f>
        <v>193769.49152542374</v>
      </c>
      <c r="I15" s="213">
        <f>+'221'!G32</f>
        <v>319200</v>
      </c>
      <c r="J15" s="220"/>
      <c r="K15" s="212"/>
      <c r="L15" s="213"/>
      <c r="M15" s="213"/>
      <c r="N15" s="1158"/>
      <c r="O15" s="213"/>
      <c r="P15" s="224"/>
      <c r="Q15" s="47"/>
      <c r="R15" s="47"/>
    </row>
    <row r="16" spans="1:18" s="46" customFormat="1" ht="25.5" thickBot="1">
      <c r="A16" s="241" t="s">
        <v>1891</v>
      </c>
      <c r="B16" s="237" t="s">
        <v>1098</v>
      </c>
      <c r="C16" s="230" t="s">
        <v>188</v>
      </c>
      <c r="D16" s="231">
        <v>1</v>
      </c>
      <c r="E16" s="214">
        <f>+'222'!G10</f>
        <v>0</v>
      </c>
      <c r="F16" s="83">
        <f>+'222'!G16</f>
        <v>14628</v>
      </c>
      <c r="G16" s="83">
        <f>+'222'!G23</f>
        <v>0</v>
      </c>
      <c r="H16" s="83">
        <f>+'222'!G27</f>
        <v>0</v>
      </c>
      <c r="I16" s="83">
        <f>+'222'!G28</f>
        <v>21268</v>
      </c>
      <c r="J16" s="221"/>
      <c r="K16" s="214"/>
      <c r="L16" s="83"/>
      <c r="M16" s="83"/>
      <c r="N16" s="216"/>
      <c r="O16" s="83"/>
      <c r="P16" s="225"/>
      <c r="Q16" s="47"/>
      <c r="R16" s="47"/>
    </row>
    <row r="17" spans="1:18" s="46" customFormat="1" ht="30" customHeight="1" thickBot="1">
      <c r="A17" s="248" t="s">
        <v>1877</v>
      </c>
      <c r="B17" s="1646" t="str">
        <f>+'PRES GENERAL MR(OXI)'!B9</f>
        <v>Sistema de control, medición y monitoreo</v>
      </c>
      <c r="C17" s="1647"/>
      <c r="D17" s="1647"/>
      <c r="E17" s="1647"/>
      <c r="F17" s="1647"/>
      <c r="G17" s="1647"/>
      <c r="H17" s="1647"/>
      <c r="I17" s="1647"/>
      <c r="J17" s="1647"/>
      <c r="K17" s="1647"/>
      <c r="L17" s="1647"/>
      <c r="M17" s="1647"/>
      <c r="N17" s="1647"/>
      <c r="O17" s="1647"/>
      <c r="P17" s="1648"/>
      <c r="Q17" s="47"/>
      <c r="R17" s="47"/>
    </row>
    <row r="18" spans="1:18" s="46" customFormat="1" ht="13" thickBot="1">
      <c r="A18" s="239" t="s">
        <v>1892</v>
      </c>
      <c r="B18" s="238" t="s">
        <v>1099</v>
      </c>
      <c r="C18" s="234" t="s">
        <v>188</v>
      </c>
      <c r="D18" s="235">
        <v>1</v>
      </c>
      <c r="E18" s="217">
        <f>+'231'!G22</f>
        <v>2159972</v>
      </c>
      <c r="F18" s="218">
        <f>+'231'!G27</f>
        <v>24840</v>
      </c>
      <c r="G18" s="218">
        <f>+'231'!G34</f>
        <v>21826.298368</v>
      </c>
      <c r="H18" s="218">
        <f>+'231'!G38</f>
        <v>28925</v>
      </c>
      <c r="I18" s="218">
        <f>+'231'!G39</f>
        <v>26585</v>
      </c>
      <c r="J18" s="223"/>
      <c r="K18" s="217"/>
      <c r="L18" s="218"/>
      <c r="M18" s="218"/>
      <c r="N18" s="218"/>
      <c r="O18" s="218"/>
      <c r="P18" s="227"/>
      <c r="Q18" s="47"/>
      <c r="R18" s="47"/>
    </row>
    <row r="19" spans="1:18" s="46" customFormat="1" ht="18" customHeight="1">
      <c r="A19" s="1649" t="s">
        <v>1048</v>
      </c>
      <c r="B19" s="1641"/>
      <c r="C19" s="1641"/>
      <c r="D19" s="1641"/>
      <c r="E19" s="1641"/>
      <c r="F19" s="1641"/>
      <c r="G19" s="1641"/>
      <c r="H19" s="1641"/>
      <c r="I19" s="1641"/>
      <c r="J19" s="1642"/>
      <c r="K19" s="219">
        <f t="shared" ref="K19:O19" si="0">ROUND(SUM(K6:K18),0)</f>
        <v>0</v>
      </c>
      <c r="L19" s="219">
        <f t="shared" si="0"/>
        <v>0</v>
      </c>
      <c r="M19" s="219">
        <f t="shared" si="0"/>
        <v>0</v>
      </c>
      <c r="N19" s="219">
        <f t="shared" si="0"/>
        <v>0</v>
      </c>
      <c r="O19" s="219">
        <f t="shared" si="0"/>
        <v>0</v>
      </c>
      <c r="P19" s="219"/>
      <c r="Q19" s="47"/>
      <c r="R19" s="47"/>
    </row>
    <row r="20" spans="1:18">
      <c r="P20" s="3"/>
    </row>
    <row r="21" spans="1:18">
      <c r="A21" s="441"/>
      <c r="B21" s="441"/>
      <c r="C21" s="441"/>
      <c r="L21" s="60"/>
      <c r="O21" s="34"/>
      <c r="P21" s="701"/>
    </row>
    <row r="22" spans="1:18" ht="13">
      <c r="A22" s="442"/>
      <c r="B22" s="441"/>
      <c r="C22" s="441"/>
      <c r="L22" s="34"/>
      <c r="O22" s="34"/>
    </row>
    <row r="23" spans="1:18" ht="14">
      <c r="B23" s="840"/>
      <c r="C23" s="840"/>
      <c r="I23" s="34"/>
      <c r="L23" s="55"/>
    </row>
    <row r="24" spans="1:18" ht="15.5">
      <c r="B24" s="1027"/>
      <c r="C24" s="1026"/>
      <c r="I24" s="34"/>
      <c r="K24" s="56"/>
      <c r="L24" s="55"/>
    </row>
    <row r="25" spans="1:18" ht="15.5">
      <c r="B25" s="1026"/>
      <c r="C25" s="1026"/>
      <c r="I25" s="34"/>
      <c r="K25" s="56"/>
      <c r="L25" s="55"/>
      <c r="P25" s="3"/>
    </row>
    <row r="26" spans="1:18">
      <c r="B26" s="790"/>
      <c r="C26" s="790"/>
      <c r="K26" s="56"/>
      <c r="P26" s="55"/>
    </row>
    <row r="27" spans="1:18">
      <c r="B27" s="60"/>
      <c r="K27" s="56"/>
    </row>
    <row r="28" spans="1:18">
      <c r="E28" s="965"/>
    </row>
    <row r="29" spans="1:18">
      <c r="K29" s="56"/>
    </row>
    <row r="30" spans="1:18">
      <c r="B30" s="60"/>
      <c r="K30" s="56"/>
    </row>
    <row r="31" spans="1:18">
      <c r="K31" s="56"/>
    </row>
    <row r="33" spans="2:10">
      <c r="B33" s="60"/>
    </row>
    <row r="34" spans="2:10">
      <c r="J34" s="56"/>
    </row>
    <row r="36" spans="2:10">
      <c r="J36" s="56"/>
    </row>
  </sheetData>
  <mergeCells count="11">
    <mergeCell ref="A1:P2"/>
    <mergeCell ref="B5:P5"/>
    <mergeCell ref="B14:P14"/>
    <mergeCell ref="B17:P17"/>
    <mergeCell ref="A19:J19"/>
    <mergeCell ref="A3:A4"/>
    <mergeCell ref="B3:B4"/>
    <mergeCell ref="C3:C4"/>
    <mergeCell ref="D3:D4"/>
    <mergeCell ref="E3:J3"/>
    <mergeCell ref="K3:P3"/>
  </mergeCells>
  <phoneticPr fontId="106" type="noConversion"/>
  <printOptions horizontalCentered="1"/>
  <pageMargins left="0.39370078740157483" right="0.39370078740157483" top="0.39370078740157483" bottom="0.39370078740157483" header="0" footer="0"/>
  <pageSetup scale="66"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E59"/>
  <sheetViews>
    <sheetView view="pageBreakPreview" zoomScale="70" zoomScaleNormal="70" zoomScaleSheetLayoutView="70" workbookViewId="0">
      <pane xSplit="4" ySplit="5" topLeftCell="E6" activePane="bottomRight" state="frozen"/>
      <selection activeCell="C13" sqref="C13"/>
      <selection pane="topRight" activeCell="C13" sqref="C13"/>
      <selection pane="bottomLeft" activeCell="C13" sqref="C13"/>
      <selection pane="bottomRight" sqref="A1:XFD1"/>
    </sheetView>
  </sheetViews>
  <sheetFormatPr baseColWidth="10" defaultColWidth="11.453125" defaultRowHeight="12.5"/>
  <cols>
    <col min="1" max="1" width="6.453125" customWidth="1"/>
    <col min="2" max="2" width="61.81640625" customWidth="1"/>
    <col min="3" max="3" width="8.453125" customWidth="1"/>
    <col min="4" max="4" width="11" customWidth="1"/>
    <col min="5" max="5" width="16.1796875" hidden="1" customWidth="1"/>
    <col min="6" max="9" width="15.54296875" hidden="1" customWidth="1"/>
    <col min="10" max="10" width="16.1796875" bestFit="1" customWidth="1"/>
    <col min="11" max="11" width="21.54296875" hidden="1" customWidth="1"/>
    <col min="12" max="12" width="19.81640625" hidden="1" customWidth="1"/>
    <col min="13" max="14" width="20.453125" hidden="1" customWidth="1"/>
    <col min="15" max="15" width="20" hidden="1" customWidth="1"/>
    <col min="16" max="16" width="23" bestFit="1" customWidth="1"/>
    <col min="18" max="18" width="15.54296875" bestFit="1" customWidth="1"/>
  </cols>
  <sheetData>
    <row r="1" spans="1:31" ht="13" hidden="1">
      <c r="A1" s="1654" t="str">
        <f>+'PRES GENERAL MR(OXI)'!A1</f>
        <v>IMPLEMENTACIÓN DE SOLUCIONES ENERGÉTICAS CON FUENTES NO CONVENCIONALES DE ENERGÍA PARA USUARIOS EN ZONAS RURALES DEL MUNICIPIO DE TEORAMA EN EL DEPARTAMENTO DE NORTE DE SANTANDER</v>
      </c>
      <c r="B1" s="1654"/>
      <c r="C1" s="1654"/>
      <c r="D1" s="1654"/>
      <c r="E1" s="1654"/>
      <c r="F1" s="1654"/>
      <c r="G1" s="1654"/>
      <c r="H1" s="1654"/>
      <c r="I1" s="1654"/>
      <c r="J1" s="1654"/>
      <c r="K1" s="1654"/>
      <c r="L1" s="1654"/>
      <c r="M1" s="1654"/>
      <c r="N1" s="1654"/>
      <c r="O1" s="1654"/>
      <c r="P1" s="1654"/>
    </row>
    <row r="2" spans="1:31" s="45" customFormat="1" ht="13.5" thickBot="1">
      <c r="A2" s="1655" t="s">
        <v>1100</v>
      </c>
      <c r="B2" s="1656"/>
      <c r="C2" s="1656"/>
      <c r="D2" s="1656"/>
      <c r="E2" s="1657"/>
      <c r="F2" s="1657"/>
      <c r="G2" s="1657"/>
      <c r="H2" s="1657"/>
      <c r="I2" s="1657"/>
      <c r="J2" s="1657"/>
      <c r="K2" s="1657"/>
      <c r="L2" s="1657"/>
      <c r="M2" s="1657"/>
      <c r="N2" s="1657"/>
      <c r="O2" s="1657"/>
      <c r="P2" s="1658"/>
    </row>
    <row r="3" spans="1:31" s="2" customFormat="1" ht="30" customHeight="1">
      <c r="A3" s="1650" t="s">
        <v>584</v>
      </c>
      <c r="B3" s="1650" t="s">
        <v>1008</v>
      </c>
      <c r="C3" s="1650" t="s">
        <v>259</v>
      </c>
      <c r="D3" s="1652" t="s">
        <v>688</v>
      </c>
      <c r="E3" s="1378" t="s">
        <v>1009</v>
      </c>
      <c r="F3" s="1379"/>
      <c r="G3" s="1379"/>
      <c r="H3" s="1379"/>
      <c r="I3" s="1379"/>
      <c r="J3" s="1380"/>
      <c r="K3" s="1378" t="s">
        <v>1010</v>
      </c>
      <c r="L3" s="1379"/>
      <c r="M3" s="1379"/>
      <c r="N3" s="1379"/>
      <c r="O3" s="1379"/>
      <c r="P3" s="1380"/>
      <c r="Q3" s="82"/>
      <c r="R3" s="82"/>
      <c r="S3" s="82"/>
      <c r="T3" s="82"/>
      <c r="U3" s="82"/>
      <c r="V3" s="82"/>
      <c r="W3" s="82"/>
      <c r="X3" s="82"/>
      <c r="Y3" s="82"/>
      <c r="Z3" s="82"/>
      <c r="AA3" s="82"/>
      <c r="AB3" s="82"/>
      <c r="AC3" s="82"/>
      <c r="AD3" s="82"/>
      <c r="AE3" s="82"/>
    </row>
    <row r="4" spans="1:31" s="2" customFormat="1" ht="33.65" customHeight="1" thickBot="1">
      <c r="A4" s="1651"/>
      <c r="B4" s="1651"/>
      <c r="C4" s="1651"/>
      <c r="D4" s="1653"/>
      <c r="E4" s="243" t="s">
        <v>749</v>
      </c>
      <c r="F4" s="210" t="s">
        <v>1011</v>
      </c>
      <c r="G4" s="210" t="s">
        <v>1012</v>
      </c>
      <c r="H4" s="210" t="s">
        <v>1013</v>
      </c>
      <c r="I4" s="210" t="s">
        <v>1014</v>
      </c>
      <c r="J4" s="244" t="s">
        <v>1015</v>
      </c>
      <c r="K4" s="245" t="s">
        <v>749</v>
      </c>
      <c r="L4" s="246" t="s">
        <v>1011</v>
      </c>
      <c r="M4" s="246" t="s">
        <v>1012</v>
      </c>
      <c r="N4" s="210" t="s">
        <v>1013</v>
      </c>
      <c r="O4" s="210" t="s">
        <v>1014</v>
      </c>
      <c r="P4" s="247" t="s">
        <v>1016</v>
      </c>
      <c r="Q4" s="82"/>
      <c r="R4" s="82"/>
      <c r="S4" s="82"/>
      <c r="T4" s="82"/>
      <c r="U4" s="82"/>
      <c r="V4" s="82"/>
      <c r="W4" s="82"/>
      <c r="X4" s="82"/>
      <c r="Y4" s="82"/>
      <c r="Z4" s="82"/>
      <c r="AA4" s="82"/>
      <c r="AB4" s="82"/>
      <c r="AC4" s="82"/>
      <c r="AD4" s="82"/>
      <c r="AE4" s="82"/>
    </row>
    <row r="5" spans="1:31" s="46" customFormat="1" ht="13.5" thickBot="1">
      <c r="A5" s="248" t="str">
        <f>+'PRES GENERAL MR(OXI)'!A13</f>
        <v>2.1</v>
      </c>
      <c r="B5" s="718" t="str">
        <f>+'PRES GENERAL MR(OXI)'!B13</f>
        <v>Sistema de generación de 10720 Wp</v>
      </c>
      <c r="C5" s="719"/>
      <c r="D5" s="719"/>
      <c r="E5" s="719"/>
      <c r="F5" s="719"/>
      <c r="G5" s="719"/>
      <c r="H5" s="719"/>
      <c r="I5" s="719"/>
      <c r="J5" s="719"/>
      <c r="K5" s="719"/>
      <c r="L5" s="719"/>
      <c r="M5" s="719"/>
      <c r="N5" s="719"/>
      <c r="O5" s="719"/>
      <c r="P5" s="720"/>
      <c r="Q5" s="47"/>
      <c r="R5" s="47"/>
      <c r="S5" s="47"/>
      <c r="T5" s="47"/>
      <c r="U5" s="47"/>
      <c r="V5" s="47"/>
      <c r="W5" s="47"/>
      <c r="X5" s="47"/>
      <c r="Y5" s="47"/>
      <c r="Z5" s="47"/>
      <c r="AA5" s="47"/>
      <c r="AB5" s="47"/>
      <c r="AC5" s="47"/>
      <c r="AD5" s="47"/>
      <c r="AE5" s="47"/>
    </row>
    <row r="6" spans="1:31" s="46" customFormat="1" ht="87.5">
      <c r="A6" s="241" t="s">
        <v>871</v>
      </c>
      <c r="B6" s="237" t="s">
        <v>1102</v>
      </c>
      <c r="C6" s="230" t="s">
        <v>188</v>
      </c>
      <c r="D6" s="231">
        <v>16</v>
      </c>
      <c r="E6" s="214">
        <f>+'311 411 511'!G11</f>
        <v>900921</v>
      </c>
      <c r="F6" s="83">
        <f>+'311 411 511'!G18</f>
        <v>4140</v>
      </c>
      <c r="G6" s="83">
        <f>+'311 411 511'!G25</f>
        <v>66153.880201748645</v>
      </c>
      <c r="H6" s="83">
        <f>+'311 411 511'!G29</f>
        <v>19283</v>
      </c>
      <c r="I6" s="83">
        <f>+'311 411 511'!G30</f>
        <v>17723</v>
      </c>
      <c r="J6" s="221"/>
      <c r="K6" s="214"/>
      <c r="L6" s="83"/>
      <c r="M6" s="83"/>
      <c r="N6" s="83"/>
      <c r="O6" s="83"/>
      <c r="P6" s="225"/>
      <c r="Q6" s="47"/>
      <c r="R6" s="47"/>
      <c r="S6" s="47"/>
      <c r="T6" s="47"/>
      <c r="U6" s="47"/>
      <c r="V6" s="47"/>
      <c r="W6" s="47"/>
      <c r="X6" s="47"/>
      <c r="Y6" s="47"/>
      <c r="Z6" s="47"/>
      <c r="AA6" s="47"/>
      <c r="AB6" s="47"/>
      <c r="AC6" s="47"/>
      <c r="AD6" s="47"/>
      <c r="AE6" s="47"/>
    </row>
    <row r="7" spans="1:31" s="46" customFormat="1" ht="70.5" customHeight="1">
      <c r="A7" s="241" t="s">
        <v>1083</v>
      </c>
      <c r="B7" s="237" t="s">
        <v>1104</v>
      </c>
      <c r="C7" s="230" t="s">
        <v>188</v>
      </c>
      <c r="D7" s="231">
        <v>1</v>
      </c>
      <c r="E7" s="214">
        <f>+'312'!G14</f>
        <v>590886</v>
      </c>
      <c r="F7" s="83">
        <f>+'312'!G21</f>
        <v>4140</v>
      </c>
      <c r="G7" s="83">
        <f>+'312'!G28</f>
        <v>13114.6042031424</v>
      </c>
      <c r="H7" s="83">
        <f>+'312'!G32</f>
        <v>19283</v>
      </c>
      <c r="I7" s="83">
        <f>+'312'!G33</f>
        <v>17723</v>
      </c>
      <c r="J7" s="221"/>
      <c r="K7" s="214"/>
      <c r="L7" s="83"/>
      <c r="M7" s="83"/>
      <c r="N7" s="83"/>
      <c r="O7" s="83"/>
      <c r="P7" s="225"/>
      <c r="Q7"/>
      <c r="R7"/>
      <c r="S7"/>
      <c r="T7"/>
      <c r="U7"/>
      <c r="V7"/>
      <c r="W7"/>
      <c r="X7"/>
      <c r="Y7"/>
      <c r="Z7"/>
      <c r="AA7"/>
      <c r="AB7"/>
      <c r="AC7"/>
      <c r="AD7"/>
      <c r="AE7"/>
    </row>
    <row r="8" spans="1:31" s="46" customFormat="1" ht="56.5" customHeight="1">
      <c r="A8" s="241" t="s">
        <v>1085</v>
      </c>
      <c r="B8" s="237" t="s">
        <v>1106</v>
      </c>
      <c r="C8" s="230" t="s">
        <v>188</v>
      </c>
      <c r="D8" s="231">
        <v>1</v>
      </c>
      <c r="E8" s="214">
        <f>+'313'!G21</f>
        <v>2723776</v>
      </c>
      <c r="F8" s="83">
        <f>+'313'!G28</f>
        <v>12420</v>
      </c>
      <c r="G8" s="83">
        <f>+'313'!G35</f>
        <v>33477.534524545983</v>
      </c>
      <c r="H8" s="83">
        <f>+'313'!G39</f>
        <v>57850</v>
      </c>
      <c r="I8" s="83">
        <f>+'313'!G40</f>
        <v>53170</v>
      </c>
      <c r="J8" s="221"/>
      <c r="K8" s="214"/>
      <c r="L8" s="83"/>
      <c r="M8" s="83"/>
      <c r="N8" s="83"/>
      <c r="O8" s="83"/>
      <c r="P8" s="225"/>
      <c r="Q8"/>
      <c r="R8"/>
      <c r="S8"/>
      <c r="T8"/>
      <c r="U8"/>
      <c r="V8"/>
      <c r="W8"/>
      <c r="X8"/>
      <c r="Y8"/>
      <c r="Z8"/>
      <c r="AA8"/>
      <c r="AB8"/>
      <c r="AC8"/>
      <c r="AD8"/>
      <c r="AE8"/>
    </row>
    <row r="9" spans="1:31" s="46" customFormat="1" ht="75">
      <c r="A9" s="241" t="s">
        <v>1087</v>
      </c>
      <c r="B9" s="237" t="s">
        <v>1108</v>
      </c>
      <c r="C9" s="230" t="s">
        <v>188</v>
      </c>
      <c r="D9" s="231">
        <v>1</v>
      </c>
      <c r="E9" s="214">
        <f>+'314 414 514'!G16</f>
        <v>4264138</v>
      </c>
      <c r="F9" s="83">
        <f>+'314 414 514'!G23</f>
        <v>4968</v>
      </c>
      <c r="G9" s="83">
        <f>+'314 414 514'!G30</f>
        <v>10123.054234874</v>
      </c>
      <c r="H9" s="83">
        <f>+'314 414 514'!G34</f>
        <v>23140</v>
      </c>
      <c r="I9" s="83">
        <f>+'314 414 514'!G35</f>
        <v>21268</v>
      </c>
      <c r="J9" s="221"/>
      <c r="K9" s="214"/>
      <c r="L9" s="83"/>
      <c r="M9" s="83"/>
      <c r="N9" s="83"/>
      <c r="O9" s="83"/>
      <c r="P9" s="225"/>
      <c r="Q9"/>
      <c r="R9"/>
      <c r="S9"/>
      <c r="T9"/>
      <c r="U9"/>
      <c r="V9"/>
      <c r="W9"/>
      <c r="X9"/>
      <c r="Y9"/>
      <c r="Z9"/>
      <c r="AA9"/>
      <c r="AB9"/>
      <c r="AC9"/>
      <c r="AD9"/>
      <c r="AE9"/>
    </row>
    <row r="10" spans="1:31" s="46" customFormat="1" ht="50">
      <c r="A10" s="241" t="s">
        <v>1089</v>
      </c>
      <c r="B10" s="237" t="s">
        <v>1110</v>
      </c>
      <c r="C10" s="230" t="s">
        <v>188</v>
      </c>
      <c r="D10" s="231">
        <v>1</v>
      </c>
      <c r="E10" s="214">
        <f>+'315'!G22</f>
        <v>3178212</v>
      </c>
      <c r="F10" s="83">
        <f>+'315'!G29</f>
        <v>24840</v>
      </c>
      <c r="G10" s="83">
        <f>+'315'!G36</f>
        <v>41565.456954559995</v>
      </c>
      <c r="H10" s="83">
        <f>+'315'!G40</f>
        <v>115699</v>
      </c>
      <c r="I10" s="83">
        <f>+'315'!G41</f>
        <v>106341</v>
      </c>
      <c r="J10" s="221"/>
      <c r="K10" s="214"/>
      <c r="L10" s="83"/>
      <c r="M10" s="83"/>
      <c r="N10" s="83"/>
      <c r="O10" s="83"/>
      <c r="P10" s="225"/>
      <c r="Q10"/>
      <c r="R10"/>
      <c r="S10"/>
      <c r="T10"/>
      <c r="U10"/>
      <c r="V10"/>
      <c r="W10"/>
      <c r="X10"/>
      <c r="Y10"/>
      <c r="Z10"/>
      <c r="AA10"/>
      <c r="AB10"/>
      <c r="AC10"/>
      <c r="AD10"/>
      <c r="AE10"/>
    </row>
    <row r="11" spans="1:31" s="46" customFormat="1" ht="87.5">
      <c r="A11" s="241" t="s">
        <v>1091</v>
      </c>
      <c r="B11" s="781" t="s">
        <v>1112</v>
      </c>
      <c r="C11" s="230" t="s">
        <v>188</v>
      </c>
      <c r="D11" s="231">
        <v>1</v>
      </c>
      <c r="E11" s="214">
        <f>+'316'!G15</f>
        <v>45936688</v>
      </c>
      <c r="F11" s="83">
        <f>+'316'!G22</f>
        <v>24840</v>
      </c>
      <c r="G11" s="83">
        <f>+'316'!G29</f>
        <v>433658.19637599197</v>
      </c>
      <c r="H11" s="83">
        <f>+'316'!G33</f>
        <v>115699</v>
      </c>
      <c r="I11" s="83">
        <f>+'316'!G34</f>
        <v>106341</v>
      </c>
      <c r="J11" s="221"/>
      <c r="K11" s="214"/>
      <c r="L11" s="83"/>
      <c r="M11" s="83"/>
      <c r="N11" s="83"/>
      <c r="O11" s="83"/>
      <c r="P11" s="225"/>
      <c r="Q11"/>
      <c r="R11"/>
      <c r="S11"/>
      <c r="T11"/>
      <c r="U11"/>
      <c r="V11"/>
      <c r="W11"/>
      <c r="X11"/>
      <c r="Y11"/>
      <c r="Z11"/>
      <c r="AA11"/>
      <c r="AB11"/>
      <c r="AC11"/>
      <c r="AD11"/>
      <c r="AE11"/>
    </row>
    <row r="12" spans="1:31" s="46" customFormat="1" ht="37.5">
      <c r="A12" s="241" t="s">
        <v>1093</v>
      </c>
      <c r="B12" s="237" t="s">
        <v>1114</v>
      </c>
      <c r="C12" s="230" t="s">
        <v>188</v>
      </c>
      <c r="D12" s="231">
        <v>1</v>
      </c>
      <c r="E12" s="214">
        <f>+'317 417 517'!G13</f>
        <v>11635457</v>
      </c>
      <c r="F12" s="83">
        <f>+'317 417 517'!G20</f>
        <v>12420</v>
      </c>
      <c r="G12" s="83">
        <f>+'317 417 517'!G27</f>
        <v>52314.295036158393</v>
      </c>
      <c r="H12" s="83">
        <f>+'317 417 517'!G31</f>
        <v>57850</v>
      </c>
      <c r="I12" s="83">
        <f>+'317 417 517'!G32</f>
        <v>53170</v>
      </c>
      <c r="J12" s="221"/>
      <c r="K12" s="214"/>
      <c r="L12" s="83"/>
      <c r="M12" s="83"/>
      <c r="N12" s="83"/>
      <c r="O12" s="83"/>
      <c r="P12" s="225"/>
      <c r="Q12"/>
      <c r="R12"/>
      <c r="S12"/>
      <c r="T12"/>
      <c r="U12"/>
      <c r="V12"/>
      <c r="W12"/>
      <c r="X12"/>
      <c r="Y12"/>
      <c r="Z12"/>
      <c r="AA12"/>
      <c r="AB12"/>
      <c r="AC12"/>
      <c r="AD12"/>
      <c r="AE12"/>
    </row>
    <row r="13" spans="1:31" s="46" customFormat="1" ht="37.5">
      <c r="A13" s="241" t="s">
        <v>1095</v>
      </c>
      <c r="B13" s="237" t="s">
        <v>1116</v>
      </c>
      <c r="C13" s="230" t="s">
        <v>188</v>
      </c>
      <c r="D13" s="231">
        <v>1</v>
      </c>
      <c r="E13" s="214">
        <f>+'318'!G10</f>
        <v>74428</v>
      </c>
      <c r="F13" s="83">
        <f>+'318'!G17</f>
        <v>8280</v>
      </c>
      <c r="G13" s="83">
        <f>+'318'!G24</f>
        <v>2284.9406104</v>
      </c>
      <c r="H13" s="83">
        <f>+'318'!G28</f>
        <v>38566</v>
      </c>
      <c r="I13" s="83">
        <f>+'318'!G29</f>
        <v>35447</v>
      </c>
      <c r="J13" s="221"/>
      <c r="K13" s="214"/>
      <c r="L13" s="83"/>
      <c r="M13" s="83"/>
      <c r="N13" s="83"/>
      <c r="O13" s="83"/>
      <c r="P13" s="225"/>
      <c r="Q13"/>
      <c r="R13"/>
      <c r="S13"/>
      <c r="T13"/>
      <c r="U13"/>
      <c r="V13"/>
      <c r="W13"/>
      <c r="X13"/>
      <c r="Y13"/>
      <c r="Z13"/>
      <c r="AA13"/>
      <c r="AB13"/>
      <c r="AC13"/>
      <c r="AD13"/>
      <c r="AE13"/>
    </row>
    <row r="14" spans="1:31" s="46" customFormat="1" ht="25">
      <c r="A14" s="241" t="s">
        <v>1893</v>
      </c>
      <c r="B14" s="237" t="s">
        <v>1118</v>
      </c>
      <c r="C14" s="230" t="s">
        <v>188</v>
      </c>
      <c r="D14" s="231">
        <v>1</v>
      </c>
      <c r="E14" s="214">
        <f>+'319'!G11</f>
        <v>3324555</v>
      </c>
      <c r="F14" s="83">
        <f>+'319'!G18</f>
        <v>8280</v>
      </c>
      <c r="G14" s="83">
        <f>+'319'!G25</f>
        <v>276375.50308479997</v>
      </c>
      <c r="H14" s="83">
        <f>+'319'!G29</f>
        <v>38566</v>
      </c>
      <c r="I14" s="83">
        <f>+'319'!G30</f>
        <v>35447</v>
      </c>
      <c r="J14" s="221"/>
      <c r="K14" s="214"/>
      <c r="L14" s="83"/>
      <c r="M14" s="83"/>
      <c r="N14" s="83"/>
      <c r="O14" s="83"/>
      <c r="P14" s="225"/>
      <c r="Q14"/>
      <c r="R14"/>
      <c r="S14"/>
      <c r="T14"/>
      <c r="U14"/>
      <c r="V14"/>
      <c r="W14"/>
      <c r="X14"/>
      <c r="Y14"/>
      <c r="Z14"/>
      <c r="AA14"/>
      <c r="AB14"/>
      <c r="AC14"/>
      <c r="AD14"/>
      <c r="AE14"/>
    </row>
    <row r="15" spans="1:31" s="46" customFormat="1" ht="50">
      <c r="A15" s="241" t="s">
        <v>1894</v>
      </c>
      <c r="B15" s="237" t="s">
        <v>1120</v>
      </c>
      <c r="C15" s="230" t="s">
        <v>188</v>
      </c>
      <c r="D15" s="231">
        <v>1</v>
      </c>
      <c r="E15" s="214">
        <f>+'3110'!G21</f>
        <v>1775033</v>
      </c>
      <c r="F15" s="83">
        <f>+'3110'!G28</f>
        <v>4140</v>
      </c>
      <c r="G15" s="83">
        <f>+'3110'!G35</f>
        <v>35970.472937674793</v>
      </c>
      <c r="H15" s="83">
        <f>+'3110'!G39</f>
        <v>19283</v>
      </c>
      <c r="I15" s="83">
        <f>+'3110'!G40</f>
        <v>17723</v>
      </c>
      <c r="J15" s="221"/>
      <c r="K15" s="214"/>
      <c r="L15" s="83"/>
      <c r="M15" s="83"/>
      <c r="N15" s="83"/>
      <c r="O15" s="83"/>
      <c r="P15" s="225"/>
      <c r="Q15"/>
      <c r="R15"/>
      <c r="S15"/>
      <c r="T15"/>
      <c r="U15"/>
      <c r="V15"/>
      <c r="W15"/>
      <c r="X15"/>
      <c r="Y15"/>
      <c r="Z15"/>
      <c r="AA15"/>
      <c r="AB15"/>
      <c r="AC15"/>
      <c r="AD15"/>
      <c r="AE15"/>
    </row>
    <row r="16" spans="1:31" s="46" customFormat="1" ht="25">
      <c r="A16" s="241" t="s">
        <v>1895</v>
      </c>
      <c r="B16" s="237" t="s">
        <v>1122</v>
      </c>
      <c r="C16" s="230" t="s">
        <v>1123</v>
      </c>
      <c r="D16" s="231">
        <v>1</v>
      </c>
      <c r="E16" s="214">
        <f>+'3111'!G15</f>
        <v>839056</v>
      </c>
      <c r="F16" s="83">
        <f>+'3111'!G22</f>
        <v>8280</v>
      </c>
      <c r="G16" s="83">
        <f>+'3111'!G29</f>
        <v>14881.9546099</v>
      </c>
      <c r="H16" s="83">
        <f>+'3111'!G33</f>
        <v>38566</v>
      </c>
      <c r="I16" s="83">
        <f>+'3111'!G34</f>
        <v>35447</v>
      </c>
      <c r="J16" s="221"/>
      <c r="K16" s="214"/>
      <c r="L16" s="83"/>
      <c r="M16" s="83"/>
      <c r="N16" s="83"/>
      <c r="O16" s="83"/>
      <c r="P16" s="225"/>
      <c r="Q16"/>
      <c r="R16"/>
      <c r="S16"/>
      <c r="T16"/>
      <c r="U16"/>
      <c r="V16"/>
      <c r="W16"/>
      <c r="X16"/>
      <c r="Y16"/>
      <c r="Z16"/>
      <c r="AA16"/>
      <c r="AB16"/>
      <c r="AC16"/>
      <c r="AD16"/>
      <c r="AE16"/>
    </row>
    <row r="17" spans="1:31" s="46" customFormat="1">
      <c r="A17" s="241" t="s">
        <v>1896</v>
      </c>
      <c r="B17" s="237" t="s">
        <v>1125</v>
      </c>
      <c r="C17" s="230" t="s">
        <v>188</v>
      </c>
      <c r="D17" s="231">
        <v>1</v>
      </c>
      <c r="E17" s="214">
        <f>+'3112 4112 5112'!G11</f>
        <v>65831</v>
      </c>
      <c r="F17" s="83">
        <f>+'3112 4112 5112'!G18</f>
        <v>3105</v>
      </c>
      <c r="G17" s="83">
        <f>+'3112 4112 5112'!G25</f>
        <v>17085.899191199998</v>
      </c>
      <c r="H17" s="83">
        <f>+'3112 4112 5112'!G29</f>
        <v>14462</v>
      </c>
      <c r="I17" s="83">
        <f>+'3112 4112 5112'!G30</f>
        <v>13293</v>
      </c>
      <c r="J17" s="221"/>
      <c r="K17" s="214"/>
      <c r="L17" s="83"/>
      <c r="M17" s="83"/>
      <c r="N17" s="83"/>
      <c r="O17" s="83"/>
      <c r="P17" s="225"/>
      <c r="Q17"/>
      <c r="R17"/>
      <c r="S17"/>
      <c r="T17"/>
      <c r="U17"/>
      <c r="V17"/>
      <c r="W17"/>
      <c r="X17"/>
      <c r="Y17"/>
      <c r="Z17"/>
      <c r="AA17"/>
      <c r="AB17"/>
      <c r="AC17"/>
      <c r="AD17"/>
      <c r="AE17"/>
    </row>
    <row r="18" spans="1:31" s="46" customFormat="1" ht="63" thickBot="1">
      <c r="A18" s="241" t="s">
        <v>1897</v>
      </c>
      <c r="B18" s="237" t="s">
        <v>1127</v>
      </c>
      <c r="C18" s="230" t="s">
        <v>188</v>
      </c>
      <c r="D18" s="231">
        <v>1</v>
      </c>
      <c r="E18" s="214">
        <f>+'3113 4113'!G15</f>
        <v>2933609</v>
      </c>
      <c r="F18" s="83">
        <f>+'3113 4113'!G22</f>
        <v>12420</v>
      </c>
      <c r="G18" s="83">
        <f>+'3113 4113'!G29</f>
        <v>70897.316303345011</v>
      </c>
      <c r="H18" s="83">
        <f>+'3113 4113'!G33</f>
        <v>57850</v>
      </c>
      <c r="I18" s="83">
        <f>+'3113 4113'!G34</f>
        <v>53170</v>
      </c>
      <c r="J18" s="221"/>
      <c r="K18" s="214"/>
      <c r="L18" s="83"/>
      <c r="M18" s="83"/>
      <c r="N18" s="83"/>
      <c r="O18" s="83"/>
      <c r="P18" s="225"/>
      <c r="Q18"/>
      <c r="R18"/>
      <c r="S18"/>
      <c r="T18"/>
      <c r="U18"/>
      <c r="V18"/>
      <c r="W18"/>
      <c r="X18"/>
      <c r="Y18"/>
      <c r="Z18"/>
      <c r="AA18"/>
      <c r="AB18"/>
      <c r="AC18"/>
      <c r="AD18"/>
      <c r="AE18"/>
    </row>
    <row r="19" spans="1:31" s="46" customFormat="1" ht="13.5" thickBot="1">
      <c r="A19" s="248" t="str">
        <f>+'PRES GENERAL MR(OXI)'!A14</f>
        <v>2.2</v>
      </c>
      <c r="B19" s="1646" t="str">
        <f>+'PRES GENERAL MR(OXI)'!B14</f>
        <v>Estructura de soporte y obras civiles para 16 paneles solares</v>
      </c>
      <c r="C19" s="1647"/>
      <c r="D19" s="1647"/>
      <c r="E19" s="1647"/>
      <c r="F19" s="1647"/>
      <c r="G19" s="1647"/>
      <c r="H19" s="1647"/>
      <c r="I19" s="1647"/>
      <c r="J19" s="1647"/>
      <c r="K19" s="1647"/>
      <c r="L19" s="1647"/>
      <c r="M19" s="1647"/>
      <c r="N19" s="1647"/>
      <c r="O19" s="1647"/>
      <c r="P19" s="1648"/>
      <c r="Q19"/>
      <c r="R19"/>
      <c r="S19"/>
      <c r="T19"/>
      <c r="U19"/>
      <c r="V19"/>
      <c r="W19"/>
      <c r="X19"/>
      <c r="Y19"/>
      <c r="Z19"/>
      <c r="AA19"/>
      <c r="AB19"/>
      <c r="AC19"/>
      <c r="AD19"/>
      <c r="AE19"/>
    </row>
    <row r="20" spans="1:31" s="46" customFormat="1">
      <c r="A20" s="425" t="s">
        <v>876</v>
      </c>
      <c r="B20" s="966" t="s">
        <v>1129</v>
      </c>
      <c r="C20" s="64" t="s">
        <v>1130</v>
      </c>
      <c r="D20" s="231">
        <f>13.18*8.6</f>
        <v>113.348</v>
      </c>
      <c r="E20" s="428">
        <f>+'321 421 521'!G11</f>
        <v>658</v>
      </c>
      <c r="F20" s="429">
        <f>+'321 421 521'!G18</f>
        <v>497</v>
      </c>
      <c r="G20" s="429">
        <f>+'321 421 521'!G25</f>
        <v>172</v>
      </c>
      <c r="H20" s="83">
        <f>+'321 421 521'!G29</f>
        <v>2300</v>
      </c>
      <c r="I20" s="83">
        <f>+'321 421 521'!G30</f>
        <v>2114</v>
      </c>
      <c r="J20" s="221"/>
      <c r="K20" s="428"/>
      <c r="L20" s="429"/>
      <c r="M20" s="429"/>
      <c r="N20" s="429"/>
      <c r="O20" s="429"/>
      <c r="P20" s="224"/>
      <c r="Q20"/>
      <c r="R20"/>
      <c r="S20"/>
      <c r="T20"/>
      <c r="U20"/>
      <c r="V20"/>
      <c r="W20"/>
      <c r="X20"/>
      <c r="Y20"/>
      <c r="Z20"/>
      <c r="AA20"/>
      <c r="AB20"/>
      <c r="AC20"/>
      <c r="AD20"/>
      <c r="AE20"/>
    </row>
    <row r="21" spans="1:31" s="46" customFormat="1">
      <c r="A21" s="425" t="s">
        <v>877</v>
      </c>
      <c r="B21" s="966" t="s">
        <v>1132</v>
      </c>
      <c r="C21" s="64" t="s">
        <v>1130</v>
      </c>
      <c r="D21" s="231">
        <f>13.18*8.6</f>
        <v>113.348</v>
      </c>
      <c r="E21" s="428">
        <f>+'322 422 522'!G11</f>
        <v>0</v>
      </c>
      <c r="F21" s="429">
        <f>+'322 422 522'!G18</f>
        <v>266</v>
      </c>
      <c r="G21" s="429">
        <f>+'322 422 522'!G25</f>
        <v>2515</v>
      </c>
      <c r="H21" s="83">
        <f>+'322 422 522'!G29</f>
        <v>0</v>
      </c>
      <c r="I21" s="83">
        <f>+'322 422 522'!G30</f>
        <v>613</v>
      </c>
      <c r="J21" s="221"/>
      <c r="K21" s="428"/>
      <c r="L21" s="429"/>
      <c r="M21" s="429"/>
      <c r="N21" s="429"/>
      <c r="O21" s="429"/>
      <c r="P21" s="225"/>
      <c r="Q21"/>
      <c r="R21"/>
      <c r="S21"/>
      <c r="T21"/>
      <c r="U21"/>
      <c r="V21"/>
      <c r="W21"/>
      <c r="X21"/>
      <c r="Y21"/>
      <c r="Z21"/>
      <c r="AA21"/>
      <c r="AB21"/>
      <c r="AC21"/>
      <c r="AD21"/>
      <c r="AE21"/>
    </row>
    <row r="22" spans="1:31" s="422" customFormat="1">
      <c r="A22" s="425" t="s">
        <v>1898</v>
      </c>
      <c r="B22" s="237" t="s">
        <v>1134</v>
      </c>
      <c r="C22" s="426" t="s">
        <v>1135</v>
      </c>
      <c r="D22" s="231">
        <f>+(0.85*0.6*0.6)*4+(0.5*0.3)*13.18*2+(0.5*0.3)*8.6*2+0.5*3.56*3.56</f>
        <v>14.094799999999999</v>
      </c>
      <c r="E22" s="428">
        <f>+'323 423 523'!G9</f>
        <v>0</v>
      </c>
      <c r="F22" s="429">
        <f>+'323 423 523'!G16</f>
        <v>311</v>
      </c>
      <c r="G22" s="429">
        <f>+'323 423 523'!G23</f>
        <v>0</v>
      </c>
      <c r="H22" s="83">
        <v>0</v>
      </c>
      <c r="I22" s="83">
        <f>+'323 423 523'!G27</f>
        <v>53170</v>
      </c>
      <c r="J22" s="221"/>
      <c r="K22" s="428"/>
      <c r="L22" s="429"/>
      <c r="M22" s="429"/>
      <c r="N22" s="429"/>
      <c r="O22" s="429"/>
      <c r="P22" s="225"/>
      <c r="Q22" s="421"/>
      <c r="R22" s="421"/>
      <c r="S22" s="421"/>
      <c r="T22" s="421"/>
      <c r="U22" s="421"/>
      <c r="V22" s="421"/>
      <c r="W22" s="421"/>
      <c r="X22" s="421"/>
      <c r="Y22" s="421"/>
      <c r="Z22" s="421"/>
      <c r="AA22" s="421"/>
      <c r="AB22" s="421"/>
      <c r="AC22" s="421"/>
      <c r="AD22" s="421"/>
      <c r="AE22" s="421"/>
    </row>
    <row r="23" spans="1:31" s="422" customFormat="1">
      <c r="A23" s="425" t="s">
        <v>1899</v>
      </c>
      <c r="B23" s="237" t="s">
        <v>1137</v>
      </c>
      <c r="C23" s="426" t="s">
        <v>1135</v>
      </c>
      <c r="D23" s="704">
        <f>0.25*3.56*3.56+(0.25/2)*0.5*4</f>
        <v>3.4184000000000001</v>
      </c>
      <c r="E23" s="428">
        <f>+'324 424 524'!G10</f>
        <v>83045</v>
      </c>
      <c r="F23" s="429">
        <f>+'324 424 524'!G17</f>
        <v>12900</v>
      </c>
      <c r="G23" s="429">
        <f>+'324 424 524'!G24</f>
        <v>96504.629629629635</v>
      </c>
      <c r="H23" s="83"/>
      <c r="I23" s="83">
        <f>+'324 424 524'!G28</f>
        <v>26585</v>
      </c>
      <c r="J23" s="221"/>
      <c r="K23" s="428"/>
      <c r="L23" s="429"/>
      <c r="M23" s="429"/>
      <c r="N23" s="429"/>
      <c r="O23" s="429"/>
      <c r="P23" s="225"/>
      <c r="Q23" s="421"/>
      <c r="R23" s="421"/>
      <c r="S23" s="421"/>
      <c r="T23" s="421"/>
      <c r="U23" s="421"/>
      <c r="V23" s="421"/>
      <c r="W23" s="421"/>
      <c r="X23" s="421"/>
      <c r="Y23" s="421"/>
      <c r="Z23" s="421"/>
      <c r="AA23" s="421"/>
      <c r="AB23" s="421"/>
      <c r="AC23" s="421"/>
      <c r="AD23" s="421"/>
      <c r="AE23" s="421"/>
    </row>
    <row r="24" spans="1:31" s="422" customFormat="1" ht="50">
      <c r="A24" s="425" t="s">
        <v>1900</v>
      </c>
      <c r="B24" s="237" t="s">
        <v>1139</v>
      </c>
      <c r="C24" s="426" t="s">
        <v>1140</v>
      </c>
      <c r="D24" s="231">
        <f>13.18*2+8.6*2-3.4</f>
        <v>40.160000000000004</v>
      </c>
      <c r="E24" s="428">
        <f>+'325 425 525'!G23</f>
        <v>303053</v>
      </c>
      <c r="F24" s="429">
        <f>+'325 425 525'!G30</f>
        <v>2070</v>
      </c>
      <c r="G24" s="429">
        <f>+'325 425 525'!G36</f>
        <v>108078.7592</v>
      </c>
      <c r="H24" s="83">
        <v>0</v>
      </c>
      <c r="I24" s="83">
        <f>+'325 425 525'!G40+'325 425 525'!G41</f>
        <v>21609</v>
      </c>
      <c r="J24" s="221"/>
      <c r="K24" s="428"/>
      <c r="L24" s="429"/>
      <c r="M24" s="429"/>
      <c r="N24" s="429"/>
      <c r="O24" s="429"/>
      <c r="P24" s="225"/>
      <c r="Q24" s="421"/>
      <c r="R24" s="421"/>
      <c r="S24" s="421"/>
      <c r="T24" s="421"/>
      <c r="U24" s="421"/>
      <c r="V24" s="421"/>
      <c r="W24" s="421"/>
      <c r="X24" s="421"/>
      <c r="Y24" s="421"/>
      <c r="Z24" s="421"/>
      <c r="AA24" s="421"/>
      <c r="AB24" s="421"/>
      <c r="AC24" s="421"/>
      <c r="AD24" s="421"/>
      <c r="AE24" s="421"/>
    </row>
    <row r="25" spans="1:31" s="422" customFormat="1" ht="25">
      <c r="A25" s="425" t="s">
        <v>1901</v>
      </c>
      <c r="B25" s="237" t="s">
        <v>1142</v>
      </c>
      <c r="C25" s="426" t="s">
        <v>1135</v>
      </c>
      <c r="D25" s="704">
        <f>0.6*0.6*0.05*4</f>
        <v>7.1999999999999995E-2</v>
      </c>
      <c r="E25" s="428">
        <f>+'326 426 526'!G12</f>
        <v>367242</v>
      </c>
      <c r="F25" s="429">
        <f>+'326 426 526'!G19</f>
        <v>26563</v>
      </c>
      <c r="G25" s="429">
        <f>+'326 426 526'!G25</f>
        <v>705490</v>
      </c>
      <c r="H25" s="83">
        <f>+'326 426 526'!G29</f>
        <v>19120</v>
      </c>
      <c r="I25" s="83">
        <f>+'326 426 526'!G30</f>
        <v>13293</v>
      </c>
      <c r="J25" s="221"/>
      <c r="K25" s="428"/>
      <c r="L25" s="429"/>
      <c r="M25" s="429"/>
      <c r="N25" s="429"/>
      <c r="O25" s="429"/>
      <c r="P25" s="225"/>
      <c r="Q25" s="421"/>
      <c r="R25" s="421"/>
      <c r="S25" s="421"/>
      <c r="T25" s="421"/>
      <c r="U25" s="421"/>
      <c r="V25" s="421"/>
      <c r="W25" s="421"/>
      <c r="X25" s="421"/>
      <c r="Y25" s="421"/>
      <c r="Z25" s="421"/>
      <c r="AA25" s="421"/>
      <c r="AB25" s="421"/>
      <c r="AC25" s="421"/>
      <c r="AD25" s="421"/>
      <c r="AE25" s="421"/>
    </row>
    <row r="26" spans="1:31" s="422" customFormat="1" ht="25">
      <c r="A26" s="425" t="s">
        <v>1902</v>
      </c>
      <c r="B26" s="237" t="s">
        <v>1144</v>
      </c>
      <c r="C26" s="426" t="s">
        <v>1135</v>
      </c>
      <c r="D26" s="704">
        <f>3.56*3.56*0.12+(0.6*0.6*0.25+0.6*0.35*0.35)*4</f>
        <v>2.1748319999999999</v>
      </c>
      <c r="E26" s="428">
        <f>+'327 427 527'!G13</f>
        <v>501327</v>
      </c>
      <c r="F26" s="429">
        <f>+'327 427 527'!G20</f>
        <v>28599</v>
      </c>
      <c r="G26" s="429">
        <f>+'327 427 527'!G26</f>
        <v>865500</v>
      </c>
      <c r="H26" s="83">
        <f>+'327 427 527'!G30</f>
        <v>15296</v>
      </c>
      <c r="I26" s="83">
        <f>+'327 427 527'!G31</f>
        <v>10634</v>
      </c>
      <c r="J26" s="221"/>
      <c r="K26" s="428"/>
      <c r="L26" s="429"/>
      <c r="M26" s="429"/>
      <c r="N26" s="429"/>
      <c r="O26" s="429"/>
      <c r="P26" s="225"/>
      <c r="Q26" s="421"/>
      <c r="R26" s="421"/>
      <c r="S26" s="421"/>
      <c r="T26" s="421"/>
      <c r="U26" s="421"/>
      <c r="V26" s="421"/>
      <c r="W26" s="421"/>
      <c r="X26" s="421"/>
      <c r="Y26" s="421"/>
      <c r="Z26" s="421"/>
      <c r="AA26" s="421"/>
      <c r="AB26" s="421"/>
      <c r="AC26" s="421"/>
      <c r="AD26" s="421"/>
      <c r="AE26" s="421"/>
    </row>
    <row r="27" spans="1:31" s="422" customFormat="1">
      <c r="A27" s="425" t="s">
        <v>1903</v>
      </c>
      <c r="B27" s="237" t="s">
        <v>1146</v>
      </c>
      <c r="C27" s="426" t="s">
        <v>1147</v>
      </c>
      <c r="D27" s="231">
        <f>(8*0.85*0.996+6*0.7*0.996+7*1.17*0.557)*1.05*4+(3.26*3.26)*4.8+(3.26*3.26)*2.06</f>
        <v>138.08022199999999</v>
      </c>
      <c r="E27" s="428">
        <f>+'328 428 528'!G10</f>
        <v>6755</v>
      </c>
      <c r="F27" s="429">
        <f>+'328 428 528'!G15</f>
        <v>99</v>
      </c>
      <c r="G27" s="429">
        <f>+'328 428 528'!G21</f>
        <v>1926.8529028000003</v>
      </c>
      <c r="H27" s="83">
        <f>+'328 428 528'!G25</f>
        <v>612</v>
      </c>
      <c r="I27" s="83">
        <f>+'328 428 528'!G26</f>
        <v>425</v>
      </c>
      <c r="J27" s="221"/>
      <c r="K27" s="428"/>
      <c r="L27" s="429"/>
      <c r="M27" s="429"/>
      <c r="N27" s="429"/>
      <c r="O27" s="429"/>
      <c r="P27" s="225"/>
      <c r="Q27" s="421"/>
      <c r="R27" s="421"/>
      <c r="S27" s="421"/>
      <c r="T27" s="421"/>
      <c r="U27" s="421"/>
      <c r="V27" s="421"/>
      <c r="W27" s="421"/>
      <c r="X27" s="421"/>
      <c r="Y27" s="421"/>
      <c r="Z27" s="421"/>
      <c r="AA27" s="421"/>
      <c r="AB27" s="421"/>
      <c r="AC27" s="421"/>
      <c r="AD27" s="421"/>
      <c r="AE27" s="421"/>
    </row>
    <row r="28" spans="1:31" s="422" customFormat="1" ht="67.400000000000006" customHeight="1">
      <c r="A28" s="425" t="s">
        <v>1904</v>
      </c>
      <c r="B28" s="237" t="s">
        <v>1149</v>
      </c>
      <c r="C28" s="426" t="s">
        <v>1130</v>
      </c>
      <c r="D28" s="231">
        <v>9</v>
      </c>
      <c r="E28" s="428">
        <f>+'329 429 529'!G9</f>
        <v>1188333</v>
      </c>
      <c r="F28" s="429">
        <f>+'329 429 529'!G15</f>
        <v>24840</v>
      </c>
      <c r="G28" s="429">
        <f>+'329 429 529'!G21</f>
        <v>161992.0582</v>
      </c>
      <c r="H28" s="83">
        <f>+'329 429 529'!G25</f>
        <v>33991</v>
      </c>
      <c r="I28" s="83">
        <f>+'329 429 529'!G26+'329 429 529'!G27</f>
        <v>47262</v>
      </c>
      <c r="J28" s="221"/>
      <c r="K28" s="428"/>
      <c r="L28" s="429"/>
      <c r="M28" s="429"/>
      <c r="N28" s="429"/>
      <c r="O28" s="429"/>
      <c r="P28" s="225"/>
      <c r="Q28" s="421"/>
      <c r="R28" s="421"/>
      <c r="S28" s="421"/>
      <c r="T28" s="421"/>
      <c r="U28" s="421"/>
      <c r="V28" s="421"/>
      <c r="W28" s="421"/>
      <c r="X28" s="421"/>
      <c r="Y28" s="421"/>
      <c r="Z28" s="421"/>
      <c r="AA28" s="421"/>
      <c r="AB28" s="421"/>
      <c r="AC28" s="421"/>
      <c r="AD28" s="421"/>
      <c r="AE28" s="421"/>
    </row>
    <row r="29" spans="1:31" s="422" customFormat="1" ht="50.5" thickBot="1">
      <c r="A29" s="425" t="s">
        <v>1905</v>
      </c>
      <c r="B29" s="237" t="s">
        <v>1151</v>
      </c>
      <c r="C29" s="426" t="s">
        <v>1147</v>
      </c>
      <c r="D29" s="231">
        <f>+(3.52+2.7)*13.67*2+4*11.56*3+9.18*6.74*5+0.3*0.3*0.009*7800*4+5.2*0.341*8</f>
        <v>657.59840000000008</v>
      </c>
      <c r="E29" s="428">
        <f>+'3210 4210 5210'!G11</f>
        <v>13027</v>
      </c>
      <c r="F29" s="429">
        <f>+'3210 4210 5210'!G18</f>
        <v>1962</v>
      </c>
      <c r="G29" s="429">
        <f>+'3210 4210 5210'!G24</f>
        <v>1841.5939248000002</v>
      </c>
      <c r="H29" s="83">
        <f>+'3210 4210 5210'!G28+'3210 4210 5210'!G29</f>
        <v>2907</v>
      </c>
      <c r="I29" s="83">
        <f>+'3210 4210 5210'!G30</f>
        <v>1063</v>
      </c>
      <c r="J29" s="221"/>
      <c r="K29" s="428"/>
      <c r="L29" s="429"/>
      <c r="M29" s="429"/>
      <c r="N29" s="429"/>
      <c r="O29" s="429"/>
      <c r="P29" s="225"/>
      <c r="Q29" s="421"/>
      <c r="R29" s="421"/>
      <c r="S29" s="421"/>
      <c r="T29" s="421"/>
      <c r="U29" s="421"/>
      <c r="V29" s="421"/>
      <c r="W29" s="421"/>
      <c r="X29" s="421"/>
      <c r="Y29" s="421"/>
      <c r="Z29" s="421"/>
      <c r="AA29" s="421"/>
      <c r="AB29" s="421"/>
      <c r="AC29" s="421"/>
      <c r="AD29" s="421"/>
      <c r="AE29" s="421"/>
    </row>
    <row r="30" spans="1:31" s="424" customFormat="1" ht="13.5" thickBot="1">
      <c r="A30" s="248" t="str">
        <f>+'PRES GENERAL MR(OXI)'!A15</f>
        <v>2.3</v>
      </c>
      <c r="B30" s="1646" t="str">
        <f>+'PRES GENERAL MR(OXI)'!B15</f>
        <v>Sistema de control, medición y monitoreo</v>
      </c>
      <c r="C30" s="1647"/>
      <c r="D30" s="1647"/>
      <c r="E30" s="1647"/>
      <c r="F30" s="1647"/>
      <c r="G30" s="1647"/>
      <c r="H30" s="1647"/>
      <c r="I30" s="1647"/>
      <c r="J30" s="1647"/>
      <c r="K30" s="1647"/>
      <c r="L30" s="1647"/>
      <c r="M30" s="1647"/>
      <c r="N30" s="1647"/>
      <c r="O30" s="1647"/>
      <c r="P30" s="1648"/>
      <c r="Q30" s="423"/>
      <c r="R30" s="423"/>
      <c r="S30" s="423"/>
      <c r="T30" s="423"/>
      <c r="U30" s="423"/>
      <c r="V30" s="423"/>
      <c r="W30" s="423"/>
      <c r="X30" s="423"/>
      <c r="Y30" s="423"/>
      <c r="Z30" s="423"/>
      <c r="AA30" s="423"/>
      <c r="AB30" s="423"/>
      <c r="AC30" s="423"/>
      <c r="AD30" s="423"/>
      <c r="AE30" s="423"/>
    </row>
    <row r="31" spans="1:31" s="46" customFormat="1" ht="25.5" thickBot="1">
      <c r="A31" s="242" t="s">
        <v>880</v>
      </c>
      <c r="B31" s="992" t="s">
        <v>1153</v>
      </c>
      <c r="C31" s="232" t="s">
        <v>188</v>
      </c>
      <c r="D31" s="233">
        <v>1</v>
      </c>
      <c r="E31" s="215">
        <f>+'331 431 531'!G25</f>
        <v>4811964</v>
      </c>
      <c r="F31" s="216">
        <f>+'331 431 531'!G32</f>
        <v>3105</v>
      </c>
      <c r="G31" s="216">
        <f>+'331 431 531'!G39</f>
        <v>21144.226544000001</v>
      </c>
      <c r="H31" s="216">
        <f>+'331 431 531'!G43</f>
        <v>28925</v>
      </c>
      <c r="I31" s="216">
        <f>+'331 431 531'!G44</f>
        <v>26585</v>
      </c>
      <c r="J31" s="221"/>
      <c r="K31" s="215"/>
      <c r="L31" s="216"/>
      <c r="M31" s="216"/>
      <c r="N31" s="216"/>
      <c r="O31" s="216"/>
      <c r="P31" s="226"/>
      <c r="Q31"/>
      <c r="R31"/>
      <c r="S31"/>
      <c r="T31"/>
      <c r="U31"/>
      <c r="V31"/>
      <c r="W31"/>
      <c r="X31"/>
      <c r="Y31"/>
      <c r="Z31"/>
      <c r="AA31"/>
      <c r="AB31"/>
      <c r="AC31"/>
      <c r="AD31"/>
      <c r="AE31"/>
    </row>
    <row r="32" spans="1:31" s="46" customFormat="1" ht="13.5" thickBot="1">
      <c r="A32" s="248" t="str">
        <f>+'PRES GENERAL MR(OXI)'!A16</f>
        <v>2.4</v>
      </c>
      <c r="B32" s="1646" t="str">
        <f>+'PRES GENERAL MR(OXI)'!B16</f>
        <v>Acometida, SPT y monitoreo domiciliario</v>
      </c>
      <c r="C32" s="1647"/>
      <c r="D32" s="1647"/>
      <c r="E32" s="1647"/>
      <c r="F32" s="1647"/>
      <c r="G32" s="1647"/>
      <c r="H32" s="1647"/>
      <c r="I32" s="1647"/>
      <c r="J32" s="1647"/>
      <c r="K32" s="1647"/>
      <c r="L32" s="1647"/>
      <c r="M32" s="1647"/>
      <c r="N32" s="1647"/>
      <c r="O32" s="1647"/>
      <c r="P32" s="1648"/>
      <c r="Q32"/>
      <c r="R32"/>
      <c r="S32"/>
      <c r="T32"/>
      <c r="U32"/>
      <c r="V32"/>
      <c r="W32"/>
      <c r="X32"/>
      <c r="Y32"/>
      <c r="Z32"/>
      <c r="AA32"/>
      <c r="AB32"/>
      <c r="AC32"/>
      <c r="AD32"/>
      <c r="AE32"/>
    </row>
    <row r="33" spans="1:31" s="46" customFormat="1" ht="37.5">
      <c r="A33" s="240" t="s">
        <v>889</v>
      </c>
      <c r="B33" s="236" t="s">
        <v>1155</v>
      </c>
      <c r="C33" s="228" t="s">
        <v>188</v>
      </c>
      <c r="D33" s="229">
        <v>1</v>
      </c>
      <c r="E33" s="212">
        <f>+'341 441 541'!G18</f>
        <v>305625</v>
      </c>
      <c r="F33" s="213">
        <f>+'341 441 541'!G25</f>
        <v>6210</v>
      </c>
      <c r="G33" s="213">
        <f>+'341 441 541'!G32</f>
        <v>24963.828758400003</v>
      </c>
      <c r="H33" s="213">
        <f>+'341 441 541'!G36</f>
        <v>28925</v>
      </c>
      <c r="I33" s="213">
        <f>+'341 441 541'!G37</f>
        <v>26585</v>
      </c>
      <c r="J33" s="221"/>
      <c r="K33" s="212"/>
      <c r="L33" s="213"/>
      <c r="M33" s="213"/>
      <c r="N33" s="213"/>
      <c r="O33" s="213"/>
      <c r="P33" s="224"/>
      <c r="Q33"/>
      <c r="R33"/>
      <c r="S33"/>
      <c r="T33"/>
      <c r="U33"/>
      <c r="V33"/>
      <c r="W33"/>
      <c r="X33"/>
      <c r="Y33"/>
      <c r="Z33"/>
      <c r="AA33"/>
      <c r="AB33"/>
      <c r="AC33"/>
      <c r="AD33"/>
      <c r="AE33"/>
    </row>
    <row r="34" spans="1:31" s="46" customFormat="1" ht="45.65" customHeight="1" thickBot="1">
      <c r="A34" s="241" t="s">
        <v>891</v>
      </c>
      <c r="B34" s="237" t="s">
        <v>1157</v>
      </c>
      <c r="C34" s="230" t="s">
        <v>188</v>
      </c>
      <c r="D34" s="231">
        <v>1</v>
      </c>
      <c r="E34" s="214">
        <f>+'217'!G14</f>
        <v>529269</v>
      </c>
      <c r="F34" s="83">
        <f>+'217'!G21</f>
        <v>12420</v>
      </c>
      <c r="G34" s="83">
        <f>+'217'!G28</f>
        <v>66325.516755540011</v>
      </c>
      <c r="H34" s="83">
        <f>+'217'!G32</f>
        <v>57850</v>
      </c>
      <c r="I34" s="83">
        <f>+'217'!G33</f>
        <v>53170</v>
      </c>
      <c r="J34" s="221"/>
      <c r="K34" s="214"/>
      <c r="L34" s="83"/>
      <c r="M34" s="83"/>
      <c r="N34" s="83"/>
      <c r="O34" s="83"/>
      <c r="P34" s="225"/>
      <c r="Q34"/>
      <c r="R34"/>
      <c r="S34"/>
      <c r="T34"/>
      <c r="U34"/>
      <c r="V34"/>
      <c r="W34"/>
      <c r="X34"/>
      <c r="Y34"/>
      <c r="Z34"/>
      <c r="AA34"/>
      <c r="AB34"/>
      <c r="AC34"/>
      <c r="AD34"/>
      <c r="AE34"/>
    </row>
    <row r="35" spans="1:31" s="46" customFormat="1" ht="30" customHeight="1" thickBot="1">
      <c r="A35" s="248" t="str">
        <f>+'PRES GENERAL MR(OXI)'!A17</f>
        <v>2.5</v>
      </c>
      <c r="B35" s="1646" t="str">
        <f>+'PRES GENERAL MR(OXI)'!B17</f>
        <v>Red de distribución</v>
      </c>
      <c r="C35" s="1647"/>
      <c r="D35" s="1647"/>
      <c r="E35" s="1647"/>
      <c r="F35" s="1647"/>
      <c r="G35" s="1647"/>
      <c r="H35" s="1647"/>
      <c r="I35" s="1647"/>
      <c r="J35" s="1647"/>
      <c r="K35" s="1647"/>
      <c r="L35" s="1647"/>
      <c r="M35" s="1647"/>
      <c r="N35" s="1647"/>
      <c r="O35" s="1647"/>
      <c r="P35" s="1648"/>
      <c r="Q35"/>
      <c r="R35"/>
      <c r="S35"/>
      <c r="T35"/>
      <c r="U35"/>
      <c r="V35"/>
      <c r="W35"/>
      <c r="X35"/>
      <c r="Y35"/>
      <c r="Z35"/>
      <c r="AA35"/>
      <c r="AB35"/>
      <c r="AC35"/>
      <c r="AD35"/>
      <c r="AE35"/>
    </row>
    <row r="36" spans="1:31" s="46" customFormat="1" ht="13">
      <c r="A36" s="240" t="s">
        <v>1906</v>
      </c>
      <c r="B36" s="236" t="s">
        <v>586</v>
      </c>
      <c r="C36" s="337" t="s">
        <v>1159</v>
      </c>
      <c r="D36" s="782">
        <f>+'INT. REDES'!C48</f>
        <v>32.64</v>
      </c>
      <c r="E36" s="212">
        <f>+'323 423 523'!G9</f>
        <v>0</v>
      </c>
      <c r="F36" s="213">
        <f>+'323 423 523'!G16</f>
        <v>311</v>
      </c>
      <c r="G36" s="213">
        <f>+'323 423 523'!G23</f>
        <v>0</v>
      </c>
      <c r="H36" s="213">
        <v>0</v>
      </c>
      <c r="I36" s="213">
        <f>+'323 423 523'!G27</f>
        <v>53170</v>
      </c>
      <c r="J36" s="221"/>
      <c r="K36" s="212"/>
      <c r="L36" s="213"/>
      <c r="M36" s="213"/>
      <c r="N36" s="213"/>
      <c r="O36" s="213"/>
      <c r="P36" s="224"/>
      <c r="Q36" s="47"/>
      <c r="R36" s="47"/>
      <c r="S36" s="47"/>
      <c r="T36" s="47"/>
      <c r="U36" s="47"/>
      <c r="V36" s="47"/>
      <c r="W36" s="47"/>
      <c r="X36" s="47"/>
      <c r="Y36" s="47"/>
      <c r="Z36" s="47"/>
      <c r="AA36" s="47"/>
      <c r="AB36" s="47"/>
      <c r="AC36" s="47"/>
      <c r="AD36" s="47"/>
      <c r="AE36" s="47"/>
    </row>
    <row r="37" spans="1:31" s="46" customFormat="1" ht="32.15" customHeight="1" thickBot="1">
      <c r="A37" s="241" t="s">
        <v>1907</v>
      </c>
      <c r="B37" s="237" t="s">
        <v>587</v>
      </c>
      <c r="C37" s="338" t="s">
        <v>1130</v>
      </c>
      <c r="D37" s="722">
        <f>+'INT. REDES'!C49</f>
        <v>217.60000000000002</v>
      </c>
      <c r="E37" s="443">
        <f>+'352 452 552'!G10</f>
        <v>8214</v>
      </c>
      <c r="F37" s="83">
        <f>+'352 452 552'!G17</f>
        <v>166</v>
      </c>
      <c r="G37" s="83">
        <f>+'352 452 552'!G24</f>
        <v>750.27900640000007</v>
      </c>
      <c r="H37" s="83">
        <f>+'352 452 552'!G28</f>
        <v>1020</v>
      </c>
      <c r="I37" s="83">
        <f>+'352 452 552'!G29</f>
        <v>709</v>
      </c>
      <c r="J37" s="221"/>
      <c r="K37" s="214"/>
      <c r="L37" s="83"/>
      <c r="M37" s="83"/>
      <c r="N37" s="83"/>
      <c r="O37" s="83"/>
      <c r="P37" s="225"/>
      <c r="Q37" s="47"/>
      <c r="R37" s="47"/>
      <c r="S37" s="47"/>
      <c r="T37" s="47"/>
      <c r="U37" s="47"/>
      <c r="V37" s="47"/>
      <c r="W37" s="47"/>
      <c r="X37" s="47"/>
      <c r="Y37" s="47"/>
      <c r="Z37" s="47"/>
      <c r="AA37" s="47"/>
      <c r="AB37" s="47"/>
      <c r="AC37" s="47"/>
      <c r="AD37" s="47"/>
      <c r="AE37" s="47"/>
    </row>
    <row r="38" spans="1:31" s="46" customFormat="1" ht="28.5" customHeight="1">
      <c r="A38" s="240" t="s">
        <v>1908</v>
      </c>
      <c r="B38" s="237" t="s">
        <v>588</v>
      </c>
      <c r="C38" s="338" t="s">
        <v>1159</v>
      </c>
      <c r="D38" s="722">
        <f>+'INT. REDES'!C50</f>
        <v>10.880000000000003</v>
      </c>
      <c r="E38" s="443">
        <f>+'353 453 553'!G10</f>
        <v>97726</v>
      </c>
      <c r="F38" s="83">
        <f>+'353 453 553'!G17</f>
        <v>6690</v>
      </c>
      <c r="G38" s="83">
        <f>+'353 453 553'!G23</f>
        <v>80000</v>
      </c>
      <c r="H38" s="83">
        <f>+'353 453 553'!G27</f>
        <v>10197</v>
      </c>
      <c r="I38" s="83">
        <f>+'353 453 553'!G28</f>
        <v>7089</v>
      </c>
      <c r="J38" s="221"/>
      <c r="K38" s="214"/>
      <c r="L38" s="83"/>
      <c r="M38" s="83"/>
      <c r="N38" s="83"/>
      <c r="O38" s="83"/>
      <c r="P38" s="225"/>
      <c r="Q38" s="47"/>
      <c r="R38" s="47"/>
      <c r="S38" s="47"/>
      <c r="T38" s="47"/>
      <c r="U38" s="47"/>
      <c r="V38" s="47"/>
      <c r="W38" s="47"/>
      <c r="X38" s="47"/>
      <c r="Y38" s="47"/>
      <c r="Z38" s="47"/>
      <c r="AA38" s="47"/>
      <c r="AB38" s="47"/>
      <c r="AC38" s="47"/>
      <c r="AD38" s="47"/>
      <c r="AE38" s="47"/>
    </row>
    <row r="39" spans="1:31" s="46" customFormat="1" ht="50.5" thickBot="1">
      <c r="A39" s="241" t="s">
        <v>1909</v>
      </c>
      <c r="B39" s="237" t="s">
        <v>1163</v>
      </c>
      <c r="C39" s="230" t="s">
        <v>1164</v>
      </c>
      <c r="D39" s="722">
        <f>+'INT. REDES'!C51</f>
        <v>136</v>
      </c>
      <c r="E39" s="443">
        <f>+'354 454 554'!G16</f>
        <v>66206</v>
      </c>
      <c r="F39" s="83">
        <f>+'354 454 554'!G23</f>
        <v>2070</v>
      </c>
      <c r="G39" s="83">
        <f>+'354 454 554'!G29</f>
        <v>3255.1512000000002</v>
      </c>
      <c r="H39" s="83">
        <f>+'354 454 554'!G33</f>
        <v>9642</v>
      </c>
      <c r="I39" s="83">
        <f>+'354 454 554'!G34</f>
        <v>8862</v>
      </c>
      <c r="J39" s="221"/>
      <c r="K39" s="214"/>
      <c r="L39" s="83"/>
      <c r="M39" s="83"/>
      <c r="N39" s="83"/>
      <c r="O39" s="83"/>
      <c r="P39" s="225"/>
      <c r="Q39" s="47"/>
      <c r="R39" s="47"/>
      <c r="S39" s="47"/>
      <c r="T39" s="47"/>
      <c r="U39" s="47"/>
      <c r="V39" s="47"/>
      <c r="W39" s="47"/>
      <c r="X39" s="47"/>
      <c r="Y39" s="47"/>
      <c r="Z39" s="47"/>
      <c r="AA39" s="47"/>
      <c r="AB39" s="47"/>
      <c r="AC39" s="47"/>
      <c r="AD39" s="47"/>
      <c r="AE39" s="47"/>
    </row>
    <row r="40" spans="1:31" s="46" customFormat="1" ht="19.399999999999999" customHeight="1">
      <c r="A40" s="240" t="s">
        <v>1910</v>
      </c>
      <c r="B40" s="237" t="s">
        <v>361</v>
      </c>
      <c r="C40" s="230" t="s">
        <v>1135</v>
      </c>
      <c r="D40" s="722">
        <f>+'INT. REDES'!C52</f>
        <v>21.760000000000005</v>
      </c>
      <c r="E40" s="443">
        <f>+'324 424 524'!G10</f>
        <v>83045</v>
      </c>
      <c r="F40" s="83">
        <f>+'324 424 524'!G17</f>
        <v>12900</v>
      </c>
      <c r="G40" s="83">
        <f>+'324 424 524'!G24</f>
        <v>96504.629629629635</v>
      </c>
      <c r="H40" s="83">
        <v>0</v>
      </c>
      <c r="I40" s="83">
        <f>+'324 424 524'!G28</f>
        <v>26585</v>
      </c>
      <c r="J40" s="221"/>
      <c r="K40" s="214"/>
      <c r="L40" s="83"/>
      <c r="M40" s="83"/>
      <c r="N40" s="83"/>
      <c r="O40" s="83"/>
      <c r="P40" s="225"/>
      <c r="Q40" s="47"/>
      <c r="R40" s="47"/>
      <c r="S40" s="47"/>
      <c r="T40" s="47"/>
      <c r="U40" s="47"/>
      <c r="V40" s="47"/>
      <c r="W40" s="47"/>
      <c r="X40" s="47"/>
      <c r="Y40" s="47"/>
      <c r="Z40" s="47"/>
      <c r="AA40" s="47"/>
      <c r="AB40" s="47"/>
      <c r="AC40" s="47"/>
      <c r="AD40" s="47"/>
      <c r="AE40" s="47"/>
    </row>
    <row r="41" spans="1:31" s="46" customFormat="1" ht="26.5" customHeight="1" thickBot="1">
      <c r="A41" s="241" t="s">
        <v>1911</v>
      </c>
      <c r="B41" s="237" t="s">
        <v>1167</v>
      </c>
      <c r="C41" s="232" t="s">
        <v>188</v>
      </c>
      <c r="D41" s="991">
        <f>+'INT. REDES'!C53</f>
        <v>4</v>
      </c>
      <c r="E41" s="443">
        <f>+'356 456 556'!G12</f>
        <v>2071245</v>
      </c>
      <c r="F41" s="83">
        <f>+'356 456 556'!G19</f>
        <v>8346</v>
      </c>
      <c r="G41" s="83">
        <f>+'356 456 556'!G25</f>
        <v>228898.32</v>
      </c>
      <c r="H41" s="83">
        <f>+'356 456 556'!G29</f>
        <v>7713</v>
      </c>
      <c r="I41" s="83">
        <f>+'356 456 556'!G30</f>
        <v>7089</v>
      </c>
      <c r="J41" s="221"/>
      <c r="K41" s="214"/>
      <c r="L41" s="83"/>
      <c r="M41" s="83"/>
      <c r="N41" s="83"/>
      <c r="O41" s="83"/>
      <c r="P41" s="225"/>
      <c r="Q41" s="47"/>
      <c r="R41" s="47"/>
      <c r="S41" s="47"/>
      <c r="T41" s="47"/>
      <c r="U41" s="47"/>
      <c r="V41" s="47"/>
      <c r="W41" s="47"/>
      <c r="X41" s="47"/>
      <c r="Y41" s="47"/>
      <c r="Z41" s="47"/>
      <c r="AA41" s="47"/>
      <c r="AB41" s="47"/>
      <c r="AC41" s="47"/>
      <c r="AD41" s="47"/>
      <c r="AE41" s="47"/>
    </row>
    <row r="42" spans="1:31" s="46" customFormat="1" ht="18" customHeight="1">
      <c r="A42" s="1649" t="s">
        <v>1048</v>
      </c>
      <c r="B42" s="1641"/>
      <c r="C42" s="1641"/>
      <c r="D42" s="1641"/>
      <c r="E42" s="1641"/>
      <c r="F42" s="1641"/>
      <c r="G42" s="1641"/>
      <c r="H42" s="1641"/>
      <c r="I42" s="1641"/>
      <c r="J42" s="1642"/>
      <c r="K42" s="219">
        <f t="shared" ref="K42:O42" si="0">ROUND(SUM(K6:K41),0)</f>
        <v>0</v>
      </c>
      <c r="L42" s="219">
        <f t="shared" si="0"/>
        <v>0</v>
      </c>
      <c r="M42" s="219">
        <f t="shared" si="0"/>
        <v>0</v>
      </c>
      <c r="N42" s="219">
        <f t="shared" si="0"/>
        <v>0</v>
      </c>
      <c r="O42" s="219">
        <f t="shared" si="0"/>
        <v>0</v>
      </c>
      <c r="P42" s="219"/>
      <c r="Q42" s="47"/>
      <c r="R42" s="47"/>
      <c r="S42" s="47"/>
      <c r="T42" s="47"/>
      <c r="U42" s="47"/>
      <c r="V42" s="47"/>
      <c r="W42" s="47"/>
      <c r="X42" s="47"/>
      <c r="Y42" s="47"/>
      <c r="Z42" s="47"/>
      <c r="AA42" s="47"/>
      <c r="AB42" s="47"/>
      <c r="AC42" s="47"/>
      <c r="AD42" s="47"/>
      <c r="AE42" s="47"/>
    </row>
    <row r="43" spans="1:31">
      <c r="P43" s="3"/>
    </row>
    <row r="44" spans="1:31">
      <c r="B44" s="441"/>
      <c r="L44" s="60"/>
    </row>
    <row r="45" spans="1:31">
      <c r="A45" s="441"/>
      <c r="B45" s="441"/>
      <c r="L45" s="34"/>
      <c r="P45" s="334"/>
    </row>
    <row r="46" spans="1:31" ht="14">
      <c r="A46" s="442"/>
      <c r="B46" s="840"/>
      <c r="I46" s="34"/>
      <c r="L46" s="55"/>
    </row>
    <row r="47" spans="1:31" ht="15.5">
      <c r="B47" s="1027"/>
      <c r="I47" s="34"/>
      <c r="K47" s="56"/>
      <c r="L47" s="55"/>
    </row>
    <row r="48" spans="1:31">
      <c r="I48" s="34"/>
      <c r="K48" s="56"/>
      <c r="L48" s="55"/>
      <c r="P48" s="3"/>
    </row>
    <row r="49" spans="2:16">
      <c r="K49" s="56"/>
      <c r="P49" s="55"/>
    </row>
    <row r="50" spans="2:16">
      <c r="B50" s="60"/>
      <c r="K50" s="56"/>
    </row>
    <row r="52" spans="2:16">
      <c r="K52" s="56"/>
    </row>
    <row r="53" spans="2:16">
      <c r="B53" s="60"/>
      <c r="K53" s="56"/>
    </row>
    <row r="54" spans="2:16">
      <c r="K54" s="56"/>
    </row>
    <row r="56" spans="2:16">
      <c r="B56" s="60"/>
    </row>
    <row r="57" spans="2:16">
      <c r="J57" s="56"/>
    </row>
    <row r="59" spans="2:16">
      <c r="J59" s="56"/>
    </row>
  </sheetData>
  <mergeCells count="13">
    <mergeCell ref="A42:J42"/>
    <mergeCell ref="B35:P35"/>
    <mergeCell ref="B32:P32"/>
    <mergeCell ref="B30:P30"/>
    <mergeCell ref="B19:P19"/>
    <mergeCell ref="A1:P1"/>
    <mergeCell ref="A2:P2"/>
    <mergeCell ref="A3:A4"/>
    <mergeCell ref="B3:B4"/>
    <mergeCell ref="C3:C4"/>
    <mergeCell ref="D3:D4"/>
    <mergeCell ref="E3:J3"/>
    <mergeCell ref="K3:P3"/>
  </mergeCells>
  <phoneticPr fontId="16" type="noConversion"/>
  <printOptions horizontalCentered="1"/>
  <pageMargins left="0.39370078740157483" right="0.39370078740157483" top="0.39370078740157483" bottom="0.39370078740157483" header="0" footer="0"/>
  <pageSetup scale="4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C61B7-E197-4D69-992C-C25F9B0571B5}">
  <sheetPr>
    <tabColor rgb="FF92D050"/>
    <pageSetUpPr fitToPage="1"/>
  </sheetPr>
  <dimension ref="A1:AF59"/>
  <sheetViews>
    <sheetView view="pageBreakPreview" topLeftCell="A2" zoomScale="70" zoomScaleNormal="70" zoomScaleSheetLayoutView="70" workbookViewId="0">
      <selection sqref="A1:XFD1"/>
    </sheetView>
  </sheetViews>
  <sheetFormatPr baseColWidth="10" defaultColWidth="11.453125" defaultRowHeight="12.5"/>
  <cols>
    <col min="1" max="1" width="6.453125" customWidth="1"/>
    <col min="2" max="2" width="61.81640625" customWidth="1"/>
    <col min="3" max="3" width="8.453125" customWidth="1"/>
    <col min="4" max="4" width="11" customWidth="1"/>
    <col min="5" max="5" width="16.1796875" hidden="1" customWidth="1"/>
    <col min="6" max="9" width="15.54296875" hidden="1" customWidth="1"/>
    <col min="10" max="10" width="16.1796875" bestFit="1" customWidth="1"/>
    <col min="11" max="11" width="21.54296875" hidden="1" customWidth="1"/>
    <col min="12" max="12" width="19.54296875" hidden="1" customWidth="1"/>
    <col min="13" max="14" width="20.453125" hidden="1" customWidth="1"/>
    <col min="15" max="15" width="20" hidden="1" customWidth="1"/>
    <col min="16" max="16" width="23" bestFit="1" customWidth="1"/>
    <col min="18" max="18" width="15.54296875" bestFit="1" customWidth="1"/>
  </cols>
  <sheetData>
    <row r="1" spans="1:31" ht="13" hidden="1">
      <c r="A1" s="1654" t="str">
        <f>+'PRES GENERAL MR(OXI)'!A1</f>
        <v>IMPLEMENTACIÓN DE SOLUCIONES ENERGÉTICAS CON FUENTES NO CONVENCIONALES DE ENERGÍA PARA USUARIOS EN ZONAS RURALES DEL MUNICIPIO DE TEORAMA EN EL DEPARTAMENTO DE NORTE DE SANTANDER</v>
      </c>
      <c r="B1" s="1654"/>
      <c r="C1" s="1654"/>
      <c r="D1" s="1654"/>
      <c r="E1" s="1654"/>
      <c r="F1" s="1654"/>
      <c r="G1" s="1654"/>
      <c r="H1" s="1654"/>
      <c r="I1" s="1654"/>
      <c r="J1" s="1654"/>
      <c r="K1" s="1654"/>
      <c r="L1" s="1654"/>
      <c r="M1" s="1654"/>
      <c r="N1" s="1654"/>
      <c r="O1" s="1654"/>
      <c r="P1" s="1654"/>
    </row>
    <row r="2" spans="1:31" s="45" customFormat="1" ht="13.5" thickBot="1">
      <c r="A2" s="1655" t="s">
        <v>1168</v>
      </c>
      <c r="B2" s="1656"/>
      <c r="C2" s="1656"/>
      <c r="D2" s="1656"/>
      <c r="E2" s="1657"/>
      <c r="F2" s="1657"/>
      <c r="G2" s="1657"/>
      <c r="H2" s="1657"/>
      <c r="I2" s="1657"/>
      <c r="J2" s="1657"/>
      <c r="K2" s="1657"/>
      <c r="L2" s="1657"/>
      <c r="M2" s="1657"/>
      <c r="N2" s="1657"/>
      <c r="O2" s="1657"/>
      <c r="P2" s="1658"/>
    </row>
    <row r="3" spans="1:31" s="2" customFormat="1" ht="28.5" customHeight="1">
      <c r="A3" s="1650" t="s">
        <v>584</v>
      </c>
      <c r="B3" s="1650" t="s">
        <v>1008</v>
      </c>
      <c r="C3" s="1650" t="s">
        <v>259</v>
      </c>
      <c r="D3" s="1652" t="s">
        <v>688</v>
      </c>
      <c r="E3" s="1378" t="s">
        <v>1009</v>
      </c>
      <c r="F3" s="1379"/>
      <c r="G3" s="1379"/>
      <c r="H3" s="1379"/>
      <c r="I3" s="1379"/>
      <c r="J3" s="1380"/>
      <c r="K3" s="1378" t="s">
        <v>1010</v>
      </c>
      <c r="L3" s="1379"/>
      <c r="M3" s="1379"/>
      <c r="N3" s="1379"/>
      <c r="O3" s="1379"/>
      <c r="P3" s="1380"/>
      <c r="Q3" s="82"/>
      <c r="R3" s="82"/>
      <c r="S3" s="82"/>
      <c r="T3" s="82"/>
      <c r="U3" s="82"/>
      <c r="V3" s="82"/>
      <c r="W3" s="82"/>
      <c r="X3" s="82"/>
      <c r="Y3" s="82"/>
      <c r="Z3" s="82"/>
      <c r="AA3" s="82"/>
      <c r="AB3" s="82"/>
      <c r="AC3" s="82"/>
      <c r="AD3" s="82"/>
      <c r="AE3" s="82"/>
    </row>
    <row r="4" spans="1:31" s="2" customFormat="1" ht="26.15" customHeight="1" thickBot="1">
      <c r="A4" s="1651"/>
      <c r="B4" s="1651"/>
      <c r="C4" s="1651"/>
      <c r="D4" s="1653"/>
      <c r="E4" s="243" t="s">
        <v>749</v>
      </c>
      <c r="F4" s="210" t="s">
        <v>1011</v>
      </c>
      <c r="G4" s="210" t="s">
        <v>1012</v>
      </c>
      <c r="H4" s="210" t="s">
        <v>1013</v>
      </c>
      <c r="I4" s="210" t="s">
        <v>1014</v>
      </c>
      <c r="J4" s="244" t="s">
        <v>1015</v>
      </c>
      <c r="K4" s="245" t="s">
        <v>749</v>
      </c>
      <c r="L4" s="246" t="s">
        <v>1011</v>
      </c>
      <c r="M4" s="246" t="s">
        <v>1012</v>
      </c>
      <c r="N4" s="210" t="s">
        <v>1013</v>
      </c>
      <c r="O4" s="210" t="s">
        <v>1014</v>
      </c>
      <c r="P4" s="247" t="s">
        <v>1016</v>
      </c>
      <c r="Q4" s="82"/>
      <c r="R4" s="82"/>
      <c r="S4" s="82"/>
      <c r="T4" s="82"/>
      <c r="U4" s="82"/>
      <c r="V4" s="82"/>
      <c r="W4" s="82"/>
      <c r="X4" s="82"/>
      <c r="Y4" s="82"/>
      <c r="Z4" s="82"/>
      <c r="AA4" s="82"/>
      <c r="AB4" s="82"/>
      <c r="AC4" s="82"/>
      <c r="AD4" s="82"/>
      <c r="AE4" s="82"/>
    </row>
    <row r="5" spans="1:31" s="46" customFormat="1" ht="13.5" thickBot="1">
      <c r="A5" s="248" t="str">
        <f>+'PRES GENERAL MR(OXI)'!A21</f>
        <v>3.1</v>
      </c>
      <c r="B5" s="718" t="str">
        <f>+'PRES GENERAL MR(OXI)'!B21</f>
        <v>Sistema de generación de 21440 Wp</v>
      </c>
      <c r="C5" s="719"/>
      <c r="D5" s="719"/>
      <c r="E5" s="719"/>
      <c r="F5" s="719"/>
      <c r="G5" s="719"/>
      <c r="H5" s="719"/>
      <c r="I5" s="719"/>
      <c r="J5" s="719"/>
      <c r="K5" s="719"/>
      <c r="L5" s="719"/>
      <c r="M5" s="719"/>
      <c r="N5" s="719"/>
      <c r="O5" s="719"/>
      <c r="P5" s="720"/>
      <c r="Q5" s="47"/>
      <c r="R5" s="47"/>
      <c r="S5" s="47"/>
      <c r="T5" s="47"/>
      <c r="U5" s="47"/>
      <c r="V5" s="47"/>
      <c r="W5" s="47"/>
      <c r="X5" s="47"/>
      <c r="Y5" s="47"/>
      <c r="Z5" s="47"/>
      <c r="AA5" s="47"/>
      <c r="AB5" s="47"/>
      <c r="AC5" s="47"/>
      <c r="AD5" s="47"/>
      <c r="AE5" s="47"/>
    </row>
    <row r="6" spans="1:31" s="46" customFormat="1" ht="87.5">
      <c r="A6" s="241" t="s">
        <v>1101</v>
      </c>
      <c r="B6" s="237" t="str">
        <f>+'PRES MR 5 KW'!B6</f>
        <v>Suministro, transporte e instalación de Panel Solar de 670 W Mono PERC incluido en TIER-1 incluye, cable solar XLPE 6mm2, par de conectores MC4 y caja de conexión IP68 con diodos de paso con las siguientes características: ƞ ≥ 20%; tolerancia +3% condiciones STC. Garantía de producción a 12 años ≥ 90% y ≥ 80% a 25 años, temperatura de trabajo de -40ºC +80ºC, IEC61205. Certificación de conformidad de producto RETIE</v>
      </c>
      <c r="C6" s="230" t="s">
        <v>188</v>
      </c>
      <c r="D6" s="231">
        <v>32</v>
      </c>
      <c r="E6" s="214">
        <f>+'311 411 511'!G11</f>
        <v>900921</v>
      </c>
      <c r="F6" s="83">
        <f>+'311 411 511'!G18</f>
        <v>4140</v>
      </c>
      <c r="G6" s="83">
        <f>+'311 411 511'!G25</f>
        <v>66153.880201748645</v>
      </c>
      <c r="H6" s="83">
        <f>+'311 411 511'!G29</f>
        <v>19283</v>
      </c>
      <c r="I6" s="83">
        <f>+'311 411 511'!G30</f>
        <v>17723</v>
      </c>
      <c r="J6" s="221"/>
      <c r="K6" s="214"/>
      <c r="L6" s="83"/>
      <c r="M6" s="83"/>
      <c r="N6" s="83"/>
      <c r="O6" s="83"/>
      <c r="P6" s="225"/>
      <c r="Q6" s="47"/>
      <c r="R6" s="47"/>
      <c r="S6" s="47"/>
      <c r="T6" s="47"/>
      <c r="U6" s="47"/>
      <c r="V6" s="47"/>
      <c r="W6" s="47"/>
      <c r="X6" s="47"/>
      <c r="Y6" s="47"/>
      <c r="Z6" s="47"/>
      <c r="AA6" s="47"/>
      <c r="AB6" s="47"/>
      <c r="AC6" s="47"/>
      <c r="AD6" s="47"/>
      <c r="AE6" s="47"/>
    </row>
    <row r="7" spans="1:31" s="46" customFormat="1" ht="70.5" customHeight="1">
      <c r="A7" s="241" t="s">
        <v>1103</v>
      </c>
      <c r="B7" s="237" t="s">
        <v>1171</v>
      </c>
      <c r="C7" s="230" t="s">
        <v>188</v>
      </c>
      <c r="D7" s="231">
        <v>1</v>
      </c>
      <c r="E7" s="214">
        <f>+'412'!G14</f>
        <v>1152986</v>
      </c>
      <c r="F7" s="83">
        <f>+'412'!G21</f>
        <v>4140</v>
      </c>
      <c r="G7" s="83">
        <f>+'412'!G28</f>
        <v>22426.657987484803</v>
      </c>
      <c r="H7" s="83">
        <f>+'412'!G32</f>
        <v>19283</v>
      </c>
      <c r="I7" s="83">
        <f>+'412'!G33</f>
        <v>17723</v>
      </c>
      <c r="J7" s="221"/>
      <c r="K7" s="214"/>
      <c r="L7" s="83"/>
      <c r="M7" s="83"/>
      <c r="N7" s="83"/>
      <c r="O7" s="83"/>
      <c r="P7" s="225"/>
      <c r="Q7"/>
      <c r="R7"/>
      <c r="S7"/>
      <c r="T7"/>
      <c r="U7"/>
      <c r="V7"/>
      <c r="W7"/>
      <c r="X7"/>
      <c r="Y7"/>
      <c r="Z7"/>
      <c r="AA7"/>
      <c r="AB7"/>
      <c r="AC7"/>
      <c r="AD7"/>
      <c r="AE7"/>
    </row>
    <row r="8" spans="1:31" s="46" customFormat="1" ht="58.4" customHeight="1">
      <c r="A8" s="241" t="s">
        <v>1105</v>
      </c>
      <c r="B8" s="237" t="s">
        <v>1173</v>
      </c>
      <c r="C8" s="230" t="s">
        <v>188</v>
      </c>
      <c r="D8" s="231">
        <v>1</v>
      </c>
      <c r="E8" s="214">
        <f>+'413'!G21</f>
        <v>3310567</v>
      </c>
      <c r="F8" s="83">
        <f>+'413'!G28</f>
        <v>12420</v>
      </c>
      <c r="G8" s="83">
        <f>+'413'!G35</f>
        <v>36915.070796373271</v>
      </c>
      <c r="H8" s="83">
        <f>+'413'!G39</f>
        <v>57850</v>
      </c>
      <c r="I8" s="83">
        <f>+'413'!G40</f>
        <v>53170</v>
      </c>
      <c r="J8" s="221"/>
      <c r="K8" s="214"/>
      <c r="L8" s="83"/>
      <c r="M8" s="83"/>
      <c r="N8" s="83"/>
      <c r="O8" s="83"/>
      <c r="P8" s="225"/>
      <c r="Q8"/>
      <c r="R8"/>
      <c r="S8"/>
      <c r="T8"/>
      <c r="U8"/>
      <c r="V8"/>
      <c r="W8"/>
      <c r="X8"/>
      <c r="Y8"/>
      <c r="Z8"/>
      <c r="AA8"/>
      <c r="AB8"/>
      <c r="AC8"/>
      <c r="AD8"/>
      <c r="AE8"/>
    </row>
    <row r="9" spans="1:31" s="46" customFormat="1" ht="75">
      <c r="A9" s="241" t="s">
        <v>1107</v>
      </c>
      <c r="B9" s="237" t="str">
        <f>+'PRES MR 5 KW'!B9</f>
        <v>Suministro, transporte e instalación de controlador MPPT 250/70A, tensiones de trabajo a 48V, con bluetooth y VE.CAN incorporado para configuración y monitorización de historico, eficiencia de conversión 99%, función de trabajo en paralelo. Incluye cableado de entrada en calibre 10 AWG, cableado de salida en 2 AWG y cableado de comnunicaciones VE.CAN</v>
      </c>
      <c r="C9" s="230" t="s">
        <v>188</v>
      </c>
      <c r="D9" s="231">
        <v>2</v>
      </c>
      <c r="E9" s="214">
        <f>+'314 414 514'!G16</f>
        <v>4264138</v>
      </c>
      <c r="F9" s="83">
        <f>+'314 414 514'!G23</f>
        <v>4968</v>
      </c>
      <c r="G9" s="83">
        <f>+'314 414 514'!G30</f>
        <v>10123.054234874</v>
      </c>
      <c r="H9" s="83">
        <f>+'314 414 514'!G34</f>
        <v>23140</v>
      </c>
      <c r="I9" s="83">
        <f>+'314 414 514'!G35</f>
        <v>21268</v>
      </c>
      <c r="J9" s="221"/>
      <c r="K9" s="214"/>
      <c r="L9" s="83"/>
      <c r="M9" s="83"/>
      <c r="N9" s="83"/>
      <c r="O9" s="83"/>
      <c r="P9" s="225"/>
      <c r="Q9"/>
      <c r="R9"/>
      <c r="S9"/>
      <c r="T9"/>
      <c r="U9"/>
      <c r="V9"/>
      <c r="W9"/>
      <c r="X9"/>
      <c r="Y9"/>
      <c r="Z9"/>
      <c r="AA9"/>
      <c r="AB9"/>
      <c r="AC9"/>
      <c r="AD9"/>
      <c r="AE9"/>
    </row>
    <row r="10" spans="1:31" s="46" customFormat="1" ht="50">
      <c r="A10" s="241" t="s">
        <v>1109</v>
      </c>
      <c r="B10" s="237" t="s">
        <v>1176</v>
      </c>
      <c r="C10" s="230" t="s">
        <v>188</v>
      </c>
      <c r="D10" s="231">
        <v>1</v>
      </c>
      <c r="E10" s="214">
        <f>+'415'!G22</f>
        <v>6629102</v>
      </c>
      <c r="F10" s="83">
        <f>+'415'!G29</f>
        <v>24840</v>
      </c>
      <c r="G10" s="83">
        <f>+'415'!G36</f>
        <v>66538.698304131191</v>
      </c>
      <c r="H10" s="83">
        <f>+'415'!G40</f>
        <v>115699</v>
      </c>
      <c r="I10" s="83">
        <f>+'415'!G41</f>
        <v>106341</v>
      </c>
      <c r="J10" s="221"/>
      <c r="K10" s="214"/>
      <c r="L10" s="83"/>
      <c r="M10" s="83"/>
      <c r="N10" s="83"/>
      <c r="O10" s="83"/>
      <c r="P10" s="225"/>
      <c r="Q10"/>
      <c r="R10"/>
      <c r="S10"/>
      <c r="T10"/>
      <c r="U10"/>
      <c r="V10"/>
      <c r="W10"/>
      <c r="X10"/>
      <c r="Y10"/>
      <c r="Z10"/>
      <c r="AA10"/>
      <c r="AB10"/>
      <c r="AC10"/>
      <c r="AD10"/>
      <c r="AE10"/>
    </row>
    <row r="11" spans="1:31" s="46" customFormat="1" ht="87.5">
      <c r="A11" s="241" t="s">
        <v>1111</v>
      </c>
      <c r="B11" s="781" t="s">
        <v>1178</v>
      </c>
      <c r="C11" s="230" t="s">
        <v>188</v>
      </c>
      <c r="D11" s="231">
        <v>1</v>
      </c>
      <c r="E11" s="214">
        <f>+'416'!G15</f>
        <v>88589585</v>
      </c>
      <c r="F11" s="83">
        <f>+'416'!G22</f>
        <v>24840</v>
      </c>
      <c r="G11" s="83">
        <f>+'416'!G29</f>
        <v>823653.56493862404</v>
      </c>
      <c r="H11" s="83">
        <f>+'416'!G33</f>
        <v>115699</v>
      </c>
      <c r="I11" s="83">
        <f>+'416'!G34</f>
        <v>106341</v>
      </c>
      <c r="J11" s="221"/>
      <c r="K11" s="214"/>
      <c r="L11" s="83"/>
      <c r="M11" s="83"/>
      <c r="N11" s="83"/>
      <c r="O11" s="83"/>
      <c r="P11" s="225"/>
      <c r="Q11"/>
      <c r="R11"/>
      <c r="S11"/>
      <c r="T11"/>
      <c r="U11"/>
      <c r="V11"/>
      <c r="W11"/>
      <c r="X11"/>
      <c r="Y11"/>
      <c r="Z11"/>
      <c r="AA11"/>
      <c r="AB11"/>
      <c r="AC11"/>
      <c r="AD11"/>
      <c r="AE11"/>
    </row>
    <row r="12" spans="1:31" s="46" customFormat="1" ht="37.5">
      <c r="A12" s="241" t="s">
        <v>1113</v>
      </c>
      <c r="B12" s="237" t="s">
        <v>1114</v>
      </c>
      <c r="C12" s="230" t="s">
        <v>188</v>
      </c>
      <c r="D12" s="231">
        <v>2</v>
      </c>
      <c r="E12" s="214">
        <f>+'317 417 517'!G13</f>
        <v>11635457</v>
      </c>
      <c r="F12" s="83">
        <f>+'317 417 517'!G20</f>
        <v>12420</v>
      </c>
      <c r="G12" s="83">
        <f>+'317 417 517'!G27</f>
        <v>52314.295036158393</v>
      </c>
      <c r="H12" s="83">
        <f>+'317 417 517'!G31</f>
        <v>57850</v>
      </c>
      <c r="I12" s="83">
        <f>+'317 417 517'!G32</f>
        <v>53170</v>
      </c>
      <c r="J12" s="221"/>
      <c r="K12" s="214"/>
      <c r="L12" s="83"/>
      <c r="M12" s="83"/>
      <c r="N12" s="83"/>
      <c r="O12" s="83"/>
      <c r="P12" s="225"/>
      <c r="Q12"/>
      <c r="R12"/>
      <c r="S12"/>
      <c r="T12"/>
      <c r="U12"/>
      <c r="V12"/>
      <c r="W12"/>
      <c r="X12"/>
      <c r="Y12"/>
      <c r="Z12"/>
      <c r="AA12"/>
      <c r="AB12"/>
      <c r="AC12"/>
      <c r="AD12"/>
      <c r="AE12"/>
    </row>
    <row r="13" spans="1:31" s="46" customFormat="1" ht="50">
      <c r="A13" s="241" t="s">
        <v>1115</v>
      </c>
      <c r="B13" s="237" t="s">
        <v>1181</v>
      </c>
      <c r="C13" s="230" t="s">
        <v>188</v>
      </c>
      <c r="D13" s="231">
        <v>1</v>
      </c>
      <c r="E13" s="214">
        <f>+'418'!G17</f>
        <v>1497152</v>
      </c>
      <c r="F13" s="83">
        <f>+'418'!G24</f>
        <v>8280</v>
      </c>
      <c r="G13" s="83">
        <f>+'418'!G31</f>
        <v>23876.265235032006</v>
      </c>
      <c r="H13" s="83">
        <f>+'418'!G35</f>
        <v>38566</v>
      </c>
      <c r="I13" s="83">
        <f>+'418'!G36</f>
        <v>35447</v>
      </c>
      <c r="J13" s="221"/>
      <c r="K13" s="214"/>
      <c r="L13" s="83"/>
      <c r="M13" s="83"/>
      <c r="N13" s="83"/>
      <c r="O13" s="83"/>
      <c r="P13" s="225"/>
      <c r="Q13"/>
      <c r="R13"/>
      <c r="S13"/>
      <c r="T13"/>
      <c r="U13"/>
      <c r="V13"/>
      <c r="W13"/>
      <c r="X13"/>
      <c r="Y13"/>
      <c r="Z13"/>
      <c r="AA13"/>
      <c r="AB13"/>
      <c r="AC13"/>
      <c r="AD13"/>
      <c r="AE13"/>
    </row>
    <row r="14" spans="1:31" s="46" customFormat="1" ht="25">
      <c r="A14" s="241" t="s">
        <v>1117</v>
      </c>
      <c r="B14" s="237" t="s">
        <v>1183</v>
      </c>
      <c r="C14" s="230" t="s">
        <v>188</v>
      </c>
      <c r="D14" s="231">
        <v>1</v>
      </c>
      <c r="E14" s="214">
        <f>+'319'!G11</f>
        <v>3324555</v>
      </c>
      <c r="F14" s="83">
        <f>+'319'!G18</f>
        <v>8280</v>
      </c>
      <c r="G14" s="83">
        <f>+'319'!G25</f>
        <v>276375.50308479997</v>
      </c>
      <c r="H14" s="83">
        <f>+'419'!G29</f>
        <v>38566</v>
      </c>
      <c r="I14" s="83">
        <f>+'419'!G30</f>
        <v>35447</v>
      </c>
      <c r="J14" s="221"/>
      <c r="K14" s="214"/>
      <c r="L14" s="83"/>
      <c r="M14" s="83"/>
      <c r="N14" s="83"/>
      <c r="O14" s="83"/>
      <c r="P14" s="225"/>
      <c r="Q14"/>
      <c r="R14"/>
      <c r="S14"/>
      <c r="T14"/>
      <c r="U14"/>
      <c r="V14"/>
      <c r="W14"/>
      <c r="X14"/>
      <c r="Y14"/>
      <c r="Z14"/>
      <c r="AA14"/>
      <c r="AB14"/>
      <c r="AC14"/>
      <c r="AD14"/>
      <c r="AE14"/>
    </row>
    <row r="15" spans="1:31" s="46" customFormat="1" ht="50">
      <c r="A15" s="241" t="s">
        <v>1119</v>
      </c>
      <c r="B15" s="237" t="s">
        <v>1185</v>
      </c>
      <c r="C15" s="230" t="s">
        <v>188</v>
      </c>
      <c r="D15" s="231">
        <v>1</v>
      </c>
      <c r="E15" s="214">
        <f>+'4110'!G20</f>
        <v>1592483</v>
      </c>
      <c r="F15" s="83">
        <f>+'4110'!G27</f>
        <v>4140</v>
      </c>
      <c r="G15" s="83">
        <f>+'4110'!G34</f>
        <v>37777.758649727592</v>
      </c>
      <c r="H15" s="83">
        <f>+'4110'!G38</f>
        <v>19283</v>
      </c>
      <c r="I15" s="83">
        <f>+'4110'!G39</f>
        <v>17723</v>
      </c>
      <c r="J15" s="221"/>
      <c r="K15" s="214"/>
      <c r="L15" s="83"/>
      <c r="M15" s="83"/>
      <c r="N15" s="83"/>
      <c r="O15" s="83"/>
      <c r="P15" s="225"/>
      <c r="Q15"/>
      <c r="R15"/>
      <c r="S15"/>
      <c r="T15"/>
      <c r="U15"/>
      <c r="V15"/>
      <c r="W15"/>
      <c r="X15"/>
      <c r="Y15"/>
      <c r="Z15"/>
      <c r="AA15"/>
      <c r="AB15"/>
      <c r="AC15"/>
      <c r="AD15"/>
      <c r="AE15"/>
    </row>
    <row r="16" spans="1:31" s="46" customFormat="1" ht="25">
      <c r="A16" s="241" t="s">
        <v>1121</v>
      </c>
      <c r="B16" s="237" t="s">
        <v>1187</v>
      </c>
      <c r="C16" s="230" t="s">
        <v>1123</v>
      </c>
      <c r="D16" s="231">
        <v>1</v>
      </c>
      <c r="E16" s="214">
        <f>+'4111'!G15</f>
        <v>834196</v>
      </c>
      <c r="F16" s="83">
        <f>+'4111'!G22</f>
        <v>8280</v>
      </c>
      <c r="G16" s="83">
        <f>+'4111'!G29</f>
        <v>16928.1700819</v>
      </c>
      <c r="H16" s="83">
        <f>+'4111'!G33</f>
        <v>38566</v>
      </c>
      <c r="I16" s="83">
        <f>+'4111'!G34</f>
        <v>35447</v>
      </c>
      <c r="J16" s="221"/>
      <c r="K16" s="214"/>
      <c r="L16" s="83"/>
      <c r="M16" s="83"/>
      <c r="N16" s="83"/>
      <c r="O16" s="83"/>
      <c r="P16" s="225"/>
      <c r="Q16"/>
      <c r="R16"/>
      <c r="S16"/>
      <c r="T16"/>
      <c r="U16"/>
      <c r="V16"/>
      <c r="W16"/>
      <c r="X16"/>
      <c r="Y16"/>
      <c r="Z16"/>
      <c r="AA16"/>
      <c r="AB16"/>
      <c r="AC16"/>
      <c r="AD16"/>
      <c r="AE16"/>
    </row>
    <row r="17" spans="1:32" s="46" customFormat="1">
      <c r="A17" s="241" t="s">
        <v>1124</v>
      </c>
      <c r="B17" s="237" t="s">
        <v>1125</v>
      </c>
      <c r="C17" s="230" t="s">
        <v>188</v>
      </c>
      <c r="D17" s="231">
        <v>1</v>
      </c>
      <c r="E17" s="214">
        <f>+'3112 4112 5112'!G11</f>
        <v>65831</v>
      </c>
      <c r="F17" s="83">
        <f>+'3112 4112 5112'!G18</f>
        <v>3105</v>
      </c>
      <c r="G17" s="83">
        <f>+'3112 4112 5112'!G25</f>
        <v>17085.899191199998</v>
      </c>
      <c r="H17" s="83">
        <f>+'3112 4112 5112'!G29</f>
        <v>14462</v>
      </c>
      <c r="I17" s="83">
        <f>+'3112 4112 5112'!G30</f>
        <v>13293</v>
      </c>
      <c r="J17" s="221"/>
      <c r="K17" s="214"/>
      <c r="L17" s="83"/>
      <c r="M17" s="83"/>
      <c r="N17" s="83"/>
      <c r="O17" s="83"/>
      <c r="P17" s="225"/>
      <c r="Q17"/>
      <c r="R17"/>
      <c r="S17"/>
      <c r="T17"/>
      <c r="U17"/>
      <c r="V17"/>
      <c r="W17"/>
      <c r="X17"/>
      <c r="Y17"/>
      <c r="Z17"/>
      <c r="AA17"/>
      <c r="AB17"/>
      <c r="AC17"/>
      <c r="AD17"/>
      <c r="AE17"/>
      <c r="AF17" s="47"/>
    </row>
    <row r="18" spans="1:32" s="46" customFormat="1" ht="63" thickBot="1">
      <c r="A18" s="241" t="s">
        <v>1126</v>
      </c>
      <c r="B18" s="237" t="s">
        <v>1190</v>
      </c>
      <c r="C18" s="230" t="s">
        <v>188</v>
      </c>
      <c r="D18" s="231">
        <v>1</v>
      </c>
      <c r="E18" s="214">
        <f>+'3113 4113'!G15</f>
        <v>2933609</v>
      </c>
      <c r="F18" s="83">
        <f>+'3113 4113'!G22</f>
        <v>12420</v>
      </c>
      <c r="G18" s="83">
        <f>+'3113 4113'!G29</f>
        <v>70897.316303345011</v>
      </c>
      <c r="H18" s="83">
        <f>+'3113 4113'!G33</f>
        <v>57850</v>
      </c>
      <c r="I18" s="83">
        <f>+'3113 4113'!G34</f>
        <v>53170</v>
      </c>
      <c r="J18" s="221"/>
      <c r="K18" s="214"/>
      <c r="L18" s="83"/>
      <c r="M18" s="83"/>
      <c r="N18" s="83"/>
      <c r="O18" s="83"/>
      <c r="P18" s="225"/>
      <c r="Q18"/>
      <c r="R18"/>
      <c r="S18"/>
      <c r="T18"/>
      <c r="U18"/>
      <c r="V18"/>
      <c r="W18"/>
      <c r="X18"/>
      <c r="Y18"/>
      <c r="Z18"/>
      <c r="AA18"/>
      <c r="AB18"/>
      <c r="AC18"/>
      <c r="AD18"/>
      <c r="AE18"/>
      <c r="AF18" s="47"/>
    </row>
    <row r="19" spans="1:32" s="46" customFormat="1" ht="13.5" thickBot="1">
      <c r="A19" s="248" t="str">
        <f>+'PRES GENERAL MR(OXI)'!A22</f>
        <v>3.2</v>
      </c>
      <c r="B19" s="1646" t="str">
        <f>+'PRES GENERAL MR(OXI)'!B22</f>
        <v>Estructura de soporte y obras civiles para 32 paneles solares</v>
      </c>
      <c r="C19" s="1647"/>
      <c r="D19" s="1647"/>
      <c r="E19" s="1647"/>
      <c r="F19" s="1647"/>
      <c r="G19" s="1647"/>
      <c r="H19" s="1647"/>
      <c r="I19" s="1647"/>
      <c r="J19" s="1647"/>
      <c r="K19" s="1647"/>
      <c r="L19" s="1647"/>
      <c r="M19" s="1647"/>
      <c r="N19" s="1647"/>
      <c r="O19" s="1647"/>
      <c r="P19" s="1648"/>
      <c r="Q19"/>
      <c r="R19"/>
      <c r="S19"/>
      <c r="T19"/>
      <c r="U19"/>
      <c r="V19"/>
      <c r="W19"/>
      <c r="X19"/>
      <c r="Y19"/>
      <c r="Z19"/>
      <c r="AA19"/>
      <c r="AB19"/>
      <c r="AC19"/>
      <c r="AD19"/>
      <c r="AE19"/>
      <c r="AF19" s="47"/>
    </row>
    <row r="20" spans="1:32" s="46" customFormat="1">
      <c r="A20" s="425" t="s">
        <v>1128</v>
      </c>
      <c r="B20" s="966" t="s">
        <v>1129</v>
      </c>
      <c r="C20" s="64" t="s">
        <v>1130</v>
      </c>
      <c r="D20" s="231">
        <f>13.18*13.87</f>
        <v>182.80659999999997</v>
      </c>
      <c r="E20" s="428">
        <f>+'321 421 521'!G11</f>
        <v>658</v>
      </c>
      <c r="F20" s="429">
        <f>+'321 421 521'!G18</f>
        <v>497</v>
      </c>
      <c r="G20" s="429">
        <f>+'321 421 521'!G25</f>
        <v>172</v>
      </c>
      <c r="H20" s="83">
        <f>+'321 421 521'!G29</f>
        <v>2300</v>
      </c>
      <c r="I20" s="83">
        <f>+'321 421 521'!G30</f>
        <v>2114</v>
      </c>
      <c r="J20" s="221"/>
      <c r="K20" s="428"/>
      <c r="L20" s="429"/>
      <c r="M20" s="429"/>
      <c r="N20" s="429"/>
      <c r="O20" s="429"/>
      <c r="P20" s="225"/>
      <c r="Q20"/>
      <c r="R20"/>
      <c r="S20"/>
      <c r="T20"/>
      <c r="U20"/>
      <c r="V20"/>
      <c r="W20"/>
      <c r="X20"/>
      <c r="Y20"/>
      <c r="Z20"/>
      <c r="AA20"/>
      <c r="AB20"/>
      <c r="AC20"/>
      <c r="AD20"/>
      <c r="AE20"/>
      <c r="AF20" s="47"/>
    </row>
    <row r="21" spans="1:32" s="46" customFormat="1">
      <c r="A21" s="425" t="s">
        <v>1131</v>
      </c>
      <c r="B21" s="966" t="s">
        <v>1132</v>
      </c>
      <c r="C21" s="64" t="s">
        <v>1130</v>
      </c>
      <c r="D21" s="231">
        <f>13.18*13.87</f>
        <v>182.80659999999997</v>
      </c>
      <c r="E21" s="428">
        <f>+'322 422 522'!G11</f>
        <v>0</v>
      </c>
      <c r="F21" s="429">
        <f>+'322 422 522'!G18</f>
        <v>266</v>
      </c>
      <c r="G21" s="429">
        <f>+'322 422 522'!G25</f>
        <v>2515</v>
      </c>
      <c r="H21" s="83"/>
      <c r="I21" s="83">
        <f>+'322 422 522'!G30</f>
        <v>613</v>
      </c>
      <c r="J21" s="221"/>
      <c r="K21" s="428"/>
      <c r="L21" s="429"/>
      <c r="M21" s="429"/>
      <c r="N21" s="429"/>
      <c r="O21" s="429"/>
      <c r="P21" s="225"/>
      <c r="Q21"/>
      <c r="R21"/>
      <c r="S21"/>
      <c r="T21"/>
      <c r="U21"/>
      <c r="V21"/>
      <c r="W21"/>
      <c r="X21"/>
      <c r="Y21"/>
      <c r="Z21"/>
      <c r="AA21"/>
      <c r="AB21"/>
      <c r="AC21"/>
      <c r="AD21"/>
      <c r="AE21"/>
      <c r="AF21" s="47"/>
    </row>
    <row r="22" spans="1:32" s="422" customFormat="1">
      <c r="A22" s="425" t="s">
        <v>1133</v>
      </c>
      <c r="B22" s="237" t="s">
        <v>1134</v>
      </c>
      <c r="C22" s="426" t="s">
        <v>1135</v>
      </c>
      <c r="D22" s="231">
        <f>+(0.85*0.6*0.6)*8+(0.5*0.3)*13.18*2+(0.5*0.3)*13.87*2+0.5*3.56*4.56</f>
        <v>18.6798</v>
      </c>
      <c r="E22" s="428">
        <f>+'323 423 523'!G9</f>
        <v>0</v>
      </c>
      <c r="F22" s="429">
        <f>+'323 423 523'!G16</f>
        <v>311</v>
      </c>
      <c r="G22" s="429">
        <f>+'323 423 523'!G23</f>
        <v>0</v>
      </c>
      <c r="H22" s="83"/>
      <c r="I22" s="83">
        <f>+'323 423 523'!G27</f>
        <v>53170</v>
      </c>
      <c r="J22" s="221"/>
      <c r="K22" s="428"/>
      <c r="L22" s="429"/>
      <c r="M22" s="429"/>
      <c r="N22" s="429"/>
      <c r="O22" s="429"/>
      <c r="P22" s="225"/>
      <c r="Q22" s="421"/>
      <c r="R22" s="421"/>
      <c r="S22" s="421"/>
      <c r="T22" s="421"/>
      <c r="U22" s="421"/>
      <c r="V22" s="421"/>
      <c r="W22" s="421"/>
      <c r="X22" s="421"/>
      <c r="Y22" s="421"/>
      <c r="Z22" s="421"/>
      <c r="AA22" s="421"/>
      <c r="AB22" s="421"/>
      <c r="AC22" s="421"/>
      <c r="AD22" s="421"/>
      <c r="AE22" s="421"/>
    </row>
    <row r="23" spans="1:32" s="422" customFormat="1">
      <c r="A23" s="425" t="s">
        <v>1136</v>
      </c>
      <c r="B23" s="237" t="s">
        <v>1137</v>
      </c>
      <c r="C23" s="426" t="s">
        <v>1135</v>
      </c>
      <c r="D23" s="704">
        <f>0.25*3.56*4.56+(0.25/2)*0.5*8</f>
        <v>4.5583999999999998</v>
      </c>
      <c r="E23" s="428">
        <f>+'324 424 524'!G10</f>
        <v>83045</v>
      </c>
      <c r="F23" s="429">
        <f>+'324 424 524'!G17</f>
        <v>12900</v>
      </c>
      <c r="G23" s="429">
        <f>+'324 424 524'!G24</f>
        <v>96504.629629629635</v>
      </c>
      <c r="H23" s="83"/>
      <c r="I23" s="83">
        <f>+'324 424 524'!G28</f>
        <v>26585</v>
      </c>
      <c r="J23" s="221"/>
      <c r="K23" s="428"/>
      <c r="L23" s="429"/>
      <c r="M23" s="429"/>
      <c r="N23" s="429"/>
      <c r="O23" s="429"/>
      <c r="P23" s="225"/>
      <c r="Q23" s="421"/>
      <c r="R23" s="421"/>
      <c r="S23" s="421"/>
      <c r="T23" s="421"/>
      <c r="U23" s="421"/>
      <c r="V23" s="421"/>
      <c r="W23" s="421"/>
      <c r="X23" s="421"/>
      <c r="Y23" s="421"/>
      <c r="Z23" s="421"/>
      <c r="AA23" s="421"/>
      <c r="AB23" s="421"/>
      <c r="AC23" s="421"/>
      <c r="AD23" s="421"/>
      <c r="AE23" s="421"/>
    </row>
    <row r="24" spans="1:32" s="422" customFormat="1" ht="50">
      <c r="A24" s="425" t="s">
        <v>1138</v>
      </c>
      <c r="B24" s="237" t="s">
        <v>1139</v>
      </c>
      <c r="C24" s="426" t="s">
        <v>1140</v>
      </c>
      <c r="D24" s="231">
        <f>13.18*2+13.87*2-3.4</f>
        <v>50.699999999999996</v>
      </c>
      <c r="E24" s="428">
        <f>+'325 425 525'!G23</f>
        <v>303053</v>
      </c>
      <c r="F24" s="429">
        <f>+'325 425 525'!G30</f>
        <v>2070</v>
      </c>
      <c r="G24" s="429">
        <f>+'325 425 525'!G36</f>
        <v>108078.7592</v>
      </c>
      <c r="H24" s="83"/>
      <c r="I24" s="83">
        <f>+'325 425 525'!G41+'325 425 525'!G40</f>
        <v>21609</v>
      </c>
      <c r="J24" s="221"/>
      <c r="K24" s="428"/>
      <c r="L24" s="429"/>
      <c r="M24" s="429"/>
      <c r="N24" s="429"/>
      <c r="O24" s="429"/>
      <c r="P24" s="225"/>
      <c r="Q24" s="421"/>
      <c r="R24" s="421"/>
      <c r="S24" s="421"/>
      <c r="T24" s="421"/>
      <c r="U24" s="421"/>
      <c r="V24" s="421"/>
      <c r="W24" s="421"/>
      <c r="X24" s="421"/>
      <c r="Y24" s="421"/>
      <c r="Z24" s="421"/>
      <c r="AA24" s="421"/>
      <c r="AB24" s="421"/>
      <c r="AC24" s="421"/>
      <c r="AD24" s="421"/>
      <c r="AE24" s="421"/>
    </row>
    <row r="25" spans="1:32" s="422" customFormat="1" ht="25">
      <c r="A25" s="425" t="s">
        <v>1141</v>
      </c>
      <c r="B25" s="237" t="s">
        <v>1142</v>
      </c>
      <c r="C25" s="426" t="s">
        <v>1135</v>
      </c>
      <c r="D25" s="704">
        <f>0.6*0.6*0.05*8</f>
        <v>0.14399999999999999</v>
      </c>
      <c r="E25" s="428">
        <f>+'326 426 526'!G12</f>
        <v>367242</v>
      </c>
      <c r="F25" s="429">
        <f>+'326 426 526'!G19</f>
        <v>26563</v>
      </c>
      <c r="G25" s="429">
        <f>+'326 426 526'!G25</f>
        <v>705490</v>
      </c>
      <c r="H25" s="83">
        <f>+'326 426 526'!G29</f>
        <v>19120</v>
      </c>
      <c r="I25" s="83">
        <f>+'326 426 526'!G30</f>
        <v>13293</v>
      </c>
      <c r="J25" s="221"/>
      <c r="K25" s="428"/>
      <c r="L25" s="429"/>
      <c r="M25" s="429"/>
      <c r="N25" s="429"/>
      <c r="O25" s="429"/>
      <c r="P25" s="225"/>
      <c r="Q25" s="421"/>
      <c r="R25" s="421"/>
      <c r="S25" s="421"/>
      <c r="T25" s="421"/>
      <c r="U25" s="421"/>
      <c r="V25" s="421"/>
      <c r="W25" s="421"/>
      <c r="X25" s="421"/>
      <c r="Y25" s="421"/>
      <c r="Z25" s="421"/>
      <c r="AA25" s="421"/>
      <c r="AB25" s="421"/>
      <c r="AC25" s="421"/>
      <c r="AD25" s="421"/>
      <c r="AE25" s="421"/>
    </row>
    <row r="26" spans="1:32" s="422" customFormat="1" ht="25">
      <c r="A26" s="425" t="s">
        <v>1143</v>
      </c>
      <c r="B26" s="237" t="s">
        <v>1144</v>
      </c>
      <c r="C26" s="426" t="s">
        <v>1135</v>
      </c>
      <c r="D26" s="704">
        <f>3.56*4.56*0.12+(0.6*0.6*0.25+0.6*0.35*0.35)*8</f>
        <v>3.2560319999999994</v>
      </c>
      <c r="E26" s="428">
        <f>+'327 427 527'!G13</f>
        <v>501327</v>
      </c>
      <c r="F26" s="429">
        <f>+'327 427 527'!G20</f>
        <v>28599</v>
      </c>
      <c r="G26" s="429">
        <f>+'327 427 527'!G26</f>
        <v>865500</v>
      </c>
      <c r="H26" s="83">
        <f>+'327 427 527'!G30</f>
        <v>15296</v>
      </c>
      <c r="I26" s="83">
        <f>+'327 427 527'!G31</f>
        <v>10634</v>
      </c>
      <c r="J26" s="221"/>
      <c r="K26" s="428"/>
      <c r="L26" s="429"/>
      <c r="M26" s="429"/>
      <c r="N26" s="429"/>
      <c r="O26" s="429"/>
      <c r="P26" s="225"/>
      <c r="Q26" s="421"/>
      <c r="R26" s="421"/>
      <c r="S26" s="421"/>
      <c r="T26" s="421"/>
      <c r="U26" s="421"/>
      <c r="V26" s="421"/>
      <c r="W26" s="421"/>
      <c r="X26" s="421"/>
      <c r="Y26" s="421"/>
      <c r="Z26" s="421"/>
      <c r="AA26" s="421"/>
      <c r="AB26" s="421"/>
      <c r="AC26" s="421"/>
      <c r="AD26" s="421"/>
      <c r="AE26" s="421"/>
    </row>
    <row r="27" spans="1:32" s="422" customFormat="1">
      <c r="A27" s="425" t="s">
        <v>1145</v>
      </c>
      <c r="B27" s="237" t="s">
        <v>1146</v>
      </c>
      <c r="C27" s="426" t="s">
        <v>1147</v>
      </c>
      <c r="D27" s="231">
        <f>(8*0.85*0.996+6*0.7*0.996+7*1.17*0.557)*1.05*8+(3.26*4.26)*2.06+((3.26/0.2)*4.26*0.557+(4.26/0.2)*3.26*0.557)</f>
        <v>236.31216000000001</v>
      </c>
      <c r="E27" s="428">
        <f>+'328 428 528'!G10</f>
        <v>6755</v>
      </c>
      <c r="F27" s="429">
        <f>+'328 428 528'!G15</f>
        <v>99</v>
      </c>
      <c r="G27" s="429">
        <f>+'328 428 528'!G21</f>
        <v>1926.8529028000003</v>
      </c>
      <c r="H27" s="83">
        <f>+'328 428 528'!G25</f>
        <v>612</v>
      </c>
      <c r="I27" s="83">
        <f>+'328 428 528'!G26</f>
        <v>425</v>
      </c>
      <c r="J27" s="221"/>
      <c r="K27" s="428"/>
      <c r="L27" s="429"/>
      <c r="M27" s="429"/>
      <c r="N27" s="429"/>
      <c r="O27" s="429"/>
      <c r="P27" s="225"/>
      <c r="Q27" s="421"/>
      <c r="R27" s="421"/>
      <c r="S27" s="421"/>
      <c r="T27" s="421"/>
      <c r="U27" s="421"/>
      <c r="V27" s="421"/>
      <c r="W27" s="421"/>
      <c r="X27" s="421"/>
      <c r="Y27" s="421"/>
      <c r="Z27" s="421"/>
      <c r="AA27" s="421"/>
      <c r="AB27" s="421"/>
      <c r="AC27" s="421"/>
      <c r="AD27" s="421"/>
      <c r="AE27" s="421"/>
    </row>
    <row r="28" spans="1:32" s="422" customFormat="1" ht="61.5" customHeight="1">
      <c r="A28" s="425" t="s">
        <v>1148</v>
      </c>
      <c r="B28" s="237" t="s">
        <v>1149</v>
      </c>
      <c r="C28" s="426" t="s">
        <v>1130</v>
      </c>
      <c r="D28" s="427">
        <f>4*3</f>
        <v>12</v>
      </c>
      <c r="E28" s="428">
        <f>+'329 429 529'!G9</f>
        <v>1188333</v>
      </c>
      <c r="F28" s="429">
        <f>+'329 429 529'!G15</f>
        <v>24840</v>
      </c>
      <c r="G28" s="429">
        <f>+'329 429 529'!G21</f>
        <v>161992.0582</v>
      </c>
      <c r="H28" s="83">
        <f>+'329 429 529'!G25</f>
        <v>33991</v>
      </c>
      <c r="I28" s="83">
        <f>+'329 429 529'!G27+'329 429 529'!G26</f>
        <v>47262</v>
      </c>
      <c r="J28" s="221"/>
      <c r="K28" s="428"/>
      <c r="L28" s="429"/>
      <c r="M28" s="429"/>
      <c r="N28" s="429"/>
      <c r="O28" s="429"/>
      <c r="P28" s="225"/>
      <c r="Q28" s="421"/>
      <c r="R28" s="421"/>
      <c r="S28" s="421"/>
      <c r="T28" s="421"/>
      <c r="U28" s="421"/>
      <c r="V28" s="421"/>
      <c r="W28" s="421"/>
      <c r="X28" s="421"/>
      <c r="Y28" s="421"/>
      <c r="Z28" s="421"/>
      <c r="AA28" s="421"/>
      <c r="AB28" s="421"/>
      <c r="AC28" s="421"/>
      <c r="AD28" s="421"/>
      <c r="AE28" s="421"/>
    </row>
    <row r="29" spans="1:32" s="422" customFormat="1" ht="50.5" thickBot="1">
      <c r="A29" s="425" t="s">
        <v>1150</v>
      </c>
      <c r="B29" s="237" t="s">
        <v>1151</v>
      </c>
      <c r="C29" s="426" t="s">
        <v>1147</v>
      </c>
      <c r="D29" s="427">
        <f>+'PRES MR 5 KW'!D29*2</f>
        <v>1315.1968000000002</v>
      </c>
      <c r="E29" s="428">
        <f>+'3210 4210 5210'!G11</f>
        <v>13027</v>
      </c>
      <c r="F29" s="429">
        <f>+'3210 4210 5210'!G18</f>
        <v>1962</v>
      </c>
      <c r="G29" s="429">
        <f>+'3210 4210 5210'!G24</f>
        <v>1841.5939248000002</v>
      </c>
      <c r="H29" s="83">
        <f>+'3210 4210 5210'!G28+'3210 4210 5210'!G29</f>
        <v>2907</v>
      </c>
      <c r="I29" s="83">
        <f>+'3210 4210 5210'!G30</f>
        <v>1063</v>
      </c>
      <c r="J29" s="221"/>
      <c r="K29" s="428"/>
      <c r="L29" s="429"/>
      <c r="M29" s="429"/>
      <c r="N29" s="429"/>
      <c r="O29" s="429"/>
      <c r="P29" s="225"/>
      <c r="Q29" s="421"/>
      <c r="R29" s="421"/>
      <c r="S29" s="421"/>
      <c r="T29" s="421"/>
      <c r="U29" s="421"/>
      <c r="V29" s="421"/>
      <c r="W29" s="421"/>
      <c r="X29" s="421"/>
      <c r="Y29" s="421"/>
      <c r="Z29" s="421"/>
      <c r="AA29" s="421"/>
      <c r="AB29" s="421"/>
      <c r="AC29" s="421"/>
      <c r="AD29" s="421"/>
      <c r="AE29" s="421"/>
    </row>
    <row r="30" spans="1:32" s="46" customFormat="1" ht="13.5" thickBot="1">
      <c r="A30" s="248" t="str">
        <f>+'PRES GENERAL MR(OXI)'!A23</f>
        <v>3.3</v>
      </c>
      <c r="B30" s="1646" t="str">
        <f>+'PRES GENERAL MR(OXI)'!B23</f>
        <v>Sistema de control, medición y monitoreo</v>
      </c>
      <c r="C30" s="1647"/>
      <c r="D30" s="1647"/>
      <c r="E30" s="1647"/>
      <c r="F30" s="1647"/>
      <c r="G30" s="1647"/>
      <c r="H30" s="1647"/>
      <c r="I30" s="1647"/>
      <c r="J30" s="1647"/>
      <c r="K30" s="1647"/>
      <c r="L30" s="1647"/>
      <c r="M30" s="1647"/>
      <c r="N30" s="1647"/>
      <c r="O30" s="1647"/>
      <c r="P30" s="1648"/>
      <c r="Q30"/>
      <c r="R30"/>
      <c r="S30"/>
      <c r="T30"/>
      <c r="U30"/>
      <c r="V30"/>
      <c r="W30"/>
      <c r="X30"/>
      <c r="Y30"/>
      <c r="Z30"/>
      <c r="AA30"/>
      <c r="AB30"/>
      <c r="AC30"/>
      <c r="AD30"/>
      <c r="AE30"/>
      <c r="AF30" s="47"/>
    </row>
    <row r="31" spans="1:32" s="46" customFormat="1" ht="25.5" thickBot="1">
      <c r="A31" s="242" t="s">
        <v>1152</v>
      </c>
      <c r="B31" s="992" t="s">
        <v>1153</v>
      </c>
      <c r="C31" s="232" t="s">
        <v>188</v>
      </c>
      <c r="D31" s="233">
        <v>1</v>
      </c>
      <c r="E31" s="215">
        <f>+'331 431 531'!G25</f>
        <v>4811964</v>
      </c>
      <c r="F31" s="216">
        <f>+'331 431 531'!G32</f>
        <v>3105</v>
      </c>
      <c r="G31" s="216">
        <f>+'331 431 531'!G39</f>
        <v>21144.226544000001</v>
      </c>
      <c r="H31" s="216">
        <f>+'331 431 531'!G43</f>
        <v>28925</v>
      </c>
      <c r="I31" s="216">
        <f>+'331 431 531'!G44</f>
        <v>26585</v>
      </c>
      <c r="J31" s="222"/>
      <c r="K31" s="215"/>
      <c r="L31" s="216"/>
      <c r="M31" s="216"/>
      <c r="N31" s="216"/>
      <c r="O31" s="216"/>
      <c r="P31" s="226"/>
      <c r="Q31"/>
      <c r="R31"/>
      <c r="S31"/>
      <c r="T31"/>
      <c r="U31"/>
      <c r="V31"/>
      <c r="W31"/>
      <c r="X31"/>
      <c r="Y31"/>
      <c r="Z31"/>
      <c r="AA31"/>
      <c r="AB31"/>
      <c r="AC31"/>
      <c r="AD31"/>
      <c r="AE31"/>
      <c r="AF31" s="47"/>
    </row>
    <row r="32" spans="1:32" s="46" customFormat="1" ht="13.5" thickBot="1">
      <c r="A32" s="248" t="str">
        <f>+'PRES GENERAL MR(OXI)'!A24</f>
        <v>3.4</v>
      </c>
      <c r="B32" s="1646" t="str">
        <f>+'PRES GENERAL MR(OXI)'!B24</f>
        <v>Acometida, SPT y monitoreo domiciliario</v>
      </c>
      <c r="C32" s="1647"/>
      <c r="D32" s="1647"/>
      <c r="E32" s="1647"/>
      <c r="F32" s="1647"/>
      <c r="G32" s="1647"/>
      <c r="H32" s="1647"/>
      <c r="I32" s="1647"/>
      <c r="J32" s="1647"/>
      <c r="K32" s="1647"/>
      <c r="L32" s="1647"/>
      <c r="M32" s="1647"/>
      <c r="N32" s="1647"/>
      <c r="O32" s="1647"/>
      <c r="P32" s="1648"/>
      <c r="Q32"/>
      <c r="R32"/>
      <c r="S32"/>
      <c r="T32"/>
      <c r="U32"/>
      <c r="V32"/>
      <c r="W32"/>
      <c r="X32"/>
      <c r="Y32"/>
      <c r="Z32"/>
      <c r="AA32"/>
      <c r="AB32"/>
      <c r="AC32"/>
      <c r="AD32"/>
      <c r="AE32"/>
      <c r="AF32" s="47"/>
    </row>
    <row r="33" spans="1:32" s="46" customFormat="1" ht="37.5">
      <c r="A33" s="240" t="s">
        <v>1154</v>
      </c>
      <c r="B33" s="236" t="s">
        <v>1155</v>
      </c>
      <c r="C33" s="228" t="s">
        <v>188</v>
      </c>
      <c r="D33" s="229">
        <v>1</v>
      </c>
      <c r="E33" s="212">
        <f>+'341 441 541'!G18</f>
        <v>305625</v>
      </c>
      <c r="F33" s="213">
        <f>+'341 441 541'!G25</f>
        <v>6210</v>
      </c>
      <c r="G33" s="213">
        <f>+'341 441 541'!G32</f>
        <v>24963.828758400003</v>
      </c>
      <c r="H33" s="213">
        <f>+'341 441 541'!G36</f>
        <v>28925</v>
      </c>
      <c r="I33" s="213">
        <f>+'341 441 541'!G37</f>
        <v>26585</v>
      </c>
      <c r="J33" s="220"/>
      <c r="K33" s="212"/>
      <c r="L33" s="213"/>
      <c r="M33" s="213"/>
      <c r="N33" s="213"/>
      <c r="O33" s="213"/>
      <c r="P33" s="224"/>
      <c r="Q33"/>
      <c r="R33"/>
      <c r="S33"/>
      <c r="T33"/>
      <c r="U33"/>
      <c r="V33"/>
      <c r="W33"/>
      <c r="X33"/>
      <c r="Y33"/>
      <c r="Z33"/>
      <c r="AA33"/>
      <c r="AB33"/>
      <c r="AC33"/>
      <c r="AD33"/>
      <c r="AE33"/>
      <c r="AF33" s="47"/>
    </row>
    <row r="34" spans="1:32" s="46" customFormat="1" ht="38.5" customHeight="1" thickBot="1">
      <c r="A34" s="241" t="s">
        <v>1156</v>
      </c>
      <c r="B34" s="237" t="str">
        <f>+'PRES. SISFV 2010 W B200'!B12</f>
        <v>Sistema de puesta a tierra con una varilla de cobre 5/8" x 2,4m, bajante en cable de cobre desnudo o verde Nº 6, con soldadura exotérmica y tratamiento de suelos, caja de inspección de 30 x 30 cm.</v>
      </c>
      <c r="C34" s="230" t="s">
        <v>188</v>
      </c>
      <c r="D34" s="231">
        <v>1</v>
      </c>
      <c r="E34" s="214">
        <f>+'217'!G14</f>
        <v>529269</v>
      </c>
      <c r="F34" s="83">
        <f>+'217'!G21</f>
        <v>12420</v>
      </c>
      <c r="G34" s="83">
        <f>+'217'!G28</f>
        <v>66325.516755540011</v>
      </c>
      <c r="H34" s="83">
        <f>+'217'!G32</f>
        <v>57850</v>
      </c>
      <c r="I34" s="83">
        <f>+'217'!G33</f>
        <v>53170</v>
      </c>
      <c r="J34" s="221"/>
      <c r="K34" s="214"/>
      <c r="L34" s="83"/>
      <c r="M34" s="83"/>
      <c r="N34" s="83"/>
      <c r="O34" s="83"/>
      <c r="P34" s="225"/>
      <c r="Q34"/>
      <c r="R34"/>
      <c r="S34"/>
      <c r="T34"/>
      <c r="U34"/>
      <c r="V34"/>
      <c r="W34"/>
      <c r="X34"/>
      <c r="Y34"/>
      <c r="Z34"/>
      <c r="AA34"/>
      <c r="AB34"/>
      <c r="AC34"/>
      <c r="AD34"/>
      <c r="AE34"/>
      <c r="AF34" s="47"/>
    </row>
    <row r="35" spans="1:32" s="46" customFormat="1" ht="30" customHeight="1" thickBot="1">
      <c r="A35" s="248" t="str">
        <f>+'PRES GENERAL MR(OXI)'!A25</f>
        <v>3.5</v>
      </c>
      <c r="B35" s="1646" t="str">
        <f>+'PRES GENERAL MR(OXI)'!B25</f>
        <v>Red de distribución</v>
      </c>
      <c r="C35" s="1647"/>
      <c r="D35" s="1647"/>
      <c r="E35" s="1647"/>
      <c r="F35" s="1647"/>
      <c r="G35" s="1647"/>
      <c r="H35" s="1647"/>
      <c r="I35" s="1647"/>
      <c r="J35" s="1647"/>
      <c r="K35" s="1647"/>
      <c r="L35" s="1647"/>
      <c r="M35" s="1647"/>
      <c r="N35" s="1647"/>
      <c r="O35" s="1647"/>
      <c r="P35" s="1648"/>
      <c r="Q35"/>
      <c r="R35"/>
      <c r="S35"/>
      <c r="T35"/>
      <c r="U35"/>
      <c r="V35"/>
      <c r="W35"/>
      <c r="X35"/>
      <c r="Y35"/>
      <c r="Z35"/>
      <c r="AA35"/>
      <c r="AB35"/>
      <c r="AC35"/>
      <c r="AD35"/>
      <c r="AE35"/>
      <c r="AF35" s="47"/>
    </row>
    <row r="36" spans="1:32" s="46" customFormat="1" ht="13">
      <c r="A36" s="240" t="s">
        <v>1158</v>
      </c>
      <c r="B36" s="236" t="s">
        <v>586</v>
      </c>
      <c r="C36" s="337" t="s">
        <v>1159</v>
      </c>
      <c r="D36" s="339">
        <f>+'INT. REDES'!E48</f>
        <v>26.4</v>
      </c>
      <c r="E36" s="212">
        <f>+'323 423 523'!G9</f>
        <v>0</v>
      </c>
      <c r="F36" s="213">
        <f>+'323 423 523'!G16</f>
        <v>311</v>
      </c>
      <c r="G36" s="213">
        <f>+'323 423 523'!G23</f>
        <v>0</v>
      </c>
      <c r="H36" s="213">
        <v>0</v>
      </c>
      <c r="I36" s="213">
        <f>+'323 423 523'!G27</f>
        <v>53170</v>
      </c>
      <c r="J36" s="220"/>
      <c r="K36" s="212"/>
      <c r="L36" s="213"/>
      <c r="M36" s="213"/>
      <c r="N36" s="213"/>
      <c r="O36" s="213"/>
      <c r="P36" s="224"/>
      <c r="Q36" s="47"/>
      <c r="R36" s="47"/>
      <c r="S36" s="47"/>
      <c r="T36" s="47"/>
      <c r="U36" s="47"/>
      <c r="V36" s="47"/>
      <c r="W36" s="47"/>
      <c r="X36" s="47"/>
      <c r="Y36" s="47"/>
      <c r="Z36" s="47"/>
      <c r="AA36" s="47"/>
      <c r="AB36" s="47"/>
      <c r="AC36" s="47"/>
      <c r="AD36" s="47"/>
      <c r="AE36" s="47"/>
      <c r="AF36" s="47"/>
    </row>
    <row r="37" spans="1:32" s="46" customFormat="1" ht="29.5" customHeight="1" thickBot="1">
      <c r="A37" s="241" t="s">
        <v>1160</v>
      </c>
      <c r="B37" s="237" t="s">
        <v>587</v>
      </c>
      <c r="C37" s="338" t="s">
        <v>1130</v>
      </c>
      <c r="D37" s="988">
        <f>+'INT. REDES'!E49</f>
        <v>176</v>
      </c>
      <c r="E37" s="214">
        <f>+'352 452 552'!G10</f>
        <v>8214</v>
      </c>
      <c r="F37" s="83">
        <f>+'352 452 552'!G17</f>
        <v>166</v>
      </c>
      <c r="G37" s="83">
        <f>+'352 452 552'!G24</f>
        <v>750.27900640000007</v>
      </c>
      <c r="H37" s="83">
        <f>+'352 452 552'!G28</f>
        <v>1020</v>
      </c>
      <c r="I37" s="83">
        <f>+'352 452 552'!G29</f>
        <v>709</v>
      </c>
      <c r="J37" s="221"/>
      <c r="K37" s="214"/>
      <c r="L37" s="83"/>
      <c r="M37" s="83"/>
      <c r="N37" s="83"/>
      <c r="O37" s="83"/>
      <c r="P37" s="225"/>
      <c r="Q37" s="47"/>
      <c r="R37" s="47"/>
      <c r="S37" s="47"/>
      <c r="T37" s="47"/>
      <c r="U37" s="47"/>
      <c r="V37" s="47"/>
      <c r="W37" s="47"/>
      <c r="X37" s="47"/>
      <c r="Y37" s="47"/>
      <c r="Z37" s="47"/>
      <c r="AA37" s="47"/>
      <c r="AB37" s="47"/>
      <c r="AC37" s="47"/>
      <c r="AD37" s="47"/>
      <c r="AE37" s="47"/>
      <c r="AF37" s="47"/>
    </row>
    <row r="38" spans="1:32" s="46" customFormat="1" ht="13">
      <c r="A38" s="240" t="s">
        <v>1161</v>
      </c>
      <c r="B38" s="237" t="s">
        <v>588</v>
      </c>
      <c r="C38" s="338" t="s">
        <v>1159</v>
      </c>
      <c r="D38" s="988">
        <f>+'INT. REDES'!E50</f>
        <v>8.8000000000000007</v>
      </c>
      <c r="E38" s="214">
        <f>+'353 453 553'!G10</f>
        <v>97726</v>
      </c>
      <c r="F38" s="83">
        <f>+'353 453 553'!G17</f>
        <v>6690</v>
      </c>
      <c r="G38" s="83">
        <f>+'353 453 553'!G23</f>
        <v>80000</v>
      </c>
      <c r="H38" s="83">
        <f>+'353 453 553'!G27</f>
        <v>10197</v>
      </c>
      <c r="I38" s="83">
        <f>+'353 453 553'!G28</f>
        <v>7089</v>
      </c>
      <c r="J38" s="221"/>
      <c r="K38" s="214"/>
      <c r="L38" s="83"/>
      <c r="M38" s="83"/>
      <c r="N38" s="83"/>
      <c r="O38" s="83"/>
      <c r="P38" s="225"/>
      <c r="Q38" s="47"/>
      <c r="R38" s="47"/>
      <c r="S38" s="47"/>
      <c r="T38" s="47"/>
      <c r="U38" s="47"/>
      <c r="V38" s="47"/>
      <c r="W38" s="47"/>
      <c r="X38" s="47"/>
      <c r="Y38" s="47"/>
      <c r="Z38" s="47"/>
      <c r="AA38" s="47"/>
      <c r="AB38" s="47"/>
      <c r="AC38" s="47"/>
      <c r="AD38" s="47"/>
      <c r="AE38" s="47"/>
      <c r="AF38" s="47"/>
    </row>
    <row r="39" spans="1:32" s="46" customFormat="1" ht="50.5" thickBot="1">
      <c r="A39" s="241" t="s">
        <v>1162</v>
      </c>
      <c r="B39" s="237" t="s">
        <v>1208</v>
      </c>
      <c r="C39" s="230" t="s">
        <v>1164</v>
      </c>
      <c r="D39" s="988">
        <f>+'INT. REDES'!E51</f>
        <v>110</v>
      </c>
      <c r="E39" s="214">
        <f>+'354 454 554'!G16</f>
        <v>66206</v>
      </c>
      <c r="F39" s="83">
        <f>+'354 454 554'!G23</f>
        <v>2070</v>
      </c>
      <c r="G39" s="83">
        <f>+'354 454 554'!G29</f>
        <v>3255.1512000000002</v>
      </c>
      <c r="H39" s="83">
        <f>+'354 454 554'!G33</f>
        <v>9642</v>
      </c>
      <c r="I39" s="83">
        <f>+'354 454 554'!G34</f>
        <v>8862</v>
      </c>
      <c r="J39" s="221"/>
      <c r="K39" s="214"/>
      <c r="L39" s="83"/>
      <c r="M39" s="83"/>
      <c r="N39" s="83"/>
      <c r="O39" s="83"/>
      <c r="P39" s="225"/>
      <c r="Q39" s="47"/>
      <c r="R39" s="47"/>
      <c r="S39" s="47"/>
      <c r="T39" s="47"/>
      <c r="U39" s="47"/>
      <c r="V39" s="47"/>
      <c r="W39" s="47"/>
      <c r="X39" s="47"/>
      <c r="Y39" s="47"/>
      <c r="Z39" s="47"/>
      <c r="AA39" s="47"/>
      <c r="AB39" s="47"/>
      <c r="AC39" s="47"/>
      <c r="AD39" s="47"/>
      <c r="AE39" s="47"/>
      <c r="AF39" s="47"/>
    </row>
    <row r="40" spans="1:32" s="46" customFormat="1">
      <c r="A40" s="240" t="s">
        <v>1165</v>
      </c>
      <c r="B40" s="237" t="s">
        <v>361</v>
      </c>
      <c r="C40" s="230" t="s">
        <v>1135</v>
      </c>
      <c r="D40" s="988">
        <f>+'INT. REDES'!E52</f>
        <v>17.600000000000001</v>
      </c>
      <c r="E40" s="214">
        <f>+'324 424 524'!G10</f>
        <v>83045</v>
      </c>
      <c r="F40" s="83">
        <f>+'324 424 524'!G17</f>
        <v>12900</v>
      </c>
      <c r="G40" s="83">
        <f>+'324 424 524'!G24</f>
        <v>96504.629629629635</v>
      </c>
      <c r="H40" s="83">
        <v>0</v>
      </c>
      <c r="I40" s="83">
        <f>+'324 424 524'!G28</f>
        <v>26585</v>
      </c>
      <c r="J40" s="221"/>
      <c r="K40" s="214"/>
      <c r="L40" s="83"/>
      <c r="M40" s="83"/>
      <c r="N40" s="83"/>
      <c r="O40" s="83"/>
      <c r="P40" s="225"/>
      <c r="Q40" s="47"/>
      <c r="R40" s="47"/>
      <c r="S40" s="47"/>
      <c r="T40" s="47"/>
      <c r="U40" s="47"/>
      <c r="V40" s="47"/>
      <c r="W40" s="47"/>
      <c r="X40" s="47"/>
      <c r="Y40" s="47"/>
      <c r="Z40" s="47"/>
      <c r="AA40" s="47"/>
      <c r="AB40" s="47"/>
      <c r="AC40" s="47"/>
      <c r="AD40" s="47"/>
      <c r="AE40" s="47"/>
      <c r="AF40" s="47"/>
    </row>
    <row r="41" spans="1:32" s="46" customFormat="1">
      <c r="A41" s="241" t="s">
        <v>1166</v>
      </c>
      <c r="B41" s="237" t="s">
        <v>1167</v>
      </c>
      <c r="C41" s="230" t="s">
        <v>188</v>
      </c>
      <c r="D41" s="988">
        <f>+'INT. REDES'!E53</f>
        <v>3</v>
      </c>
      <c r="E41" s="214">
        <f>+'356 456 556'!G12</f>
        <v>2071245</v>
      </c>
      <c r="F41" s="83">
        <f>+'356 456 556'!G19</f>
        <v>8346</v>
      </c>
      <c r="G41" s="83">
        <f>+'356 456 556'!G25</f>
        <v>228898.32</v>
      </c>
      <c r="H41" s="83">
        <f>+'356 456 556'!G29</f>
        <v>7713</v>
      </c>
      <c r="I41" s="83">
        <f>+'356 456 556'!G30</f>
        <v>7089</v>
      </c>
      <c r="J41" s="221"/>
      <c r="K41" s="214"/>
      <c r="L41" s="83"/>
      <c r="M41" s="83"/>
      <c r="N41" s="83"/>
      <c r="O41" s="83"/>
      <c r="P41" s="225"/>
      <c r="Q41" s="47"/>
      <c r="R41" s="47"/>
      <c r="S41" s="47"/>
      <c r="T41" s="47"/>
      <c r="U41" s="47"/>
      <c r="V41" s="47"/>
      <c r="W41" s="47"/>
      <c r="X41" s="47"/>
      <c r="Y41" s="47"/>
      <c r="Z41" s="47"/>
      <c r="AA41" s="47"/>
      <c r="AB41" s="47"/>
      <c r="AC41" s="47"/>
      <c r="AD41" s="47"/>
      <c r="AE41" s="47"/>
      <c r="AF41" s="47"/>
    </row>
    <row r="42" spans="1:32" s="46" customFormat="1" ht="18" customHeight="1">
      <c r="A42" s="1649" t="s">
        <v>1048</v>
      </c>
      <c r="B42" s="1641"/>
      <c r="C42" s="1641"/>
      <c r="D42" s="1641"/>
      <c r="E42" s="1641"/>
      <c r="F42" s="1641"/>
      <c r="G42" s="1641"/>
      <c r="H42" s="1641"/>
      <c r="I42" s="1641"/>
      <c r="J42" s="1642"/>
      <c r="K42" s="219">
        <f t="shared" ref="K42:O42" si="0">ROUND(SUM(K6:K41),0)</f>
        <v>0</v>
      </c>
      <c r="L42" s="219">
        <f t="shared" si="0"/>
        <v>0</v>
      </c>
      <c r="M42" s="219">
        <f t="shared" si="0"/>
        <v>0</v>
      </c>
      <c r="N42" s="219">
        <f t="shared" si="0"/>
        <v>0</v>
      </c>
      <c r="O42" s="219">
        <f t="shared" si="0"/>
        <v>0</v>
      </c>
      <c r="P42" s="219"/>
      <c r="Q42" s="47"/>
      <c r="R42" s="47"/>
      <c r="S42" s="47"/>
      <c r="T42" s="47"/>
      <c r="U42" s="47"/>
      <c r="V42" s="47"/>
      <c r="W42" s="47"/>
      <c r="X42" s="47"/>
      <c r="Y42" s="47"/>
      <c r="Z42" s="47"/>
      <c r="AA42" s="47"/>
      <c r="AB42" s="47"/>
      <c r="AC42" s="47"/>
      <c r="AD42" s="47"/>
      <c r="AE42" s="47"/>
      <c r="AF42" s="47"/>
    </row>
    <row r="43" spans="1:32">
      <c r="P43" s="3"/>
    </row>
    <row r="44" spans="1:32">
      <c r="B44" s="441"/>
      <c r="L44" s="60"/>
    </row>
    <row r="45" spans="1:32">
      <c r="A45" s="441"/>
      <c r="B45" s="441"/>
      <c r="L45" s="34"/>
      <c r="P45" s="334"/>
    </row>
    <row r="46" spans="1:32" ht="14">
      <c r="A46" s="442"/>
      <c r="B46" s="840"/>
      <c r="I46" s="34"/>
      <c r="L46" s="55"/>
    </row>
    <row r="47" spans="1:32" ht="15.5">
      <c r="B47" s="1027"/>
      <c r="I47" s="34"/>
      <c r="K47" s="56"/>
      <c r="L47" s="55"/>
    </row>
    <row r="48" spans="1:32">
      <c r="I48" s="34"/>
      <c r="K48" s="56"/>
      <c r="L48" s="55"/>
      <c r="P48" s="3"/>
    </row>
    <row r="49" spans="2:16">
      <c r="K49" s="56"/>
      <c r="P49" s="55"/>
    </row>
    <row r="50" spans="2:16">
      <c r="B50" s="60"/>
      <c r="K50" s="56"/>
    </row>
    <row r="52" spans="2:16">
      <c r="K52" s="56"/>
    </row>
    <row r="53" spans="2:16">
      <c r="B53" s="60"/>
      <c r="K53" s="56"/>
    </row>
    <row r="54" spans="2:16">
      <c r="K54" s="56"/>
    </row>
    <row r="56" spans="2:16">
      <c r="B56" s="60"/>
    </row>
    <row r="57" spans="2:16">
      <c r="J57" s="56"/>
    </row>
    <row r="59" spans="2:16">
      <c r="J59" s="56"/>
    </row>
  </sheetData>
  <mergeCells count="13">
    <mergeCell ref="A1:P1"/>
    <mergeCell ref="A42:J42"/>
    <mergeCell ref="A2:P2"/>
    <mergeCell ref="A3:A4"/>
    <mergeCell ref="B3:B4"/>
    <mergeCell ref="C3:C4"/>
    <mergeCell ref="D3:D4"/>
    <mergeCell ref="E3:J3"/>
    <mergeCell ref="K3:P3"/>
    <mergeCell ref="B19:P19"/>
    <mergeCell ref="B30:P30"/>
    <mergeCell ref="B32:P32"/>
    <mergeCell ref="B35:P35"/>
  </mergeCells>
  <phoneticPr fontId="67" type="noConversion"/>
  <printOptions horizontalCentered="1"/>
  <pageMargins left="0.39370078740157483" right="0.39370078740157483" top="0.39370078740157483" bottom="0.39370078740157483" header="0" footer="0"/>
  <pageSetup scale="5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F59"/>
  <sheetViews>
    <sheetView view="pageBreakPreview" topLeftCell="A2" zoomScale="70" zoomScaleNormal="70" zoomScaleSheetLayoutView="70" workbookViewId="0">
      <selection sqref="A1:XFD1"/>
    </sheetView>
  </sheetViews>
  <sheetFormatPr baseColWidth="10" defaultColWidth="11.453125" defaultRowHeight="12.5"/>
  <cols>
    <col min="1" max="1" width="6.453125" customWidth="1"/>
    <col min="2" max="2" width="61.81640625" customWidth="1"/>
    <col min="3" max="3" width="8.453125" customWidth="1"/>
    <col min="4" max="4" width="11" customWidth="1"/>
    <col min="5" max="5" width="17.453125" hidden="1" customWidth="1"/>
    <col min="6" max="9" width="15.54296875" hidden="1" customWidth="1"/>
    <col min="10" max="10" width="18.453125" customWidth="1"/>
    <col min="11" max="11" width="23.453125" hidden="1" customWidth="1"/>
    <col min="12" max="12" width="19" hidden="1" customWidth="1"/>
    <col min="13" max="14" width="19.81640625" hidden="1" customWidth="1"/>
    <col min="15" max="15" width="20" hidden="1" customWidth="1"/>
    <col min="16" max="16" width="23" bestFit="1" customWidth="1"/>
    <col min="18" max="18" width="15.54296875" bestFit="1" customWidth="1"/>
  </cols>
  <sheetData>
    <row r="1" spans="1:31" ht="13" hidden="1">
      <c r="A1" s="1654" t="str">
        <f>+'PRES GENERAL MR(OXI)'!A1</f>
        <v>IMPLEMENTACIÓN DE SOLUCIONES ENERGÉTICAS CON FUENTES NO CONVENCIONALES DE ENERGÍA PARA USUARIOS EN ZONAS RURALES DEL MUNICIPIO DE TEORAMA EN EL DEPARTAMENTO DE NORTE DE SANTANDER</v>
      </c>
      <c r="B1" s="1654"/>
      <c r="C1" s="1654"/>
      <c r="D1" s="1654"/>
      <c r="E1" s="1654"/>
      <c r="F1" s="1654"/>
      <c r="G1" s="1654"/>
      <c r="H1" s="1654"/>
      <c r="I1" s="1654"/>
      <c r="J1" s="1654"/>
      <c r="K1" s="1654"/>
      <c r="L1" s="1654"/>
      <c r="M1" s="1654"/>
      <c r="N1" s="1654"/>
      <c r="O1" s="1654"/>
      <c r="P1" s="1654"/>
    </row>
    <row r="2" spans="1:31" s="45" customFormat="1" ht="13.5" thickBot="1">
      <c r="A2" s="1655" t="s">
        <v>1211</v>
      </c>
      <c r="B2" s="1656"/>
      <c r="C2" s="1656"/>
      <c r="D2" s="1656"/>
      <c r="E2" s="1657"/>
      <c r="F2" s="1657"/>
      <c r="G2" s="1657"/>
      <c r="H2" s="1657"/>
      <c r="I2" s="1657"/>
      <c r="J2" s="1657"/>
      <c r="K2" s="1657"/>
      <c r="L2" s="1657"/>
      <c r="M2" s="1657"/>
      <c r="N2" s="1657"/>
      <c r="O2" s="1657"/>
      <c r="P2" s="1658"/>
    </row>
    <row r="3" spans="1:31" s="2" customFormat="1" ht="27" customHeight="1">
      <c r="A3" s="1650" t="s">
        <v>584</v>
      </c>
      <c r="B3" s="1650" t="s">
        <v>1008</v>
      </c>
      <c r="C3" s="1650" t="s">
        <v>259</v>
      </c>
      <c r="D3" s="1652" t="s">
        <v>688</v>
      </c>
      <c r="E3" s="1378" t="s">
        <v>1009</v>
      </c>
      <c r="F3" s="1379"/>
      <c r="G3" s="1379"/>
      <c r="H3" s="1379"/>
      <c r="I3" s="1379"/>
      <c r="J3" s="1380"/>
      <c r="K3" s="1378" t="s">
        <v>1010</v>
      </c>
      <c r="L3" s="1379"/>
      <c r="M3" s="1379"/>
      <c r="N3" s="1379"/>
      <c r="O3" s="1379"/>
      <c r="P3" s="1380"/>
      <c r="Q3" s="82"/>
      <c r="R3" s="82"/>
      <c r="S3" s="82"/>
      <c r="T3" s="82"/>
      <c r="U3" s="82"/>
      <c r="V3" s="82"/>
      <c r="W3" s="82"/>
      <c r="X3" s="82"/>
      <c r="Y3" s="82"/>
      <c r="Z3" s="82"/>
      <c r="AA3" s="82"/>
      <c r="AB3" s="82"/>
      <c r="AC3" s="82"/>
      <c r="AD3" s="82"/>
      <c r="AE3" s="82"/>
    </row>
    <row r="4" spans="1:31" s="2" customFormat="1" ht="36" customHeight="1" thickBot="1">
      <c r="A4" s="1651"/>
      <c r="B4" s="1651"/>
      <c r="C4" s="1651"/>
      <c r="D4" s="1653"/>
      <c r="E4" s="243" t="s">
        <v>749</v>
      </c>
      <c r="F4" s="210" t="s">
        <v>1011</v>
      </c>
      <c r="G4" s="210" t="s">
        <v>1012</v>
      </c>
      <c r="H4" s="210" t="s">
        <v>1013</v>
      </c>
      <c r="I4" s="210" t="s">
        <v>1014</v>
      </c>
      <c r="J4" s="244" t="s">
        <v>1015</v>
      </c>
      <c r="K4" s="245" t="s">
        <v>749</v>
      </c>
      <c r="L4" s="246" t="s">
        <v>1011</v>
      </c>
      <c r="M4" s="246" t="s">
        <v>1012</v>
      </c>
      <c r="N4" s="210" t="s">
        <v>1013</v>
      </c>
      <c r="O4" s="210" t="s">
        <v>1014</v>
      </c>
      <c r="P4" s="247" t="s">
        <v>1016</v>
      </c>
      <c r="Q4" s="82"/>
      <c r="R4" s="82"/>
      <c r="S4" s="82"/>
      <c r="T4" s="82"/>
      <c r="U4" s="82"/>
      <c r="V4" s="82"/>
      <c r="W4" s="82"/>
      <c r="X4" s="82"/>
      <c r="Y4" s="82"/>
      <c r="Z4" s="82"/>
      <c r="AA4" s="82"/>
      <c r="AB4" s="82"/>
      <c r="AC4" s="82"/>
      <c r="AD4" s="82"/>
      <c r="AE4" s="82"/>
    </row>
    <row r="5" spans="1:31" s="46" customFormat="1" ht="13.5" thickBot="1">
      <c r="A5" s="248" t="str">
        <f>+'PRES GENERAL MR(OXI)'!A29</f>
        <v>4.1</v>
      </c>
      <c r="B5" s="718" t="str">
        <f>+'PRES GENERAL MR(OXI)'!B29</f>
        <v>Sistema de generación de 32160 Wp</v>
      </c>
      <c r="C5" s="719"/>
      <c r="D5" s="719"/>
      <c r="E5" s="719"/>
      <c r="F5" s="719"/>
      <c r="G5" s="719"/>
      <c r="H5" s="719"/>
      <c r="I5" s="719"/>
      <c r="J5" s="719"/>
      <c r="K5" s="719"/>
      <c r="L5" s="719"/>
      <c r="M5" s="719"/>
      <c r="N5" s="719"/>
      <c r="O5" s="719"/>
      <c r="P5" s="720"/>
      <c r="Q5" s="47"/>
      <c r="R5" s="47"/>
      <c r="S5" s="47"/>
      <c r="T5" s="47"/>
      <c r="U5" s="47"/>
      <c r="V5" s="47"/>
      <c r="W5" s="47"/>
      <c r="X5" s="47"/>
      <c r="Y5" s="47"/>
      <c r="Z5" s="47"/>
      <c r="AA5" s="47"/>
      <c r="AB5" s="47"/>
      <c r="AC5" s="47"/>
      <c r="AD5" s="47"/>
      <c r="AE5" s="47"/>
    </row>
    <row r="6" spans="1:31" s="46" customFormat="1" ht="87.5">
      <c r="A6" s="241" t="s">
        <v>1169</v>
      </c>
      <c r="B6" s="237" t="s">
        <v>1102</v>
      </c>
      <c r="C6" s="230" t="s">
        <v>188</v>
      </c>
      <c r="D6" s="231">
        <v>48</v>
      </c>
      <c r="E6" s="214">
        <f>+'311 411 511'!G11</f>
        <v>900921</v>
      </c>
      <c r="F6" s="83">
        <f>+'311 411 511'!G18</f>
        <v>4140</v>
      </c>
      <c r="G6" s="83">
        <f>+'311 411 511'!G25</f>
        <v>66153.880201748645</v>
      </c>
      <c r="H6" s="83">
        <f>+'311 411 511'!G29</f>
        <v>19283</v>
      </c>
      <c r="I6" s="83">
        <f>+'311 411 511'!G30</f>
        <v>17723</v>
      </c>
      <c r="J6" s="221"/>
      <c r="K6" s="214"/>
      <c r="L6" s="83"/>
      <c r="M6" s="83"/>
      <c r="N6" s="83"/>
      <c r="O6" s="83"/>
      <c r="P6" s="225"/>
      <c r="Q6" s="47"/>
      <c r="R6" s="47"/>
      <c r="S6" s="47"/>
      <c r="T6" s="47"/>
      <c r="U6" s="47"/>
      <c r="V6" s="47"/>
      <c r="W6" s="47"/>
      <c r="X6" s="47"/>
      <c r="Y6" s="47"/>
      <c r="Z6" s="47"/>
      <c r="AA6" s="47"/>
      <c r="AB6" s="47"/>
      <c r="AC6" s="47"/>
      <c r="AD6" s="47"/>
      <c r="AE6" s="47"/>
    </row>
    <row r="7" spans="1:31" s="46" customFormat="1" ht="70.5" customHeight="1">
      <c r="A7" s="241" t="s">
        <v>1170</v>
      </c>
      <c r="B7" s="237" t="s">
        <v>1212</v>
      </c>
      <c r="C7" s="230" t="s">
        <v>188</v>
      </c>
      <c r="D7" s="231">
        <v>1</v>
      </c>
      <c r="E7" s="214">
        <f>+'512'!G14</f>
        <v>1697526</v>
      </c>
      <c r="F7" s="83">
        <f>+'512'!G21</f>
        <v>4140</v>
      </c>
      <c r="G7" s="83">
        <f>+'512'!G28</f>
        <v>31482.934837827204</v>
      </c>
      <c r="H7" s="83">
        <f>+'512'!G32</f>
        <v>19283</v>
      </c>
      <c r="I7" s="83">
        <f>+'512'!G33</f>
        <v>17723</v>
      </c>
      <c r="J7" s="221"/>
      <c r="K7" s="214"/>
      <c r="L7" s="83"/>
      <c r="M7" s="83"/>
      <c r="N7" s="83"/>
      <c r="O7" s="83"/>
      <c r="P7" s="225"/>
      <c r="Q7"/>
      <c r="R7"/>
      <c r="S7"/>
      <c r="T7"/>
      <c r="U7"/>
      <c r="V7"/>
      <c r="W7"/>
      <c r="X7"/>
      <c r="Y7"/>
      <c r="Z7"/>
      <c r="AA7"/>
      <c r="AB7"/>
      <c r="AC7"/>
      <c r="AD7"/>
      <c r="AE7"/>
    </row>
    <row r="8" spans="1:31" s="46" customFormat="1" ht="49.4" customHeight="1">
      <c r="A8" s="241" t="s">
        <v>1172</v>
      </c>
      <c r="B8" s="237" t="s">
        <v>1213</v>
      </c>
      <c r="C8" s="230" t="s">
        <v>188</v>
      </c>
      <c r="D8" s="231">
        <v>1</v>
      </c>
      <c r="E8" s="214">
        <f>+'513'!G21</f>
        <v>5009705</v>
      </c>
      <c r="F8" s="83">
        <f>+'513'!G28</f>
        <v>12420</v>
      </c>
      <c r="G8" s="83">
        <f>+'513'!G35</f>
        <v>48749.378440839995</v>
      </c>
      <c r="H8" s="83">
        <f>+'513'!G39</f>
        <v>57850</v>
      </c>
      <c r="I8" s="83">
        <f>+'513'!G40</f>
        <v>53170</v>
      </c>
      <c r="J8" s="221"/>
      <c r="K8" s="214"/>
      <c r="L8" s="83"/>
      <c r="M8" s="83"/>
      <c r="N8" s="83"/>
      <c r="O8" s="83"/>
      <c r="P8" s="225"/>
      <c r="Q8"/>
      <c r="R8"/>
      <c r="S8"/>
      <c r="T8"/>
      <c r="U8"/>
      <c r="V8"/>
      <c r="W8"/>
      <c r="X8"/>
      <c r="Y8"/>
      <c r="Z8"/>
      <c r="AA8"/>
      <c r="AB8"/>
      <c r="AC8"/>
      <c r="AD8"/>
      <c r="AE8"/>
    </row>
    <row r="9" spans="1:31" s="46" customFormat="1" ht="75">
      <c r="A9" s="241" t="s">
        <v>1174</v>
      </c>
      <c r="B9" s="237" t="s">
        <v>1108</v>
      </c>
      <c r="C9" s="230" t="s">
        <v>188</v>
      </c>
      <c r="D9" s="231">
        <v>3</v>
      </c>
      <c r="E9" s="214">
        <f>+'314 414 514'!G16</f>
        <v>4264138</v>
      </c>
      <c r="F9" s="83">
        <f>+'314 414 514'!G23</f>
        <v>4968</v>
      </c>
      <c r="G9" s="83">
        <f>+'314 414 514'!G30</f>
        <v>10123.054234874</v>
      </c>
      <c r="H9" s="83">
        <f>+'314 414 514'!G34</f>
        <v>23140</v>
      </c>
      <c r="I9" s="83">
        <f>+'314 414 514'!G35</f>
        <v>21268</v>
      </c>
      <c r="J9" s="221"/>
      <c r="K9" s="214"/>
      <c r="L9" s="83"/>
      <c r="M9" s="83"/>
      <c r="N9" s="83"/>
      <c r="O9" s="83"/>
      <c r="P9" s="225"/>
      <c r="Q9"/>
      <c r="R9"/>
      <c r="S9"/>
      <c r="T9"/>
      <c r="U9"/>
      <c r="V9"/>
      <c r="W9"/>
      <c r="X9"/>
      <c r="Y9"/>
      <c r="Z9"/>
      <c r="AA9"/>
      <c r="AB9"/>
      <c r="AC9"/>
      <c r="AD9"/>
      <c r="AE9"/>
    </row>
    <row r="10" spans="1:31" s="46" customFormat="1" ht="50">
      <c r="A10" s="241" t="s">
        <v>1175</v>
      </c>
      <c r="B10" s="237" t="s">
        <v>1214</v>
      </c>
      <c r="C10" s="230" t="s">
        <v>188</v>
      </c>
      <c r="D10" s="231">
        <v>1</v>
      </c>
      <c r="E10" s="214">
        <f>+'515'!G21</f>
        <v>14462641</v>
      </c>
      <c r="F10" s="83">
        <f>+'515'!G28</f>
        <v>24840</v>
      </c>
      <c r="G10" s="83">
        <f>+'515'!G35</f>
        <v>96198.187443215473</v>
      </c>
      <c r="H10" s="83">
        <f>+'515'!G39</f>
        <v>115699</v>
      </c>
      <c r="I10" s="83">
        <f>+'515'!G40</f>
        <v>106341</v>
      </c>
      <c r="J10" s="221"/>
      <c r="K10" s="214"/>
      <c r="L10" s="83"/>
      <c r="M10" s="83"/>
      <c r="N10" s="83"/>
      <c r="O10" s="83"/>
      <c r="P10" s="225"/>
      <c r="Q10"/>
      <c r="R10"/>
      <c r="S10"/>
      <c r="T10"/>
      <c r="U10"/>
      <c r="V10"/>
      <c r="W10"/>
      <c r="X10"/>
      <c r="Y10"/>
      <c r="Z10"/>
      <c r="AA10"/>
      <c r="AB10"/>
      <c r="AC10"/>
      <c r="AD10"/>
      <c r="AE10"/>
    </row>
    <row r="11" spans="1:31" s="46" customFormat="1" ht="87.5">
      <c r="A11" s="241" t="s">
        <v>1177</v>
      </c>
      <c r="B11" s="781" t="s">
        <v>1215</v>
      </c>
      <c r="C11" s="230" t="s">
        <v>188</v>
      </c>
      <c r="D11" s="231">
        <v>1</v>
      </c>
      <c r="E11" s="214">
        <f>+'516'!G15</f>
        <v>134218105</v>
      </c>
      <c r="F11" s="83">
        <f>+'516'!G22</f>
        <v>24840</v>
      </c>
      <c r="G11" s="83">
        <f>+'516'!G29</f>
        <v>1256278.4225012562</v>
      </c>
      <c r="H11" s="83">
        <f>+'516'!G33</f>
        <v>115699</v>
      </c>
      <c r="I11" s="83">
        <f>+'516'!G34</f>
        <v>106341</v>
      </c>
      <c r="J11" s="221"/>
      <c r="K11" s="214"/>
      <c r="L11" s="83"/>
      <c r="M11" s="83"/>
      <c r="N11" s="83"/>
      <c r="O11" s="83"/>
      <c r="P11" s="225"/>
      <c r="Q11"/>
      <c r="R11"/>
      <c r="S11"/>
      <c r="T11"/>
      <c r="U11"/>
      <c r="V11"/>
      <c r="W11"/>
      <c r="X11"/>
      <c r="Y11"/>
      <c r="Z11"/>
      <c r="AA11"/>
      <c r="AB11"/>
      <c r="AC11"/>
      <c r="AD11"/>
      <c r="AE11"/>
    </row>
    <row r="12" spans="1:31" s="46" customFormat="1" ht="37.5">
      <c r="A12" s="241" t="s">
        <v>1179</v>
      </c>
      <c r="B12" s="237" t="s">
        <v>1114</v>
      </c>
      <c r="C12" s="230" t="s">
        <v>188</v>
      </c>
      <c r="D12" s="231">
        <v>3</v>
      </c>
      <c r="E12" s="214">
        <f>+'317 417 517'!G13</f>
        <v>11635457</v>
      </c>
      <c r="F12" s="83">
        <f>+'317 417 517'!G20</f>
        <v>12420</v>
      </c>
      <c r="G12" s="83">
        <f>+'317 417 517'!G27</f>
        <v>52314.295036158393</v>
      </c>
      <c r="H12" s="83">
        <f>+'317 417 517'!G31</f>
        <v>57850</v>
      </c>
      <c r="I12" s="83">
        <f>+'317 417 517'!G32</f>
        <v>53170</v>
      </c>
      <c r="J12" s="221"/>
      <c r="K12" s="214"/>
      <c r="L12" s="83"/>
      <c r="M12" s="83"/>
      <c r="N12" s="83"/>
      <c r="O12" s="83"/>
      <c r="P12" s="225"/>
      <c r="Q12"/>
      <c r="R12"/>
      <c r="S12"/>
      <c r="T12"/>
      <c r="U12"/>
      <c r="V12"/>
      <c r="W12"/>
      <c r="X12"/>
      <c r="Y12"/>
      <c r="Z12"/>
      <c r="AA12"/>
      <c r="AB12"/>
      <c r="AC12"/>
      <c r="AD12"/>
      <c r="AE12"/>
    </row>
    <row r="13" spans="1:31" s="46" customFormat="1" ht="50">
      <c r="A13" s="241" t="s">
        <v>1180</v>
      </c>
      <c r="B13" s="237" t="s">
        <v>1216</v>
      </c>
      <c r="C13" s="230" t="s">
        <v>188</v>
      </c>
      <c r="D13" s="231">
        <v>1</v>
      </c>
      <c r="E13" s="214">
        <f>+'518'!G18</f>
        <v>2078789</v>
      </c>
      <c r="F13" s="83">
        <f>+'518'!G25</f>
        <v>8280</v>
      </c>
      <c r="G13" s="83">
        <f>+'518'!G32</f>
        <v>34644.815192344002</v>
      </c>
      <c r="H13" s="83">
        <f>+'518'!G36</f>
        <v>38566</v>
      </c>
      <c r="I13" s="83">
        <f>+'518'!G37</f>
        <v>35447</v>
      </c>
      <c r="J13" s="221"/>
      <c r="K13" s="214"/>
      <c r="L13" s="83"/>
      <c r="M13" s="83"/>
      <c r="N13" s="83"/>
      <c r="O13" s="83"/>
      <c r="P13" s="225"/>
      <c r="Q13"/>
      <c r="R13"/>
      <c r="S13"/>
      <c r="T13"/>
      <c r="U13"/>
      <c r="V13"/>
      <c r="W13"/>
      <c r="X13"/>
      <c r="Y13"/>
      <c r="Z13"/>
      <c r="AA13"/>
      <c r="AB13"/>
      <c r="AC13"/>
      <c r="AD13"/>
      <c r="AE13"/>
    </row>
    <row r="14" spans="1:31" s="46" customFormat="1" ht="25">
      <c r="A14" s="241" t="s">
        <v>1182</v>
      </c>
      <c r="B14" s="237" t="s">
        <v>1217</v>
      </c>
      <c r="C14" s="230" t="s">
        <v>188</v>
      </c>
      <c r="D14" s="231">
        <v>1</v>
      </c>
      <c r="E14" s="214">
        <f>+'519'!G11</f>
        <v>13524246</v>
      </c>
      <c r="F14" s="83">
        <f>+'519'!G18</f>
        <v>8280</v>
      </c>
      <c r="G14" s="83">
        <f>+'519'!G25</f>
        <v>276402.78595776</v>
      </c>
      <c r="H14" s="83">
        <f>+'519'!G29</f>
        <v>38566</v>
      </c>
      <c r="I14" s="83">
        <f>+'519'!G30</f>
        <v>35447</v>
      </c>
      <c r="J14" s="221"/>
      <c r="K14" s="214"/>
      <c r="L14" s="83"/>
      <c r="M14" s="83"/>
      <c r="N14" s="83"/>
      <c r="O14" s="83"/>
      <c r="P14" s="225"/>
      <c r="Q14"/>
      <c r="R14"/>
      <c r="S14"/>
      <c r="T14"/>
      <c r="U14"/>
      <c r="V14"/>
      <c r="W14"/>
      <c r="X14"/>
      <c r="Y14"/>
      <c r="Z14"/>
      <c r="AA14"/>
      <c r="AB14"/>
      <c r="AC14"/>
      <c r="AD14"/>
      <c r="AE14"/>
    </row>
    <row r="15" spans="1:31" s="46" customFormat="1" ht="50">
      <c r="A15" s="241" t="s">
        <v>1184</v>
      </c>
      <c r="B15" s="237" t="s">
        <v>1185</v>
      </c>
      <c r="C15" s="230" t="s">
        <v>188</v>
      </c>
      <c r="D15" s="231">
        <v>1</v>
      </c>
      <c r="E15" s="214">
        <f>+'5110'!G21</f>
        <v>1968829</v>
      </c>
      <c r="F15" s="83">
        <f>+'5110'!G28</f>
        <v>4140</v>
      </c>
      <c r="G15" s="83">
        <f>+'5110'!G35</f>
        <v>38581.356063199462</v>
      </c>
      <c r="H15" s="83">
        <f>+'5110'!G39</f>
        <v>19283</v>
      </c>
      <c r="I15" s="83">
        <f>+'5110'!G40</f>
        <v>17723</v>
      </c>
      <c r="J15" s="221"/>
      <c r="K15" s="214"/>
      <c r="L15" s="83"/>
      <c r="M15" s="83"/>
      <c r="N15" s="83"/>
      <c r="O15" s="83"/>
      <c r="P15" s="225"/>
      <c r="Q15"/>
      <c r="R15"/>
      <c r="S15"/>
      <c r="T15"/>
      <c r="U15"/>
      <c r="V15"/>
      <c r="W15"/>
      <c r="X15"/>
      <c r="Y15"/>
      <c r="Z15"/>
      <c r="AA15"/>
      <c r="AB15"/>
      <c r="AC15"/>
      <c r="AD15"/>
      <c r="AE15"/>
    </row>
    <row r="16" spans="1:31" s="46" customFormat="1" ht="25">
      <c r="A16" s="241" t="s">
        <v>1186</v>
      </c>
      <c r="B16" s="237" t="s">
        <v>1187</v>
      </c>
      <c r="C16" s="230" t="s">
        <v>1123</v>
      </c>
      <c r="D16" s="231">
        <v>1</v>
      </c>
      <c r="E16" s="214">
        <f>+'5111'!G15</f>
        <v>1073320</v>
      </c>
      <c r="F16" s="83">
        <f>+'5111'!G22</f>
        <v>8280</v>
      </c>
      <c r="G16" s="83">
        <f>+'5111'!G29</f>
        <v>18974.3855539</v>
      </c>
      <c r="H16" s="83">
        <f>+'5111'!G33</f>
        <v>38566</v>
      </c>
      <c r="I16" s="83">
        <f>+'5111'!G34</f>
        <v>35447</v>
      </c>
      <c r="J16" s="221"/>
      <c r="K16" s="214"/>
      <c r="L16" s="83"/>
      <c r="M16" s="83"/>
      <c r="N16" s="83"/>
      <c r="O16" s="83"/>
      <c r="P16" s="225"/>
      <c r="Q16"/>
      <c r="R16"/>
      <c r="S16"/>
      <c r="T16"/>
      <c r="U16"/>
      <c r="V16"/>
      <c r="W16"/>
      <c r="X16"/>
      <c r="Y16"/>
      <c r="Z16"/>
      <c r="AA16"/>
      <c r="AB16"/>
      <c r="AC16"/>
      <c r="AD16"/>
      <c r="AE16"/>
    </row>
    <row r="17" spans="1:32" s="46" customFormat="1">
      <c r="A17" s="241" t="s">
        <v>1188</v>
      </c>
      <c r="B17" s="237" t="s">
        <v>1125</v>
      </c>
      <c r="C17" s="230" t="s">
        <v>188</v>
      </c>
      <c r="D17" s="231">
        <v>1</v>
      </c>
      <c r="E17" s="214">
        <f>+'3112 4112 5112'!G11</f>
        <v>65831</v>
      </c>
      <c r="F17" s="83">
        <f>+'3112 4112 5112'!G18</f>
        <v>3105</v>
      </c>
      <c r="G17" s="83">
        <f>+'3112 4112 5112'!G25</f>
        <v>17085.899191199998</v>
      </c>
      <c r="H17" s="83">
        <f>+'3112 4112 5112'!G29</f>
        <v>14462</v>
      </c>
      <c r="I17" s="83">
        <f>+'3112 4112 5112'!G30</f>
        <v>13293</v>
      </c>
      <c r="J17" s="221"/>
      <c r="K17" s="214"/>
      <c r="L17" s="83"/>
      <c r="M17" s="83"/>
      <c r="N17" s="83"/>
      <c r="O17" s="83"/>
      <c r="P17" s="225"/>
      <c r="Q17"/>
      <c r="R17"/>
      <c r="S17"/>
      <c r="T17"/>
      <c r="U17"/>
      <c r="V17"/>
      <c r="W17"/>
      <c r="X17"/>
      <c r="Y17"/>
      <c r="Z17"/>
      <c r="AA17"/>
      <c r="AB17"/>
      <c r="AC17"/>
      <c r="AD17"/>
      <c r="AE17"/>
      <c r="AF17" s="47"/>
    </row>
    <row r="18" spans="1:32" s="46" customFormat="1" ht="63" thickBot="1">
      <c r="A18" s="241" t="s">
        <v>1189</v>
      </c>
      <c r="B18" s="237" t="s">
        <v>1190</v>
      </c>
      <c r="C18" s="230" t="s">
        <v>188</v>
      </c>
      <c r="D18" s="231">
        <v>1</v>
      </c>
      <c r="E18" s="214">
        <f>+'5113'!G15</f>
        <v>3261458</v>
      </c>
      <c r="F18" s="83">
        <f>+'5113'!G22</f>
        <v>12420</v>
      </c>
      <c r="G18" s="83">
        <f>+'5113'!G29</f>
        <v>77341.999820876008</v>
      </c>
      <c r="H18" s="83">
        <f>+'5113'!G33</f>
        <v>57850</v>
      </c>
      <c r="I18" s="83">
        <f>+'5113'!G34</f>
        <v>53170</v>
      </c>
      <c r="J18" s="221"/>
      <c r="K18" s="214"/>
      <c r="L18" s="83"/>
      <c r="M18" s="83"/>
      <c r="N18" s="83"/>
      <c r="O18" s="83"/>
      <c r="P18" s="225"/>
      <c r="Q18"/>
      <c r="R18"/>
      <c r="S18"/>
      <c r="T18"/>
      <c r="U18"/>
      <c r="V18"/>
      <c r="W18"/>
      <c r="X18"/>
      <c r="Y18"/>
      <c r="Z18"/>
      <c r="AA18"/>
      <c r="AB18"/>
      <c r="AC18"/>
      <c r="AD18"/>
      <c r="AE18"/>
      <c r="AF18" s="47"/>
    </row>
    <row r="19" spans="1:32" s="46" customFormat="1" ht="13.5" thickBot="1">
      <c r="A19" s="248" t="str">
        <f>+'PRES GENERAL MR(OXI)'!A30</f>
        <v>4.2</v>
      </c>
      <c r="B19" s="1646" t="str">
        <f>+'PRES GENERAL MR(OXI)'!B30</f>
        <v>Estructura de soporte y obras civiles para 48 paneles solares</v>
      </c>
      <c r="C19" s="1647"/>
      <c r="D19" s="1647"/>
      <c r="E19" s="1647"/>
      <c r="F19" s="1647"/>
      <c r="G19" s="1647"/>
      <c r="H19" s="1647"/>
      <c r="I19" s="1647"/>
      <c r="J19" s="1647"/>
      <c r="K19" s="1647"/>
      <c r="L19" s="1647"/>
      <c r="M19" s="1647"/>
      <c r="N19" s="1647"/>
      <c r="O19" s="1647"/>
      <c r="P19" s="1648"/>
      <c r="Q19"/>
      <c r="R19"/>
      <c r="S19"/>
      <c r="T19"/>
      <c r="U19"/>
      <c r="V19"/>
      <c r="W19"/>
      <c r="X19"/>
      <c r="Y19"/>
      <c r="Z19"/>
      <c r="AA19"/>
      <c r="AB19"/>
      <c r="AC19"/>
      <c r="AD19"/>
      <c r="AE19"/>
      <c r="AF19" s="47"/>
    </row>
    <row r="20" spans="1:32" s="46" customFormat="1">
      <c r="A20" s="425" t="s">
        <v>1191</v>
      </c>
      <c r="B20" s="966" t="s">
        <v>1129</v>
      </c>
      <c r="C20" s="64" t="s">
        <v>1130</v>
      </c>
      <c r="D20" s="231">
        <f>13.18*19.08</f>
        <v>251.47439999999997</v>
      </c>
      <c r="E20" s="428">
        <f>+'321 421 521'!G11</f>
        <v>658</v>
      </c>
      <c r="F20" s="429">
        <f>+'321 421 521'!G18</f>
        <v>497</v>
      </c>
      <c r="G20" s="429">
        <f>+'321 421 521'!G25</f>
        <v>172</v>
      </c>
      <c r="H20" s="83">
        <f>+'321 421 521'!G29</f>
        <v>2300</v>
      </c>
      <c r="I20" s="83">
        <f>+'321 421 521'!G30</f>
        <v>2114</v>
      </c>
      <c r="J20" s="221"/>
      <c r="K20" s="428"/>
      <c r="L20" s="429"/>
      <c r="M20" s="429"/>
      <c r="N20" s="429"/>
      <c r="O20" s="429"/>
      <c r="P20" s="225"/>
      <c r="Q20"/>
      <c r="R20"/>
      <c r="S20"/>
      <c r="T20"/>
      <c r="U20"/>
      <c r="V20"/>
      <c r="W20"/>
      <c r="X20"/>
      <c r="Y20"/>
      <c r="Z20"/>
      <c r="AA20"/>
      <c r="AB20"/>
      <c r="AC20"/>
      <c r="AD20"/>
      <c r="AE20"/>
      <c r="AF20" s="47"/>
    </row>
    <row r="21" spans="1:32" s="46" customFormat="1">
      <c r="A21" s="425" t="s">
        <v>1192</v>
      </c>
      <c r="B21" s="966" t="s">
        <v>1132</v>
      </c>
      <c r="C21" s="64" t="s">
        <v>1130</v>
      </c>
      <c r="D21" s="231">
        <f>+D20</f>
        <v>251.47439999999997</v>
      </c>
      <c r="E21" s="428">
        <f>+'322 422 522'!G11</f>
        <v>0</v>
      </c>
      <c r="F21" s="429">
        <f>+'322 422 522'!G18</f>
        <v>266</v>
      </c>
      <c r="G21" s="429">
        <f>+'322 422 522'!G25</f>
        <v>2515</v>
      </c>
      <c r="H21" s="83"/>
      <c r="I21" s="83">
        <f>+'322 422 522'!G30</f>
        <v>613</v>
      </c>
      <c r="J21" s="221"/>
      <c r="K21" s="428"/>
      <c r="L21" s="429"/>
      <c r="M21" s="429"/>
      <c r="N21" s="429"/>
      <c r="O21" s="429"/>
      <c r="P21" s="225"/>
      <c r="Q21"/>
      <c r="R21"/>
      <c r="S21"/>
      <c r="T21"/>
      <c r="U21"/>
      <c r="V21"/>
      <c r="W21"/>
      <c r="X21"/>
      <c r="Y21"/>
      <c r="Z21"/>
      <c r="AA21"/>
      <c r="AB21"/>
      <c r="AC21"/>
      <c r="AD21"/>
      <c r="AE21"/>
      <c r="AF21" s="47"/>
    </row>
    <row r="22" spans="1:32" s="422" customFormat="1">
      <c r="A22" s="425" t="s">
        <v>1193</v>
      </c>
      <c r="B22" s="237" t="s">
        <v>1134</v>
      </c>
      <c r="C22" s="426" t="s">
        <v>1135</v>
      </c>
      <c r="D22" s="231">
        <f>+(0.85*0.6*0.6)*12+(0.5*0.3)*13.18*2+(0.5*0.3)*19.08*2+0.5*3.56*4.56</f>
        <v>21.466799999999999</v>
      </c>
      <c r="E22" s="428">
        <f>+'323 423 523'!G9</f>
        <v>0</v>
      </c>
      <c r="F22" s="429">
        <f>+'323 423 523'!G16</f>
        <v>311</v>
      </c>
      <c r="G22" s="429">
        <f>+'323 423 523'!G23</f>
        <v>0</v>
      </c>
      <c r="H22" s="83"/>
      <c r="I22" s="83">
        <f>+'323 423 523'!G27</f>
        <v>53170</v>
      </c>
      <c r="J22" s="221"/>
      <c r="K22" s="428"/>
      <c r="L22" s="429"/>
      <c r="M22" s="429"/>
      <c r="N22" s="429"/>
      <c r="O22" s="429"/>
      <c r="P22" s="225"/>
      <c r="Q22" s="421"/>
      <c r="R22" s="421"/>
      <c r="S22" s="421"/>
      <c r="T22" s="421"/>
      <c r="U22" s="421"/>
      <c r="V22" s="421"/>
      <c r="W22" s="421"/>
      <c r="X22" s="421"/>
      <c r="Y22" s="421"/>
      <c r="Z22" s="421"/>
      <c r="AA22" s="421"/>
      <c r="AB22" s="421"/>
      <c r="AC22" s="421"/>
      <c r="AD22" s="421"/>
      <c r="AE22" s="421"/>
    </row>
    <row r="23" spans="1:32" s="422" customFormat="1">
      <c r="A23" s="425" t="s">
        <v>1194</v>
      </c>
      <c r="B23" s="237" t="s">
        <v>1137</v>
      </c>
      <c r="C23" s="426" t="s">
        <v>1135</v>
      </c>
      <c r="D23" s="704">
        <f>0.25*3.56*4.56+(0.25/2)*0.5*12</f>
        <v>4.8083999999999998</v>
      </c>
      <c r="E23" s="428">
        <f>+'324 424 524'!G10</f>
        <v>83045</v>
      </c>
      <c r="F23" s="429">
        <f>+'324 424 524'!G17</f>
        <v>12900</v>
      </c>
      <c r="G23" s="429">
        <f>+'324 424 524'!G24</f>
        <v>96504.629629629635</v>
      </c>
      <c r="H23" s="83"/>
      <c r="I23" s="83">
        <f>+'324 424 524'!G28</f>
        <v>26585</v>
      </c>
      <c r="J23" s="221"/>
      <c r="K23" s="428"/>
      <c r="L23" s="429"/>
      <c r="M23" s="429"/>
      <c r="N23" s="429"/>
      <c r="O23" s="429"/>
      <c r="P23" s="225"/>
      <c r="Q23" s="421"/>
      <c r="R23" s="421"/>
      <c r="S23" s="421"/>
      <c r="T23" s="421"/>
      <c r="U23" s="421"/>
      <c r="V23" s="421"/>
      <c r="W23" s="421"/>
      <c r="X23" s="421"/>
      <c r="Y23" s="421"/>
      <c r="Z23" s="421"/>
      <c r="AA23" s="421"/>
      <c r="AB23" s="421"/>
      <c r="AC23" s="421"/>
      <c r="AD23" s="421"/>
      <c r="AE23" s="421"/>
    </row>
    <row r="24" spans="1:32" s="422" customFormat="1" ht="50">
      <c r="A24" s="425" t="s">
        <v>1195</v>
      </c>
      <c r="B24" s="237" t="s">
        <v>1139</v>
      </c>
      <c r="C24" s="426" t="s">
        <v>1140</v>
      </c>
      <c r="D24" s="231">
        <f>13.18*2+19.08*2-3.4</f>
        <v>61.12</v>
      </c>
      <c r="E24" s="428">
        <f>+'325 425 525'!G23</f>
        <v>303053</v>
      </c>
      <c r="F24" s="429">
        <f>+'325 425 525'!G30</f>
        <v>2070</v>
      </c>
      <c r="G24" s="429">
        <f>+'325 425 525'!G36</f>
        <v>108078.7592</v>
      </c>
      <c r="H24" s="83"/>
      <c r="I24" s="83">
        <f>+'325 425 525'!G41+'325 425 525'!G40</f>
        <v>21609</v>
      </c>
      <c r="J24" s="221"/>
      <c r="K24" s="428"/>
      <c r="L24" s="429"/>
      <c r="M24" s="429"/>
      <c r="N24" s="429"/>
      <c r="O24" s="429"/>
      <c r="P24" s="225"/>
      <c r="Q24" s="421"/>
      <c r="R24" s="421"/>
      <c r="S24" s="421"/>
      <c r="T24" s="421"/>
      <c r="U24" s="421"/>
      <c r="V24" s="421"/>
      <c r="W24" s="421"/>
      <c r="X24" s="421"/>
      <c r="Y24" s="421"/>
      <c r="Z24" s="421"/>
      <c r="AA24" s="421"/>
      <c r="AB24" s="421"/>
      <c r="AC24" s="421"/>
      <c r="AD24" s="421"/>
      <c r="AE24" s="421"/>
    </row>
    <row r="25" spans="1:32" s="422" customFormat="1" ht="25">
      <c r="A25" s="425" t="s">
        <v>1196</v>
      </c>
      <c r="B25" s="237" t="s">
        <v>1142</v>
      </c>
      <c r="C25" s="426" t="s">
        <v>1135</v>
      </c>
      <c r="D25" s="704">
        <f>0.6*0.6*0.05*12</f>
        <v>0.21599999999999997</v>
      </c>
      <c r="E25" s="428">
        <f>+'326 426 526'!G12</f>
        <v>367242</v>
      </c>
      <c r="F25" s="429">
        <f>+'326 426 526'!G19</f>
        <v>26563</v>
      </c>
      <c r="G25" s="429">
        <f>+'326 426 526'!G25</f>
        <v>705490</v>
      </c>
      <c r="H25" s="83">
        <f>+'326 426 526'!G29</f>
        <v>19120</v>
      </c>
      <c r="I25" s="83">
        <f>+'326 426 526'!G30</f>
        <v>13293</v>
      </c>
      <c r="J25" s="221"/>
      <c r="K25" s="428"/>
      <c r="L25" s="429"/>
      <c r="M25" s="429"/>
      <c r="N25" s="429"/>
      <c r="O25" s="429"/>
      <c r="P25" s="225"/>
      <c r="Q25" s="421"/>
      <c r="R25" s="421"/>
      <c r="S25" s="421"/>
      <c r="T25" s="421"/>
      <c r="U25" s="421"/>
      <c r="V25" s="421"/>
      <c r="W25" s="421"/>
      <c r="X25" s="421"/>
      <c r="Y25" s="421"/>
      <c r="Z25" s="421"/>
      <c r="AA25" s="421"/>
      <c r="AB25" s="421"/>
      <c r="AC25" s="421"/>
      <c r="AD25" s="421"/>
      <c r="AE25" s="421"/>
    </row>
    <row r="26" spans="1:32" s="422" customFormat="1" ht="25">
      <c r="A26" s="425" t="s">
        <v>1197</v>
      </c>
      <c r="B26" s="237" t="s">
        <v>1144</v>
      </c>
      <c r="C26" s="426" t="s">
        <v>1135</v>
      </c>
      <c r="D26" s="704">
        <f>3.56*4.56*0.12+(0.6*0.6*0.25+0.6*0.35*0.35)*12</f>
        <v>3.9100319999999993</v>
      </c>
      <c r="E26" s="428">
        <f>+'327 427 527'!G13</f>
        <v>501327</v>
      </c>
      <c r="F26" s="429">
        <f>+'327 427 527'!G20</f>
        <v>28599</v>
      </c>
      <c r="G26" s="429">
        <f>+'327 427 527'!G26</f>
        <v>865500</v>
      </c>
      <c r="H26" s="83">
        <f>+'327 427 527'!G30</f>
        <v>15296</v>
      </c>
      <c r="I26" s="83">
        <f>+'327 427 527'!G31</f>
        <v>10634</v>
      </c>
      <c r="J26" s="221"/>
      <c r="K26" s="428"/>
      <c r="L26" s="429"/>
      <c r="M26" s="429"/>
      <c r="N26" s="429"/>
      <c r="O26" s="429"/>
      <c r="P26" s="225"/>
      <c r="Q26" s="421"/>
      <c r="R26" s="421"/>
      <c r="S26" s="421"/>
      <c r="T26" s="421"/>
      <c r="U26" s="421"/>
      <c r="V26" s="421"/>
      <c r="W26" s="421"/>
      <c r="X26" s="421"/>
      <c r="Y26" s="421"/>
      <c r="Z26" s="421"/>
      <c r="AA26" s="421"/>
      <c r="AB26" s="421"/>
      <c r="AC26" s="421"/>
      <c r="AD26" s="421"/>
      <c r="AE26" s="421"/>
    </row>
    <row r="27" spans="1:32" s="422" customFormat="1">
      <c r="A27" s="425" t="s">
        <v>1198</v>
      </c>
      <c r="B27" s="237" t="s">
        <v>1146</v>
      </c>
      <c r="C27" s="426" t="s">
        <v>1147</v>
      </c>
      <c r="D27" s="231">
        <f>(8*0.85*0.996+6*0.7*0.996+7*1.17*0.557)*1.05*12+(3.26*4.26)*2.06+((3.26/0.2)*4.26*0.557+(4.26/0.2)*3.26*0.557)</f>
        <v>301.48704599999996</v>
      </c>
      <c r="E27" s="428">
        <f>+'328 428 528'!G10</f>
        <v>6755</v>
      </c>
      <c r="F27" s="429">
        <f>+'328 428 528'!G15</f>
        <v>99</v>
      </c>
      <c r="G27" s="429">
        <f>+'328 428 528'!G21</f>
        <v>1926.8529028000003</v>
      </c>
      <c r="H27" s="83">
        <f>+'328 428 528'!G25</f>
        <v>612</v>
      </c>
      <c r="I27" s="83">
        <f>+'328 428 528'!G26</f>
        <v>425</v>
      </c>
      <c r="J27" s="221"/>
      <c r="K27" s="428"/>
      <c r="L27" s="429"/>
      <c r="M27" s="429"/>
      <c r="N27" s="429"/>
      <c r="O27" s="429"/>
      <c r="P27" s="225"/>
      <c r="Q27" s="421"/>
      <c r="R27" s="421"/>
      <c r="S27" s="421"/>
      <c r="T27" s="421"/>
      <c r="U27" s="421"/>
      <c r="V27" s="421"/>
      <c r="W27" s="421"/>
      <c r="X27" s="421"/>
      <c r="Y27" s="421"/>
      <c r="Z27" s="421"/>
      <c r="AA27" s="421"/>
      <c r="AB27" s="421"/>
      <c r="AC27" s="421"/>
      <c r="AD27" s="421"/>
      <c r="AE27" s="421"/>
    </row>
    <row r="28" spans="1:32" s="422" customFormat="1" ht="61.5" customHeight="1">
      <c r="A28" s="425" t="s">
        <v>1199</v>
      </c>
      <c r="B28" s="237" t="s">
        <v>1149</v>
      </c>
      <c r="C28" s="426" t="s">
        <v>1130</v>
      </c>
      <c r="D28" s="427">
        <f>4*3</f>
        <v>12</v>
      </c>
      <c r="E28" s="428">
        <f>+'329 429 529'!G9</f>
        <v>1188333</v>
      </c>
      <c r="F28" s="429">
        <f>+'329 429 529'!G15</f>
        <v>24840</v>
      </c>
      <c r="G28" s="429">
        <f>+'329 429 529'!G21</f>
        <v>161992.0582</v>
      </c>
      <c r="H28" s="83">
        <f>+'329 429 529'!G25</f>
        <v>33991</v>
      </c>
      <c r="I28" s="83">
        <f>+'329 429 529'!G27+'329 429 529'!G26</f>
        <v>47262</v>
      </c>
      <c r="J28" s="221"/>
      <c r="K28" s="428"/>
      <c r="L28" s="429"/>
      <c r="M28" s="429"/>
      <c r="N28" s="429"/>
      <c r="O28" s="429"/>
      <c r="P28" s="225"/>
      <c r="Q28" s="421"/>
      <c r="R28" s="421"/>
      <c r="S28" s="421"/>
      <c r="T28" s="421"/>
      <c r="U28" s="421"/>
      <c r="V28" s="421"/>
      <c r="W28" s="421"/>
      <c r="X28" s="421"/>
      <c r="Y28" s="421"/>
      <c r="Z28" s="421"/>
      <c r="AA28" s="421"/>
      <c r="AB28" s="421"/>
      <c r="AC28" s="421"/>
      <c r="AD28" s="421"/>
      <c r="AE28" s="421"/>
    </row>
    <row r="29" spans="1:32" s="422" customFormat="1" ht="50.5" thickBot="1">
      <c r="A29" s="425" t="s">
        <v>1200</v>
      </c>
      <c r="B29" s="237" t="s">
        <v>1151</v>
      </c>
      <c r="C29" s="426" t="s">
        <v>1147</v>
      </c>
      <c r="D29" s="427">
        <f>+'PRES MR 5 KW'!D29*3</f>
        <v>1972.7952000000002</v>
      </c>
      <c r="E29" s="428">
        <f>+'3210 4210 5210'!G11</f>
        <v>13027</v>
      </c>
      <c r="F29" s="429">
        <f>+'3210 4210 5210'!G18</f>
        <v>1962</v>
      </c>
      <c r="G29" s="429">
        <f>+'3210 4210 5210'!G24</f>
        <v>1841.5939248000002</v>
      </c>
      <c r="H29" s="83">
        <f>+'3210 4210 5210'!G28+'3210 4210 5210'!G29</f>
        <v>2907</v>
      </c>
      <c r="I29" s="83">
        <f>+'3210 4210 5210'!G30</f>
        <v>1063</v>
      </c>
      <c r="J29" s="221"/>
      <c r="K29" s="428"/>
      <c r="L29" s="429"/>
      <c r="M29" s="429"/>
      <c r="N29" s="429"/>
      <c r="O29" s="429"/>
      <c r="P29" s="225"/>
      <c r="Q29" s="421"/>
      <c r="R29" s="421"/>
      <c r="S29" s="421"/>
      <c r="T29" s="421"/>
      <c r="U29" s="421"/>
      <c r="V29" s="421"/>
      <c r="W29" s="421"/>
      <c r="X29" s="421"/>
      <c r="Y29" s="421"/>
      <c r="Z29" s="421"/>
      <c r="AA29" s="421"/>
      <c r="AB29" s="421"/>
      <c r="AC29" s="421"/>
      <c r="AD29" s="421"/>
      <c r="AE29" s="421"/>
    </row>
    <row r="30" spans="1:32" s="46" customFormat="1" ht="13.5" thickBot="1">
      <c r="A30" s="248" t="str">
        <f>+'PRES GENERAL MR(OXI)'!A31</f>
        <v>4.3</v>
      </c>
      <c r="B30" s="1646" t="str">
        <f>+'PRES GENERAL MR(OXI)'!B31</f>
        <v>Sistema de control, medición y monitoreo</v>
      </c>
      <c r="C30" s="1647"/>
      <c r="D30" s="1647"/>
      <c r="E30" s="1647"/>
      <c r="F30" s="1647"/>
      <c r="G30" s="1647"/>
      <c r="H30" s="1647"/>
      <c r="I30" s="1647"/>
      <c r="J30" s="1647"/>
      <c r="K30" s="1647"/>
      <c r="L30" s="1647"/>
      <c r="M30" s="1647"/>
      <c r="N30" s="1647"/>
      <c r="O30" s="1647"/>
      <c r="P30" s="1648"/>
      <c r="Q30"/>
      <c r="R30"/>
      <c r="S30"/>
      <c r="T30"/>
      <c r="U30"/>
      <c r="V30"/>
      <c r="W30"/>
      <c r="X30"/>
      <c r="Y30"/>
      <c r="Z30"/>
      <c r="AA30"/>
      <c r="AB30"/>
      <c r="AC30"/>
      <c r="AD30"/>
      <c r="AE30"/>
      <c r="AF30" s="47"/>
    </row>
    <row r="31" spans="1:32" s="46" customFormat="1" ht="25.5" thickBot="1">
      <c r="A31" s="242" t="s">
        <v>1201</v>
      </c>
      <c r="B31" s="992" t="s">
        <v>1153</v>
      </c>
      <c r="C31" s="232" t="s">
        <v>188</v>
      </c>
      <c r="D31" s="233">
        <v>1</v>
      </c>
      <c r="E31" s="215">
        <f>+'331 431 531'!G25</f>
        <v>4811964</v>
      </c>
      <c r="F31" s="216">
        <f>+'331 431 531'!G32</f>
        <v>3105</v>
      </c>
      <c r="G31" s="216">
        <f>+'331 431 531'!G39</f>
        <v>21144.226544000001</v>
      </c>
      <c r="H31" s="216">
        <f>+'331 431 531'!G43</f>
        <v>28925</v>
      </c>
      <c r="I31" s="216">
        <f>+'331 431 531'!G44</f>
        <v>26585</v>
      </c>
      <c r="J31" s="222"/>
      <c r="K31" s="215"/>
      <c r="L31" s="216"/>
      <c r="M31" s="216"/>
      <c r="N31" s="216"/>
      <c r="O31" s="216"/>
      <c r="P31" s="226"/>
      <c r="Q31"/>
      <c r="R31"/>
      <c r="S31"/>
      <c r="T31"/>
      <c r="U31"/>
      <c r="V31"/>
      <c r="W31"/>
      <c r="X31"/>
      <c r="Y31"/>
      <c r="Z31"/>
      <c r="AA31"/>
      <c r="AB31"/>
      <c r="AC31"/>
      <c r="AD31"/>
      <c r="AE31"/>
      <c r="AF31" s="47"/>
    </row>
    <row r="32" spans="1:32" s="46" customFormat="1" ht="13.5" thickBot="1">
      <c r="A32" s="248" t="str">
        <f>+'PRES GENERAL MR(OXI)'!A32</f>
        <v>4.4</v>
      </c>
      <c r="B32" s="1646" t="str">
        <f>+'PRES GENERAL MR(OXI)'!B32</f>
        <v>Acometida, SPT y monitoreo domiciliario</v>
      </c>
      <c r="C32" s="1647"/>
      <c r="D32" s="1647"/>
      <c r="E32" s="1647"/>
      <c r="F32" s="1647"/>
      <c r="G32" s="1647"/>
      <c r="H32" s="1647"/>
      <c r="I32" s="1647"/>
      <c r="J32" s="1647"/>
      <c r="K32" s="1647"/>
      <c r="L32" s="1647"/>
      <c r="M32" s="1647"/>
      <c r="N32" s="1647"/>
      <c r="O32" s="1647"/>
      <c r="P32" s="1648"/>
      <c r="Q32"/>
      <c r="R32"/>
      <c r="S32"/>
      <c r="T32"/>
      <c r="U32"/>
      <c r="V32"/>
      <c r="W32"/>
      <c r="X32"/>
      <c r="Y32"/>
      <c r="Z32"/>
      <c r="AA32"/>
      <c r="AB32"/>
      <c r="AC32"/>
      <c r="AD32"/>
      <c r="AE32"/>
      <c r="AF32" s="47"/>
    </row>
    <row r="33" spans="1:32" s="46" customFormat="1" ht="37.5">
      <c r="A33" s="240" t="s">
        <v>1202</v>
      </c>
      <c r="B33" s="236" t="s">
        <v>1155</v>
      </c>
      <c r="C33" s="228" t="s">
        <v>188</v>
      </c>
      <c r="D33" s="229">
        <v>1</v>
      </c>
      <c r="E33" s="212">
        <f>+'341 441 541'!G18</f>
        <v>305625</v>
      </c>
      <c r="F33" s="213">
        <f>+'341 441 541'!G25</f>
        <v>6210</v>
      </c>
      <c r="G33" s="213">
        <f>+'341 441 541'!G32</f>
        <v>24963.828758400003</v>
      </c>
      <c r="H33" s="213">
        <f>+'341 441 541'!G36</f>
        <v>28925</v>
      </c>
      <c r="I33" s="213">
        <f>+'341 441 541'!G37</f>
        <v>26585</v>
      </c>
      <c r="J33" s="220"/>
      <c r="K33" s="212"/>
      <c r="L33" s="213"/>
      <c r="M33" s="213"/>
      <c r="N33" s="213"/>
      <c r="O33" s="213"/>
      <c r="P33" s="224"/>
      <c r="Q33"/>
      <c r="R33"/>
      <c r="S33"/>
      <c r="T33"/>
      <c r="U33"/>
      <c r="V33"/>
      <c r="W33"/>
      <c r="X33"/>
      <c r="Y33"/>
      <c r="Z33"/>
      <c r="AA33"/>
      <c r="AB33"/>
      <c r="AC33"/>
      <c r="AD33"/>
      <c r="AE33"/>
      <c r="AF33" s="47"/>
    </row>
    <row r="34" spans="1:32" s="46" customFormat="1" ht="38.5" customHeight="1" thickBot="1">
      <c r="A34" s="241" t="s">
        <v>1203</v>
      </c>
      <c r="B34" s="237" t="str">
        <f>+'PRES. SISFV 2010 W B200'!B12</f>
        <v>Sistema de puesta a tierra con una varilla de cobre 5/8" x 2,4m, bajante en cable de cobre desnudo o verde Nº 6, con soldadura exotérmica y tratamiento de suelos, caja de inspección de 30 x 30 cm.</v>
      </c>
      <c r="C34" s="230" t="s">
        <v>188</v>
      </c>
      <c r="D34" s="231">
        <v>1</v>
      </c>
      <c r="E34" s="214">
        <f>+'217'!G14</f>
        <v>529269</v>
      </c>
      <c r="F34" s="83">
        <f>+'217'!G21</f>
        <v>12420</v>
      </c>
      <c r="G34" s="83">
        <f>+'217'!G28</f>
        <v>66325.516755540011</v>
      </c>
      <c r="H34" s="83">
        <f>+'217'!G32</f>
        <v>57850</v>
      </c>
      <c r="I34" s="83">
        <f>+'217'!G33</f>
        <v>53170</v>
      </c>
      <c r="J34" s="221"/>
      <c r="K34" s="214"/>
      <c r="L34" s="83"/>
      <c r="M34" s="83"/>
      <c r="N34" s="83"/>
      <c r="O34" s="83"/>
      <c r="P34" s="225"/>
      <c r="Q34"/>
      <c r="R34"/>
      <c r="S34"/>
      <c r="T34"/>
      <c r="U34"/>
      <c r="V34"/>
      <c r="W34"/>
      <c r="X34"/>
      <c r="Y34"/>
      <c r="Z34"/>
      <c r="AA34"/>
      <c r="AB34"/>
      <c r="AC34"/>
      <c r="AD34"/>
      <c r="AE34"/>
      <c r="AF34" s="47"/>
    </row>
    <row r="35" spans="1:32" s="46" customFormat="1" ht="13.5" thickBot="1">
      <c r="A35" s="248" t="str">
        <f>+'PRES GENERAL MR(OXI)'!A33</f>
        <v>4.5</v>
      </c>
      <c r="B35" s="1646" t="str">
        <f>+'PRES GENERAL MR(OXI)'!B33</f>
        <v>Red de distribución</v>
      </c>
      <c r="C35" s="1647"/>
      <c r="D35" s="1647"/>
      <c r="E35" s="1647"/>
      <c r="F35" s="1647"/>
      <c r="G35" s="1647"/>
      <c r="H35" s="1647"/>
      <c r="I35" s="1647"/>
      <c r="J35" s="1647"/>
      <c r="K35" s="1647"/>
      <c r="L35" s="1647"/>
      <c r="M35" s="1647"/>
      <c r="N35" s="1647"/>
      <c r="O35" s="1647"/>
      <c r="P35" s="1648"/>
      <c r="Q35"/>
      <c r="R35"/>
      <c r="S35"/>
      <c r="T35"/>
      <c r="U35"/>
      <c r="V35"/>
      <c r="W35"/>
      <c r="X35"/>
      <c r="Y35"/>
      <c r="Z35"/>
      <c r="AA35"/>
      <c r="AB35"/>
      <c r="AC35"/>
      <c r="AD35"/>
      <c r="AE35"/>
      <c r="AF35" s="47"/>
    </row>
    <row r="36" spans="1:32" s="46" customFormat="1" ht="13">
      <c r="A36" s="240" t="s">
        <v>1204</v>
      </c>
      <c r="B36" s="236" t="s">
        <v>586</v>
      </c>
      <c r="C36" s="337" t="s">
        <v>1159</v>
      </c>
      <c r="D36" s="782">
        <f>+'INT. REDES'!G48</f>
        <v>73.680000000000007</v>
      </c>
      <c r="E36" s="212">
        <f>+'323 423 523'!G9</f>
        <v>0</v>
      </c>
      <c r="F36" s="213">
        <f>+'323 423 523'!G16</f>
        <v>311</v>
      </c>
      <c r="G36" s="213">
        <f>+'323 423 523'!G23</f>
        <v>0</v>
      </c>
      <c r="H36" s="213"/>
      <c r="I36" s="213">
        <f>+'323 423 523'!G27</f>
        <v>53170</v>
      </c>
      <c r="J36" s="220"/>
      <c r="K36" s="212"/>
      <c r="L36" s="213"/>
      <c r="M36" s="213"/>
      <c r="N36" s="213"/>
      <c r="O36" s="213"/>
      <c r="P36" s="224"/>
      <c r="Q36"/>
      <c r="R36"/>
      <c r="S36"/>
      <c r="T36"/>
      <c r="U36"/>
      <c r="V36"/>
      <c r="W36"/>
      <c r="X36"/>
      <c r="Y36"/>
      <c r="Z36"/>
      <c r="AA36"/>
      <c r="AB36"/>
      <c r="AC36"/>
      <c r="AD36"/>
      <c r="AE36"/>
      <c r="AF36" s="47"/>
    </row>
    <row r="37" spans="1:32" s="46" customFormat="1" ht="36" customHeight="1" thickBot="1">
      <c r="A37" s="241" t="s">
        <v>1205</v>
      </c>
      <c r="B37" s="237" t="s">
        <v>587</v>
      </c>
      <c r="C37" s="338" t="s">
        <v>1130</v>
      </c>
      <c r="D37" s="722">
        <f>+'INT. REDES'!G49</f>
        <v>491.20000000000005</v>
      </c>
      <c r="E37" s="214">
        <f>+'352 452 552'!G10</f>
        <v>8214</v>
      </c>
      <c r="F37" s="83">
        <f>+'352 452 552'!G17</f>
        <v>166</v>
      </c>
      <c r="G37" s="83">
        <f>+'352 452 552'!G24</f>
        <v>750.27900640000007</v>
      </c>
      <c r="H37" s="83">
        <f>+'352 452 552'!G28</f>
        <v>1020</v>
      </c>
      <c r="I37" s="83">
        <f>+'352 452 552'!G29</f>
        <v>709</v>
      </c>
      <c r="J37" s="221"/>
      <c r="K37" s="214"/>
      <c r="L37" s="83"/>
      <c r="M37" s="83"/>
      <c r="N37" s="83"/>
      <c r="O37" s="83"/>
      <c r="P37" s="225"/>
      <c r="Q37"/>
      <c r="R37"/>
      <c r="S37"/>
      <c r="T37"/>
      <c r="U37"/>
      <c r="V37"/>
      <c r="W37"/>
      <c r="X37"/>
      <c r="Y37"/>
      <c r="Z37"/>
      <c r="AA37"/>
      <c r="AB37"/>
      <c r="AC37"/>
      <c r="AD37"/>
      <c r="AE37"/>
      <c r="AF37" s="47"/>
    </row>
    <row r="38" spans="1:32" s="46" customFormat="1" ht="13">
      <c r="A38" s="240" t="s">
        <v>1206</v>
      </c>
      <c r="B38" s="237" t="s">
        <v>588</v>
      </c>
      <c r="C38" s="338" t="s">
        <v>1159</v>
      </c>
      <c r="D38" s="722">
        <f>+'INT. REDES'!G50</f>
        <v>24.560000000000002</v>
      </c>
      <c r="E38" s="214">
        <f>+'353 453 553'!G10</f>
        <v>97726</v>
      </c>
      <c r="F38" s="83">
        <f>+'353 453 553'!G17</f>
        <v>6690</v>
      </c>
      <c r="G38" s="83">
        <f>+'353 453 553'!G23</f>
        <v>80000</v>
      </c>
      <c r="H38" s="83">
        <f>+'331 431 531'!G43</f>
        <v>28925</v>
      </c>
      <c r="I38" s="83">
        <f>+'331 431 531'!G44</f>
        <v>26585</v>
      </c>
      <c r="J38" s="221"/>
      <c r="K38" s="214"/>
      <c r="L38" s="83"/>
      <c r="M38" s="83"/>
      <c r="N38" s="83"/>
      <c r="O38" s="83"/>
      <c r="P38" s="225"/>
      <c r="Q38"/>
      <c r="R38"/>
      <c r="S38"/>
      <c r="T38"/>
      <c r="U38"/>
      <c r="V38"/>
      <c r="W38"/>
      <c r="X38"/>
      <c r="Y38"/>
      <c r="Z38"/>
      <c r="AA38"/>
      <c r="AB38"/>
      <c r="AC38"/>
      <c r="AD38"/>
      <c r="AE38"/>
      <c r="AF38" s="47"/>
    </row>
    <row r="39" spans="1:32" s="46" customFormat="1" ht="50.5" thickBot="1">
      <c r="A39" s="241" t="s">
        <v>1207</v>
      </c>
      <c r="B39" s="237" t="s">
        <v>1208</v>
      </c>
      <c r="C39" s="230" t="s">
        <v>1164</v>
      </c>
      <c r="D39" s="722">
        <f>+'INT. REDES'!G51</f>
        <v>307</v>
      </c>
      <c r="E39" s="214">
        <f>+'354 454 554'!G16</f>
        <v>66206</v>
      </c>
      <c r="F39" s="83">
        <f>+'354 454 554'!G23</f>
        <v>2070</v>
      </c>
      <c r="G39" s="83">
        <f>+'354 454 554'!G29</f>
        <v>3255.1512000000002</v>
      </c>
      <c r="H39" s="83">
        <f>+'354 454 554'!G33</f>
        <v>9642</v>
      </c>
      <c r="I39" s="83">
        <f>+'354 454 554'!G34</f>
        <v>8862</v>
      </c>
      <c r="J39" s="221"/>
      <c r="K39" s="214"/>
      <c r="L39" s="83"/>
      <c r="M39" s="83"/>
      <c r="N39" s="83"/>
      <c r="O39" s="83"/>
      <c r="P39" s="225"/>
      <c r="Q39"/>
      <c r="R39"/>
      <c r="S39"/>
      <c r="T39"/>
      <c r="U39"/>
      <c r="V39"/>
      <c r="W39"/>
      <c r="X39"/>
      <c r="Y39"/>
      <c r="Z39"/>
      <c r="AA39"/>
      <c r="AB39"/>
      <c r="AC39"/>
      <c r="AD39"/>
      <c r="AE39"/>
      <c r="AF39" s="47"/>
    </row>
    <row r="40" spans="1:32" s="46" customFormat="1">
      <c r="A40" s="240" t="s">
        <v>1209</v>
      </c>
      <c r="B40" s="237" t="s">
        <v>361</v>
      </c>
      <c r="C40" s="230" t="s">
        <v>1135</v>
      </c>
      <c r="D40" s="722">
        <f>+'INT. REDES'!G52</f>
        <v>49.120000000000005</v>
      </c>
      <c r="E40" s="214">
        <f>+'324 424 524'!G10</f>
        <v>83045</v>
      </c>
      <c r="F40" s="83">
        <f>+'324 424 524'!G17</f>
        <v>12900</v>
      </c>
      <c r="G40" s="83">
        <f>+'324 424 524'!G24</f>
        <v>96504.629629629635</v>
      </c>
      <c r="H40" s="83">
        <v>0</v>
      </c>
      <c r="I40" s="83">
        <f>+'324 424 524'!G28</f>
        <v>26585</v>
      </c>
      <c r="J40" s="221"/>
      <c r="K40" s="214"/>
      <c r="L40" s="83"/>
      <c r="M40" s="83"/>
      <c r="N40" s="83"/>
      <c r="O40" s="83"/>
      <c r="P40" s="225"/>
      <c r="Q40"/>
      <c r="R40"/>
      <c r="S40"/>
      <c r="T40"/>
      <c r="U40"/>
      <c r="V40"/>
      <c r="W40"/>
      <c r="X40"/>
      <c r="Y40"/>
      <c r="Z40"/>
      <c r="AA40"/>
      <c r="AB40"/>
      <c r="AC40"/>
      <c r="AD40"/>
      <c r="AE40"/>
      <c r="AF40" s="47"/>
    </row>
    <row r="41" spans="1:32" s="46" customFormat="1">
      <c r="A41" s="241" t="s">
        <v>1210</v>
      </c>
      <c r="B41" s="237" t="s">
        <v>1167</v>
      </c>
      <c r="C41" s="230" t="s">
        <v>188</v>
      </c>
      <c r="D41" s="722">
        <f>+'INT. REDES'!G53</f>
        <v>8</v>
      </c>
      <c r="E41" s="214">
        <f>+'356 456 556'!G12</f>
        <v>2071245</v>
      </c>
      <c r="F41" s="83">
        <f>+'356 456 556'!G19</f>
        <v>8346</v>
      </c>
      <c r="G41" s="83">
        <f>+'356 456 556'!G25</f>
        <v>228898.32</v>
      </c>
      <c r="H41" s="83">
        <f>+'356 456 556'!G29</f>
        <v>7713</v>
      </c>
      <c r="I41" s="83">
        <f>+'356 456 556'!G30</f>
        <v>7089</v>
      </c>
      <c r="J41" s="221"/>
      <c r="K41" s="214"/>
      <c r="L41" s="83"/>
      <c r="M41" s="83"/>
      <c r="N41" s="83"/>
      <c r="O41" s="83"/>
      <c r="P41" s="225"/>
      <c r="Q41"/>
      <c r="R41"/>
      <c r="S41"/>
      <c r="T41"/>
      <c r="U41"/>
      <c r="V41"/>
      <c r="W41"/>
      <c r="X41"/>
      <c r="Y41"/>
      <c r="Z41"/>
      <c r="AA41"/>
      <c r="AB41"/>
      <c r="AC41"/>
      <c r="AD41"/>
      <c r="AE41"/>
      <c r="AF41" s="47"/>
    </row>
    <row r="42" spans="1:32" s="46" customFormat="1" ht="18" customHeight="1">
      <c r="A42" s="1649" t="s">
        <v>1048</v>
      </c>
      <c r="B42" s="1641"/>
      <c r="C42" s="1641"/>
      <c r="D42" s="1641"/>
      <c r="E42" s="1641"/>
      <c r="F42" s="1641"/>
      <c r="G42" s="1641"/>
      <c r="H42" s="1641"/>
      <c r="I42" s="1641"/>
      <c r="J42" s="1642"/>
      <c r="K42" s="219">
        <f t="shared" ref="K42:O42" si="0">ROUND(SUM(K6:K41),0)</f>
        <v>0</v>
      </c>
      <c r="L42" s="219">
        <f t="shared" si="0"/>
        <v>0</v>
      </c>
      <c r="M42" s="219">
        <f t="shared" si="0"/>
        <v>0</v>
      </c>
      <c r="N42" s="219">
        <f t="shared" si="0"/>
        <v>0</v>
      </c>
      <c r="O42" s="219">
        <f t="shared" si="0"/>
        <v>0</v>
      </c>
      <c r="P42" s="219"/>
      <c r="Q42" s="47"/>
      <c r="R42" s="47"/>
      <c r="S42" s="47"/>
      <c r="T42" s="47"/>
      <c r="U42" s="47"/>
      <c r="V42" s="47"/>
      <c r="W42" s="47"/>
      <c r="X42" s="47"/>
      <c r="Y42" s="47"/>
      <c r="Z42" s="47"/>
      <c r="AA42" s="47"/>
      <c r="AB42" s="47"/>
      <c r="AC42" s="47"/>
      <c r="AD42" s="47"/>
      <c r="AE42" s="47"/>
      <c r="AF42" s="47"/>
    </row>
    <row r="43" spans="1:32">
      <c r="P43" s="3"/>
    </row>
    <row r="44" spans="1:32">
      <c r="B44" s="441"/>
      <c r="L44" s="60"/>
    </row>
    <row r="45" spans="1:32">
      <c r="A45" s="441"/>
      <c r="B45" s="441"/>
      <c r="L45" s="34"/>
      <c r="P45" s="334"/>
    </row>
    <row r="46" spans="1:32" ht="14">
      <c r="A46" s="442"/>
      <c r="B46" s="840"/>
      <c r="I46" s="34"/>
      <c r="L46" s="55"/>
    </row>
    <row r="47" spans="1:32" ht="15.5">
      <c r="B47" s="1027"/>
      <c r="I47" s="34"/>
      <c r="K47" s="56"/>
      <c r="L47" s="55"/>
    </row>
    <row r="48" spans="1:32">
      <c r="I48" s="34"/>
      <c r="K48" s="56"/>
      <c r="L48" s="55"/>
      <c r="P48" s="3"/>
    </row>
    <row r="49" spans="2:16">
      <c r="K49" s="56"/>
      <c r="P49" s="55"/>
    </row>
    <row r="50" spans="2:16">
      <c r="B50" s="60"/>
      <c r="K50" s="56"/>
    </row>
    <row r="52" spans="2:16">
      <c r="K52" s="56"/>
    </row>
    <row r="53" spans="2:16">
      <c r="B53" s="60"/>
      <c r="K53" s="56"/>
    </row>
    <row r="54" spans="2:16">
      <c r="K54" s="56"/>
    </row>
    <row r="56" spans="2:16">
      <c r="B56" s="60"/>
    </row>
    <row r="57" spans="2:16">
      <c r="J57" s="56"/>
    </row>
    <row r="59" spans="2:16">
      <c r="J59" s="56"/>
    </row>
  </sheetData>
  <mergeCells count="13">
    <mergeCell ref="A1:P1"/>
    <mergeCell ref="A42:J42"/>
    <mergeCell ref="A2:P2"/>
    <mergeCell ref="A3:A4"/>
    <mergeCell ref="B3:B4"/>
    <mergeCell ref="C3:C4"/>
    <mergeCell ref="D3:D4"/>
    <mergeCell ref="E3:J3"/>
    <mergeCell ref="K3:P3"/>
    <mergeCell ref="B19:P19"/>
    <mergeCell ref="B30:P30"/>
    <mergeCell ref="B32:P32"/>
    <mergeCell ref="B35:P35"/>
  </mergeCells>
  <phoneticPr fontId="16" type="noConversion"/>
  <printOptions horizontalCentered="1"/>
  <pageMargins left="0.39370078740157483" right="0.39370078740157483" top="0.39370078740157483" bottom="0.39370078740157483" header="0" footer="0"/>
  <pageSetup scale="51"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2EF67-97EB-4294-8A24-1903EC6F4476}">
  <sheetPr>
    <tabColor rgb="FF92D050"/>
    <pageSetUpPr fitToPage="1"/>
  </sheetPr>
  <dimension ref="A1:G70"/>
  <sheetViews>
    <sheetView view="pageBreakPreview" zoomScaleNormal="100" zoomScaleSheetLayoutView="100" workbookViewId="0">
      <selection activeCell="G70" sqref="A2:G70"/>
    </sheetView>
  </sheetViews>
  <sheetFormatPr baseColWidth="10" defaultColWidth="12.54296875" defaultRowHeight="14.5"/>
  <cols>
    <col min="1" max="1" width="18" style="1275" customWidth="1"/>
    <col min="2" max="2" width="91.54296875" style="1275" customWidth="1"/>
    <col min="3" max="3" width="13.54296875" style="1275" customWidth="1"/>
    <col min="4" max="4" width="13.453125" style="1275" bestFit="1" customWidth="1"/>
    <col min="5" max="5" width="20" style="1275" bestFit="1" customWidth="1"/>
    <col min="6" max="6" width="18" style="1275" bestFit="1" customWidth="1"/>
    <col min="7" max="7" width="17.81640625" style="1275" customWidth="1"/>
    <col min="8" max="16384" width="12.54296875" style="1275"/>
  </cols>
  <sheetData>
    <row r="1" spans="1:7" ht="57.75" customHeight="1">
      <c r="A1" s="1696" t="s">
        <v>747</v>
      </c>
      <c r="B1" s="1697"/>
      <c r="C1" s="1697"/>
      <c r="D1" s="1697"/>
      <c r="E1" s="1697"/>
      <c r="F1" s="1697"/>
      <c r="G1" s="1698"/>
    </row>
    <row r="2" spans="1:7">
      <c r="A2" s="1699" t="s">
        <v>748</v>
      </c>
      <c r="B2" s="1700"/>
      <c r="C2" s="1700"/>
      <c r="D2" s="1700"/>
      <c r="E2" s="1700"/>
      <c r="F2" s="1700"/>
      <c r="G2" s="1701"/>
    </row>
    <row r="3" spans="1:7">
      <c r="A3" s="1702" t="s">
        <v>749</v>
      </c>
      <c r="B3" s="1703"/>
      <c r="C3" s="1703"/>
      <c r="D3" s="1703"/>
      <c r="E3" s="1703"/>
      <c r="F3" s="1703"/>
      <c r="G3" s="1704"/>
    </row>
    <row r="4" spans="1:7" ht="36.65" customHeight="1">
      <c r="A4" s="1276" t="s">
        <v>750</v>
      </c>
      <c r="B4" s="1277" t="s">
        <v>1</v>
      </c>
      <c r="C4" s="1277" t="s">
        <v>185</v>
      </c>
      <c r="D4" s="1278" t="s">
        <v>334</v>
      </c>
      <c r="E4" s="1277" t="s">
        <v>751</v>
      </c>
      <c r="F4" s="1277" t="s">
        <v>752</v>
      </c>
      <c r="G4" s="1279" t="s">
        <v>753</v>
      </c>
    </row>
    <row r="5" spans="1:7" ht="50.15" customHeight="1">
      <c r="A5" s="1705">
        <v>1</v>
      </c>
      <c r="B5" s="1707" t="s">
        <v>754</v>
      </c>
      <c r="C5" s="1708"/>
      <c r="D5" s="1708"/>
      <c r="E5" s="1708"/>
      <c r="F5" s="1708"/>
      <c r="G5" s="1709"/>
    </row>
    <row r="6" spans="1:7" ht="40.4" customHeight="1">
      <c r="A6" s="1692"/>
      <c r="B6" s="1694" t="s">
        <v>755</v>
      </c>
      <c r="C6" s="1710"/>
      <c r="D6" s="1710"/>
      <c r="E6" s="1710"/>
      <c r="F6" s="1711"/>
      <c r="G6" s="1695">
        <f>SUM(F7:F13)</f>
        <v>0</v>
      </c>
    </row>
    <row r="7" spans="1:7" ht="42" customHeight="1">
      <c r="A7" s="1692"/>
      <c r="B7" s="1280" t="s">
        <v>756</v>
      </c>
      <c r="C7" s="1281" t="s">
        <v>757</v>
      </c>
      <c r="D7" s="1281">
        <v>1</v>
      </c>
      <c r="E7" s="1282"/>
      <c r="F7" s="1283"/>
      <c r="G7" s="1712"/>
    </row>
    <row r="8" spans="1:7" ht="35.15" customHeight="1">
      <c r="A8" s="1692"/>
      <c r="B8" s="1284" t="s">
        <v>758</v>
      </c>
      <c r="C8" s="1285" t="s">
        <v>757</v>
      </c>
      <c r="D8" s="1286">
        <v>1</v>
      </c>
      <c r="E8" s="1287"/>
      <c r="F8" s="1287"/>
      <c r="G8" s="1712"/>
    </row>
    <row r="9" spans="1:7" ht="87">
      <c r="A9" s="1692"/>
      <c r="B9" s="1288" t="s">
        <v>759</v>
      </c>
      <c r="C9" s="1281" t="s">
        <v>760</v>
      </c>
      <c r="D9" s="1289">
        <v>30</v>
      </c>
      <c r="E9" s="1290"/>
      <c r="F9" s="1290"/>
      <c r="G9" s="1712"/>
    </row>
    <row r="10" spans="1:7" ht="35.15" customHeight="1">
      <c r="A10" s="1692"/>
      <c r="B10" s="1288" t="s">
        <v>761</v>
      </c>
      <c r="C10" s="1281" t="s">
        <v>760</v>
      </c>
      <c r="D10" s="1289">
        <v>30</v>
      </c>
      <c r="E10" s="1282"/>
      <c r="F10" s="1290"/>
      <c r="G10" s="1712"/>
    </row>
    <row r="11" spans="1:7" ht="42" customHeight="1">
      <c r="A11" s="1692"/>
      <c r="B11" s="1284" t="s">
        <v>762</v>
      </c>
      <c r="C11" s="1291" t="s">
        <v>763</v>
      </c>
      <c r="D11" s="1292">
        <v>18</v>
      </c>
      <c r="E11" s="1293"/>
      <c r="F11" s="1294"/>
      <c r="G11" s="1712"/>
    </row>
    <row r="12" spans="1:7" ht="35.15" customHeight="1">
      <c r="A12" s="1692"/>
      <c r="B12" s="1284" t="s">
        <v>764</v>
      </c>
      <c r="C12" s="1281" t="s">
        <v>760</v>
      </c>
      <c r="D12" s="1292">
        <v>0</v>
      </c>
      <c r="E12" s="1293"/>
      <c r="F12" s="1293"/>
      <c r="G12" s="1712"/>
    </row>
    <row r="13" spans="1:7" ht="35.15" customHeight="1">
      <c r="A13" s="1706"/>
      <c r="B13" s="1295" t="s">
        <v>765</v>
      </c>
      <c r="C13" s="1281" t="s">
        <v>760</v>
      </c>
      <c r="D13" s="1289">
        <v>2</v>
      </c>
      <c r="E13" s="1290"/>
      <c r="F13" s="1290"/>
      <c r="G13" s="1713"/>
    </row>
    <row r="14" spans="1:7" ht="40.4" customHeight="1">
      <c r="A14" s="1686">
        <v>2</v>
      </c>
      <c r="B14" s="1687" t="s">
        <v>766</v>
      </c>
      <c r="C14" s="1688"/>
      <c r="D14" s="1688"/>
      <c r="E14" s="1688"/>
      <c r="F14" s="1689"/>
      <c r="G14" s="1690">
        <f>F15+F16</f>
        <v>0</v>
      </c>
    </row>
    <row r="15" spans="1:7" ht="42" customHeight="1">
      <c r="A15" s="1680"/>
      <c r="B15" s="1296" t="s">
        <v>767</v>
      </c>
      <c r="C15" s="1297" t="s">
        <v>760</v>
      </c>
      <c r="D15" s="1297">
        <v>9</v>
      </c>
      <c r="E15" s="1298"/>
      <c r="F15" s="1298"/>
      <c r="G15" s="1691"/>
    </row>
    <row r="16" spans="1:7" ht="49.4" customHeight="1">
      <c r="A16" s="1680"/>
      <c r="B16" s="1296" t="s">
        <v>768</v>
      </c>
      <c r="C16" s="1297" t="s">
        <v>760</v>
      </c>
      <c r="D16" s="1297">
        <v>9</v>
      </c>
      <c r="E16" s="1282"/>
      <c r="F16" s="1283"/>
      <c r="G16" s="1691"/>
    </row>
    <row r="17" spans="1:7" ht="40.4" customHeight="1">
      <c r="A17" s="1682">
        <v>3</v>
      </c>
      <c r="B17" s="1693" t="s">
        <v>769</v>
      </c>
      <c r="C17" s="1693"/>
      <c r="D17" s="1693"/>
      <c r="E17" s="1693"/>
      <c r="F17" s="1694"/>
      <c r="G17" s="1690">
        <f>SUM(F19:F22)</f>
        <v>0</v>
      </c>
    </row>
    <row r="18" spans="1:7" ht="42" customHeight="1">
      <c r="A18" s="1683"/>
      <c r="B18" s="1280" t="s">
        <v>770</v>
      </c>
      <c r="C18" s="1281" t="s">
        <v>757</v>
      </c>
      <c r="D18" s="1281">
        <v>1</v>
      </c>
      <c r="E18" s="1282"/>
      <c r="F18" s="1283"/>
      <c r="G18" s="1690"/>
    </row>
    <row r="19" spans="1:7" ht="35.15" customHeight="1">
      <c r="A19" s="1692"/>
      <c r="B19" s="1299" t="s">
        <v>771</v>
      </c>
      <c r="C19" s="1300" t="s">
        <v>760</v>
      </c>
      <c r="D19" s="1301">
        <v>196</v>
      </c>
      <c r="E19" s="1282"/>
      <c r="F19" s="1302"/>
      <c r="G19" s="1690"/>
    </row>
    <row r="20" spans="1:7" ht="35.15" customHeight="1">
      <c r="A20" s="1692"/>
      <c r="B20" s="1284" t="s">
        <v>772</v>
      </c>
      <c r="C20" s="1281" t="s">
        <v>773</v>
      </c>
      <c r="D20" s="1292">
        <v>1</v>
      </c>
      <c r="E20" s="1303"/>
      <c r="F20" s="1293"/>
      <c r="G20" s="1690"/>
    </row>
    <row r="21" spans="1:7" ht="42" customHeight="1">
      <c r="A21" s="1692"/>
      <c r="B21" s="1284" t="s">
        <v>774</v>
      </c>
      <c r="C21" s="1300" t="s">
        <v>760</v>
      </c>
      <c r="D21" s="1292">
        <v>10</v>
      </c>
      <c r="E21" s="1282"/>
      <c r="F21" s="1304"/>
      <c r="G21" s="1695"/>
    </row>
    <row r="22" spans="1:7" ht="43.5">
      <c r="A22" s="1692"/>
      <c r="B22" s="1305" t="s">
        <v>775</v>
      </c>
      <c r="C22" s="1291" t="s">
        <v>776</v>
      </c>
      <c r="D22" s="1292">
        <v>0</v>
      </c>
      <c r="E22" s="1293"/>
      <c r="F22" s="1304"/>
      <c r="G22" s="1695"/>
    </row>
    <row r="23" spans="1:7" ht="40.4" customHeight="1">
      <c r="A23" s="1679">
        <v>4</v>
      </c>
      <c r="B23" s="1672" t="s">
        <v>777</v>
      </c>
      <c r="C23" s="1672"/>
      <c r="D23" s="1672"/>
      <c r="E23" s="1672"/>
      <c r="F23" s="1672"/>
      <c r="G23" s="1668">
        <f>SUM(F23:F31)</f>
        <v>0</v>
      </c>
    </row>
    <row r="24" spans="1:7" ht="40.4" customHeight="1">
      <c r="A24" s="1680"/>
      <c r="B24" s="1280" t="s">
        <v>778</v>
      </c>
      <c r="C24" s="1285" t="s">
        <v>757</v>
      </c>
      <c r="D24" s="1285">
        <v>1</v>
      </c>
      <c r="E24" s="1287"/>
      <c r="F24" s="1306"/>
      <c r="G24" s="1668"/>
    </row>
    <row r="25" spans="1:7" ht="35.15" customHeight="1">
      <c r="A25" s="1680"/>
      <c r="B25" s="1307" t="s">
        <v>779</v>
      </c>
      <c r="C25" s="1285" t="s">
        <v>757</v>
      </c>
      <c r="D25" s="1286">
        <v>1</v>
      </c>
      <c r="E25" s="1287"/>
      <c r="F25" s="1287"/>
      <c r="G25" s="1668"/>
    </row>
    <row r="26" spans="1:7" ht="54" customHeight="1">
      <c r="A26" s="1680"/>
      <c r="B26" s="1308" t="s">
        <v>780</v>
      </c>
      <c r="C26" s="1285" t="s">
        <v>760</v>
      </c>
      <c r="D26" s="1286">
        <v>206</v>
      </c>
      <c r="E26" s="1290"/>
      <c r="F26" s="1309"/>
      <c r="G26" s="1668"/>
    </row>
    <row r="27" spans="1:7" ht="35.15" customHeight="1">
      <c r="A27" s="1680"/>
      <c r="B27" s="1310" t="s">
        <v>781</v>
      </c>
      <c r="C27" s="1285" t="s">
        <v>760</v>
      </c>
      <c r="D27" s="1286">
        <v>206</v>
      </c>
      <c r="E27" s="1287"/>
      <c r="F27" s="1309"/>
      <c r="G27" s="1668"/>
    </row>
    <row r="28" spans="1:7" ht="62.15" customHeight="1">
      <c r="A28" s="1680"/>
      <c r="B28" s="1310" t="s">
        <v>782</v>
      </c>
      <c r="C28" s="1285" t="s">
        <v>783</v>
      </c>
      <c r="D28" s="1286">
        <v>88</v>
      </c>
      <c r="E28" s="1287"/>
      <c r="F28" s="1309"/>
      <c r="G28" s="1668"/>
    </row>
    <row r="29" spans="1:7" ht="35.15" customHeight="1">
      <c r="A29" s="1680"/>
      <c r="B29" s="1310" t="s">
        <v>784</v>
      </c>
      <c r="C29" s="1285" t="s">
        <v>760</v>
      </c>
      <c r="D29" s="1286">
        <v>1</v>
      </c>
      <c r="E29" s="1287"/>
      <c r="F29" s="1287"/>
      <c r="G29" s="1668"/>
    </row>
    <row r="30" spans="1:7" ht="42" customHeight="1">
      <c r="A30" s="1680"/>
      <c r="B30" s="1284" t="s">
        <v>774</v>
      </c>
      <c r="C30" s="1300" t="s">
        <v>760</v>
      </c>
      <c r="D30" s="1292">
        <v>10</v>
      </c>
      <c r="E30" s="1282"/>
      <c r="F30" s="1304"/>
      <c r="G30" s="1668"/>
    </row>
    <row r="31" spans="1:7" ht="70.400000000000006" customHeight="1">
      <c r="A31" s="1681"/>
      <c r="B31" s="1307" t="s">
        <v>785</v>
      </c>
      <c r="C31" s="1285" t="s">
        <v>776</v>
      </c>
      <c r="D31" s="1286">
        <v>0</v>
      </c>
      <c r="E31" s="1309"/>
      <c r="F31" s="1309"/>
      <c r="G31" s="1668"/>
    </row>
    <row r="32" spans="1:7" ht="50.15" customHeight="1">
      <c r="A32" s="1682"/>
      <c r="B32" s="1684" t="s">
        <v>786</v>
      </c>
      <c r="C32" s="1685"/>
      <c r="D32" s="1685"/>
      <c r="E32" s="1685"/>
      <c r="F32" s="1685"/>
      <c r="G32" s="1668">
        <f>SUM(F33:F49)</f>
        <v>0</v>
      </c>
    </row>
    <row r="33" spans="1:7" ht="72.5">
      <c r="A33" s="1683"/>
      <c r="B33" s="1299" t="s">
        <v>787</v>
      </c>
      <c r="C33" s="1297" t="s">
        <v>757</v>
      </c>
      <c r="D33" s="1297">
        <v>3</v>
      </c>
      <c r="E33" s="1282"/>
      <c r="F33" s="1311"/>
      <c r="G33" s="1668"/>
    </row>
    <row r="34" spans="1:7" ht="42" customHeight="1">
      <c r="A34" s="1683"/>
      <c r="B34" s="1307" t="s">
        <v>788</v>
      </c>
      <c r="C34" s="1281" t="s">
        <v>773</v>
      </c>
      <c r="D34" s="1292">
        <v>1</v>
      </c>
      <c r="E34" s="1312"/>
      <c r="F34" s="1304"/>
      <c r="G34" s="1668"/>
    </row>
    <row r="35" spans="1:7" ht="54" customHeight="1">
      <c r="A35" s="1683"/>
      <c r="B35" s="1307" t="s">
        <v>789</v>
      </c>
      <c r="C35" s="1285" t="s">
        <v>776</v>
      </c>
      <c r="D35" s="1286">
        <v>0</v>
      </c>
      <c r="E35" s="1309"/>
      <c r="F35" s="1313"/>
      <c r="G35" s="1668"/>
    </row>
    <row r="36" spans="1:7" ht="42" customHeight="1">
      <c r="A36" s="1683"/>
      <c r="B36" s="1284" t="s">
        <v>774</v>
      </c>
      <c r="C36" s="1281" t="s">
        <v>773</v>
      </c>
      <c r="D36" s="1292">
        <v>1</v>
      </c>
      <c r="E36" s="1312"/>
      <c r="F36" s="1304"/>
      <c r="G36" s="1668"/>
    </row>
    <row r="37" spans="1:7" ht="64.400000000000006" customHeight="1">
      <c r="A37" s="1683"/>
      <c r="B37" s="1310" t="s">
        <v>790</v>
      </c>
      <c r="C37" s="1285" t="s">
        <v>776</v>
      </c>
      <c r="D37" s="1286">
        <v>0</v>
      </c>
      <c r="E37" s="1309"/>
      <c r="F37" s="1313"/>
      <c r="G37" s="1668"/>
    </row>
    <row r="38" spans="1:7" ht="40.4" customHeight="1">
      <c r="A38" s="1671">
        <v>1</v>
      </c>
      <c r="B38" s="1672" t="s">
        <v>791</v>
      </c>
      <c r="C38" s="1672"/>
      <c r="D38" s="1672"/>
      <c r="E38" s="1672"/>
      <c r="F38" s="1672"/>
      <c r="G38" s="1673">
        <f>SUM(F40:F49)</f>
        <v>0</v>
      </c>
    </row>
    <row r="39" spans="1:7" ht="38.15" customHeight="1">
      <c r="A39" s="1671"/>
      <c r="B39" s="1675" t="s">
        <v>792</v>
      </c>
      <c r="C39" s="1675"/>
      <c r="D39" s="1675"/>
      <c r="E39" s="1675"/>
      <c r="F39" s="1675"/>
      <c r="G39" s="1667"/>
    </row>
    <row r="40" spans="1:7" ht="35.15" customHeight="1">
      <c r="A40" s="1671"/>
      <c r="B40" s="1310" t="s">
        <v>793</v>
      </c>
      <c r="C40" s="1300" t="s">
        <v>794</v>
      </c>
      <c r="D40" s="1314">
        <v>60</v>
      </c>
      <c r="E40" s="1290"/>
      <c r="F40" s="1315"/>
      <c r="G40" s="1667"/>
    </row>
    <row r="41" spans="1:7" ht="35.15" customHeight="1">
      <c r="A41" s="1671"/>
      <c r="B41" s="1310" t="s">
        <v>795</v>
      </c>
      <c r="C41" s="1285" t="s">
        <v>760</v>
      </c>
      <c r="D41" s="1286">
        <v>1</v>
      </c>
      <c r="E41" s="1309"/>
      <c r="F41" s="1309"/>
      <c r="G41" s="1667"/>
    </row>
    <row r="42" spans="1:7" ht="35.15" customHeight="1">
      <c r="A42" s="1671"/>
      <c r="B42" s="1310" t="s">
        <v>796</v>
      </c>
      <c r="C42" s="1285" t="s">
        <v>760</v>
      </c>
      <c r="D42" s="1314">
        <v>60</v>
      </c>
      <c r="E42" s="1287"/>
      <c r="F42" s="1316"/>
      <c r="G42" s="1667"/>
    </row>
    <row r="43" spans="1:7" ht="38.15" customHeight="1">
      <c r="A43" s="1671"/>
      <c r="B43" s="1676" t="s">
        <v>797</v>
      </c>
      <c r="C43" s="1677"/>
      <c r="D43" s="1677"/>
      <c r="E43" s="1677"/>
      <c r="F43" s="1678"/>
      <c r="G43" s="1667"/>
    </row>
    <row r="44" spans="1:7" ht="35.15" customHeight="1">
      <c r="A44" s="1671"/>
      <c r="B44" s="1310" t="s">
        <v>798</v>
      </c>
      <c r="C44" s="1281" t="s">
        <v>794</v>
      </c>
      <c r="D44" s="1289">
        <v>45</v>
      </c>
      <c r="E44" s="1290"/>
      <c r="F44" s="1290"/>
      <c r="G44" s="1667"/>
    </row>
    <row r="45" spans="1:7" ht="35.15" customHeight="1">
      <c r="A45" s="1671"/>
      <c r="B45" s="1310" t="s">
        <v>799</v>
      </c>
      <c r="C45" s="1281" t="s">
        <v>794</v>
      </c>
      <c r="D45" s="1286">
        <v>1</v>
      </c>
      <c r="E45" s="1309"/>
      <c r="F45" s="1290"/>
      <c r="G45" s="1667"/>
    </row>
    <row r="46" spans="1:7" ht="35.15" customHeight="1">
      <c r="A46" s="1671"/>
      <c r="B46" s="1317" t="s">
        <v>796</v>
      </c>
      <c r="C46" s="1291" t="s">
        <v>794</v>
      </c>
      <c r="D46" s="1292">
        <v>45</v>
      </c>
      <c r="E46" s="1318"/>
      <c r="F46" s="1294"/>
      <c r="G46" s="1667"/>
    </row>
    <row r="47" spans="1:7" ht="38.15" customHeight="1">
      <c r="A47" s="1671"/>
      <c r="B47" s="1675" t="s">
        <v>800</v>
      </c>
      <c r="C47" s="1675"/>
      <c r="D47" s="1675"/>
      <c r="E47" s="1675"/>
      <c r="F47" s="1675"/>
      <c r="G47" s="1667"/>
    </row>
    <row r="48" spans="1:7" ht="35.15" customHeight="1">
      <c r="A48" s="1671"/>
      <c r="B48" s="1319" t="s">
        <v>801</v>
      </c>
      <c r="C48" s="1300" t="s">
        <v>794</v>
      </c>
      <c r="D48" s="1320">
        <v>70</v>
      </c>
      <c r="E48" s="1290"/>
      <c r="F48" s="1321"/>
      <c r="G48" s="1667"/>
    </row>
    <row r="49" spans="1:7" ht="35.15" customHeight="1">
      <c r="A49" s="1671"/>
      <c r="B49" s="1310" t="s">
        <v>802</v>
      </c>
      <c r="C49" s="1285" t="s">
        <v>760</v>
      </c>
      <c r="D49" s="1286">
        <v>1</v>
      </c>
      <c r="E49" s="1309"/>
      <c r="F49" s="1309"/>
      <c r="G49" s="1674"/>
    </row>
    <row r="50" spans="1:7" ht="45" customHeight="1">
      <c r="A50" s="1661"/>
      <c r="B50" s="1663">
        <v>70</v>
      </c>
      <c r="C50" s="1664"/>
      <c r="D50" s="1664"/>
      <c r="E50" s="1664"/>
      <c r="F50" s="1665"/>
      <c r="G50" s="1666">
        <f>SUM(F51:F54)</f>
        <v>0</v>
      </c>
    </row>
    <row r="51" spans="1:7" ht="42" customHeight="1">
      <c r="A51" s="1662"/>
      <c r="B51" s="1310" t="s">
        <v>803</v>
      </c>
      <c r="C51" s="1285" t="s">
        <v>794</v>
      </c>
      <c r="D51" s="1286">
        <v>98</v>
      </c>
      <c r="E51" s="1290"/>
      <c r="F51" s="1309"/>
      <c r="G51" s="1667"/>
    </row>
    <row r="52" spans="1:7" ht="35.15" customHeight="1">
      <c r="A52" s="1662"/>
      <c r="B52" s="1310" t="s">
        <v>804</v>
      </c>
      <c r="C52" s="1285" t="s">
        <v>794</v>
      </c>
      <c r="D52" s="1286">
        <v>1</v>
      </c>
      <c r="E52" s="1309"/>
      <c r="F52" s="1290"/>
      <c r="G52" s="1667"/>
    </row>
    <row r="53" spans="1:7" ht="35.15" customHeight="1">
      <c r="A53" s="1662"/>
      <c r="B53" s="1322" t="s">
        <v>805</v>
      </c>
      <c r="C53" s="1281" t="s">
        <v>794</v>
      </c>
      <c r="D53" s="1292">
        <v>98</v>
      </c>
      <c r="E53" s="1294"/>
      <c r="F53" s="1294"/>
      <c r="G53" s="1667"/>
    </row>
    <row r="54" spans="1:7" ht="35.15" customHeight="1">
      <c r="A54" s="1662"/>
      <c r="B54" s="1310" t="s">
        <v>806</v>
      </c>
      <c r="C54" s="1281" t="s">
        <v>794</v>
      </c>
      <c r="D54" s="1286">
        <v>1</v>
      </c>
      <c r="E54" s="1309"/>
      <c r="F54" s="1290"/>
      <c r="G54" s="1667"/>
    </row>
    <row r="55" spans="1:7" ht="40.4" customHeight="1">
      <c r="A55" s="1661"/>
      <c r="B55" s="1663" t="s">
        <v>807</v>
      </c>
      <c r="C55" s="1664"/>
      <c r="D55" s="1664"/>
      <c r="E55" s="1664"/>
      <c r="F55" s="1664"/>
      <c r="G55" s="1668">
        <f>SUM(F57:F69)</f>
        <v>0</v>
      </c>
    </row>
    <row r="56" spans="1:7" ht="38.15" customHeight="1">
      <c r="A56" s="1662"/>
      <c r="B56" s="1669" t="s">
        <v>808</v>
      </c>
      <c r="C56" s="1670"/>
      <c r="D56" s="1670"/>
      <c r="E56" s="1670"/>
      <c r="F56" s="1670"/>
      <c r="G56" s="1668"/>
    </row>
    <row r="57" spans="1:7" ht="35.15" customHeight="1">
      <c r="A57" s="1662"/>
      <c r="B57" s="1310" t="s">
        <v>809</v>
      </c>
      <c r="C57" s="1285" t="s">
        <v>794</v>
      </c>
      <c r="D57" s="1286">
        <v>24</v>
      </c>
      <c r="E57" s="1309"/>
      <c r="F57" s="1313"/>
      <c r="G57" s="1668"/>
    </row>
    <row r="58" spans="1:7" ht="42" customHeight="1">
      <c r="A58" s="1662"/>
      <c r="B58" s="1307" t="s">
        <v>810</v>
      </c>
      <c r="C58" s="1285" t="s">
        <v>760</v>
      </c>
      <c r="D58" s="1286">
        <v>1</v>
      </c>
      <c r="E58" s="1287"/>
      <c r="F58" s="1323"/>
      <c r="G58" s="1668"/>
    </row>
    <row r="59" spans="1:7" ht="35.15" customHeight="1">
      <c r="A59" s="1662"/>
      <c r="B59" s="1307" t="s">
        <v>811</v>
      </c>
      <c r="C59" s="1324" t="s">
        <v>794</v>
      </c>
      <c r="D59" s="1324">
        <v>1</v>
      </c>
      <c r="E59" s="1287"/>
      <c r="F59" s="1323"/>
      <c r="G59" s="1668"/>
    </row>
    <row r="60" spans="1:7" ht="42" customHeight="1">
      <c r="A60" s="1662"/>
      <c r="B60" s="1307" t="s">
        <v>812</v>
      </c>
      <c r="C60" s="1324" t="s">
        <v>794</v>
      </c>
      <c r="D60" s="1324">
        <v>1</v>
      </c>
      <c r="E60" s="1287"/>
      <c r="F60" s="1323"/>
      <c r="G60" s="1668"/>
    </row>
    <row r="61" spans="1:7" ht="35.15" customHeight="1">
      <c r="A61" s="1662"/>
      <c r="B61" s="1325" t="s">
        <v>813</v>
      </c>
      <c r="C61" s="1324" t="s">
        <v>794</v>
      </c>
      <c r="D61" s="1324">
        <v>1</v>
      </c>
      <c r="E61" s="1309"/>
      <c r="F61" s="1313"/>
      <c r="G61" s="1668"/>
    </row>
    <row r="62" spans="1:7" ht="35.15" customHeight="1">
      <c r="A62" s="1662"/>
      <c r="B62" s="1307" t="s">
        <v>814</v>
      </c>
      <c r="C62" s="1324" t="s">
        <v>794</v>
      </c>
      <c r="D62" s="1324">
        <v>3</v>
      </c>
      <c r="E62" s="1287"/>
      <c r="F62" s="1323"/>
      <c r="G62" s="1668"/>
    </row>
    <row r="63" spans="1:7" ht="35.15" customHeight="1">
      <c r="A63" s="1662"/>
      <c r="B63" s="1307" t="s">
        <v>815</v>
      </c>
      <c r="C63" s="1324" t="s">
        <v>794</v>
      </c>
      <c r="D63" s="1324">
        <v>1</v>
      </c>
      <c r="E63" s="1287"/>
      <c r="F63" s="1323"/>
      <c r="G63" s="1668"/>
    </row>
    <row r="64" spans="1:7" ht="35.15" customHeight="1">
      <c r="A64" s="1662"/>
      <c r="B64" s="1307" t="s">
        <v>816</v>
      </c>
      <c r="C64" s="1324" t="s">
        <v>794</v>
      </c>
      <c r="D64" s="1324">
        <v>1</v>
      </c>
      <c r="E64" s="1287"/>
      <c r="F64" s="1323"/>
      <c r="G64" s="1668"/>
    </row>
    <row r="65" spans="1:7" ht="38.15" customHeight="1">
      <c r="A65" s="1662"/>
      <c r="B65" s="1669" t="s">
        <v>817</v>
      </c>
      <c r="C65" s="1670"/>
      <c r="D65" s="1670"/>
      <c r="E65" s="1670"/>
      <c r="F65" s="1670"/>
      <c r="G65" s="1668"/>
    </row>
    <row r="66" spans="1:7" ht="35.15" customHeight="1">
      <c r="A66" s="1662"/>
      <c r="B66" s="1310" t="s">
        <v>809</v>
      </c>
      <c r="C66" s="1281" t="s">
        <v>794</v>
      </c>
      <c r="D66" s="1289">
        <v>24</v>
      </c>
      <c r="E66" s="1290"/>
      <c r="F66" s="1326"/>
      <c r="G66" s="1668"/>
    </row>
    <row r="67" spans="1:7" ht="35.15" customHeight="1">
      <c r="A67" s="1662"/>
      <c r="B67" s="1310" t="s">
        <v>818</v>
      </c>
      <c r="C67" s="1281" t="s">
        <v>794</v>
      </c>
      <c r="D67" s="1286">
        <v>1</v>
      </c>
      <c r="E67" s="1287"/>
      <c r="F67" s="1323"/>
      <c r="G67" s="1668"/>
    </row>
    <row r="68" spans="1:7" ht="35.15" customHeight="1">
      <c r="A68" s="1662"/>
      <c r="B68" s="1307" t="s">
        <v>819</v>
      </c>
      <c r="C68" s="1324" t="s">
        <v>794</v>
      </c>
      <c r="D68" s="1324">
        <v>1</v>
      </c>
      <c r="E68" s="1318"/>
      <c r="F68" s="1327"/>
      <c r="G68" s="1668"/>
    </row>
    <row r="69" spans="1:7" ht="35.15" customHeight="1">
      <c r="A69" s="1662"/>
      <c r="B69" s="1307" t="s">
        <v>820</v>
      </c>
      <c r="C69" s="1324" t="s">
        <v>794</v>
      </c>
      <c r="D69" s="1324">
        <v>1</v>
      </c>
      <c r="E69" s="1318"/>
      <c r="F69" s="1327"/>
      <c r="G69" s="1668"/>
    </row>
    <row r="70" spans="1:7" ht="39.75" customHeight="1">
      <c r="A70" s="1328"/>
      <c r="B70" s="1329"/>
      <c r="C70" s="1329"/>
      <c r="D70" s="1329"/>
      <c r="E70" s="1659" t="s">
        <v>682</v>
      </c>
      <c r="F70" s="1660"/>
      <c r="G70" s="1330">
        <f>ROUND((SUM(G6:G69)),0)</f>
        <v>0</v>
      </c>
    </row>
  </sheetData>
  <mergeCells count="34">
    <mergeCell ref="A1:G1"/>
    <mergeCell ref="A2:G2"/>
    <mergeCell ref="A3:G3"/>
    <mergeCell ref="A5:A13"/>
    <mergeCell ref="B5:G5"/>
    <mergeCell ref="B6:F6"/>
    <mergeCell ref="G6:G13"/>
    <mergeCell ref="A14:A16"/>
    <mergeCell ref="B14:F14"/>
    <mergeCell ref="G14:G16"/>
    <mergeCell ref="A17:A22"/>
    <mergeCell ref="B17:F17"/>
    <mergeCell ref="G17:G22"/>
    <mergeCell ref="A23:A31"/>
    <mergeCell ref="B23:F23"/>
    <mergeCell ref="G23:G31"/>
    <mergeCell ref="A32:A37"/>
    <mergeCell ref="B32:F32"/>
    <mergeCell ref="G32:G37"/>
    <mergeCell ref="A38:A49"/>
    <mergeCell ref="B38:F38"/>
    <mergeCell ref="G38:G49"/>
    <mergeCell ref="B39:F39"/>
    <mergeCell ref="B43:F43"/>
    <mergeCell ref="B47:F47"/>
    <mergeCell ref="E70:F70"/>
    <mergeCell ref="A50:A54"/>
    <mergeCell ref="B50:F50"/>
    <mergeCell ref="G50:G54"/>
    <mergeCell ref="A55:A69"/>
    <mergeCell ref="B55:F55"/>
    <mergeCell ref="G55:G69"/>
    <mergeCell ref="B56:F56"/>
    <mergeCell ref="B65:F65"/>
  </mergeCells>
  <pageMargins left="3.937007874015748E-2" right="3.937007874015748E-2" top="0.47244094488188976" bottom="0.47244094488188976" header="3.937007874015748E-2" footer="3.937007874015748E-2"/>
  <pageSetup scale="5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4">
    <tabColor theme="6" tint="0.59999389629810485"/>
  </sheetPr>
  <dimension ref="A1:I19"/>
  <sheetViews>
    <sheetView view="pageBreakPreview" topLeftCell="C4" zoomScaleNormal="60" zoomScaleSheetLayoutView="100" workbookViewId="0">
      <selection activeCell="F3" sqref="F3:F5"/>
    </sheetView>
  </sheetViews>
  <sheetFormatPr baseColWidth="10" defaultColWidth="11.453125" defaultRowHeight="12.5"/>
  <cols>
    <col min="2" max="2" width="63.54296875" bestFit="1" customWidth="1"/>
    <col min="3" max="3" width="17.81640625" bestFit="1" customWidth="1"/>
    <col min="4" max="4" width="20" bestFit="1" customWidth="1"/>
    <col min="5" max="5" width="24.453125" bestFit="1" customWidth="1"/>
    <col min="6" max="6" width="24.453125" customWidth="1"/>
    <col min="7" max="7" width="14.54296875" customWidth="1"/>
    <col min="8" max="8" width="19" bestFit="1" customWidth="1"/>
  </cols>
  <sheetData>
    <row r="1" spans="1:9">
      <c r="A1" s="1427" t="str">
        <f>+'PRES GENERAL MR(OXI)'!A1</f>
        <v>IMPLEMENTACIÓN DE SOLUCIONES ENERGÉTICAS CON FUENTES NO CONVENCIONALES DE ENERGÍA PARA USUARIOS EN ZONAS RURALES DEL MUNICIPIO DE TEORAMA EN EL DEPARTAMENTO DE NORTE DE SANTANDER</v>
      </c>
      <c r="B1" s="1427"/>
      <c r="C1" s="1427"/>
      <c r="D1" s="1427"/>
      <c r="E1" s="1427"/>
      <c r="F1" s="1427"/>
      <c r="G1" s="1427"/>
      <c r="H1" s="1427"/>
    </row>
    <row r="2" spans="1:9">
      <c r="A2" s="1428"/>
      <c r="B2" s="1428"/>
      <c r="C2" s="1428"/>
      <c r="D2" s="1428"/>
      <c r="E2" s="1428"/>
      <c r="F2" s="1428"/>
      <c r="G2" s="1428"/>
      <c r="H2" s="1428"/>
    </row>
    <row r="3" spans="1:9" ht="13">
      <c r="A3" s="1424" t="s">
        <v>200</v>
      </c>
      <c r="B3" s="1425"/>
      <c r="C3" s="1425"/>
      <c r="D3" s="1425"/>
      <c r="E3" s="1425"/>
      <c r="F3" s="1425"/>
      <c r="G3" s="1425"/>
      <c r="H3" s="1426"/>
    </row>
    <row r="4" spans="1:9" ht="26.5" customHeight="1">
      <c r="A4" s="135" t="s">
        <v>184</v>
      </c>
      <c r="B4" s="136" t="s">
        <v>201</v>
      </c>
      <c r="C4" s="136" t="s">
        <v>202</v>
      </c>
      <c r="D4" s="136" t="s">
        <v>203</v>
      </c>
      <c r="E4" s="136" t="s">
        <v>204</v>
      </c>
      <c r="F4" s="136" t="s">
        <v>205</v>
      </c>
      <c r="G4" s="136" t="s">
        <v>206</v>
      </c>
      <c r="H4" s="137" t="s">
        <v>5</v>
      </c>
    </row>
    <row r="5" spans="1:9" ht="13">
      <c r="A5" s="112">
        <v>1</v>
      </c>
      <c r="B5" s="139" t="str">
        <f>+CONCATENATE("Carga terrestre ",Transporte[[#This Row],[Origen]]," - ",Transporte[[#This Row],[Destino]],)</f>
        <v>Carga terrestre Bogotá - Teorama</v>
      </c>
      <c r="C5" s="77" t="s">
        <v>207</v>
      </c>
      <c r="D5" s="77" t="s">
        <v>208</v>
      </c>
      <c r="E5" s="132"/>
      <c r="F5" s="132"/>
      <c r="G5" s="132">
        <f>355.78*0.602</f>
        <v>214.17955999999998</v>
      </c>
      <c r="H5" s="140" t="s">
        <v>209</v>
      </c>
    </row>
    <row r="6" spans="1:9" ht="13">
      <c r="A6" s="112">
        <v>3</v>
      </c>
      <c r="B6" s="139" t="str">
        <f>+CONCATENATE("Carga terrestre ",Transporte[[#This Row],[Origen]]," - ",Transporte[[#This Row],[Destino]],)</f>
        <v>Carga terrestre Teorama - Comunidades</v>
      </c>
      <c r="C6" s="77" t="s">
        <v>208</v>
      </c>
      <c r="D6" s="77" t="s">
        <v>210</v>
      </c>
      <c r="E6" s="132"/>
      <c r="F6" s="132"/>
      <c r="G6" s="132">
        <v>1491</v>
      </c>
      <c r="H6" s="140" t="s">
        <v>209</v>
      </c>
      <c r="I6" s="58"/>
    </row>
    <row r="7" spans="1:9" ht="13">
      <c r="A7" s="112">
        <v>2</v>
      </c>
      <c r="B7" s="139" t="str">
        <f>+CONCATENATE("Carga terrestre sobredimensionada ",Transporte[[#This Row],[Origen]]," - ",Transporte[[#This Row],[Destino]],)</f>
        <v>Carga terrestre sobredimensionada Bogotá - Teorama</v>
      </c>
      <c r="C7" s="77" t="s">
        <v>207</v>
      </c>
      <c r="D7" s="77" t="s">
        <v>208</v>
      </c>
      <c r="E7" s="132"/>
      <c r="F7" s="134"/>
      <c r="G7" s="134">
        <f>+G6+G5</f>
        <v>1705.17956</v>
      </c>
      <c r="H7" s="140" t="s">
        <v>209</v>
      </c>
      <c r="I7" s="58"/>
    </row>
    <row r="8" spans="1:9" ht="13">
      <c r="A8" s="114">
        <v>4</v>
      </c>
      <c r="B8" s="139" t="str">
        <f>+CONCATENATE("Transporte pasajero ",Transporte[[#This Row],[Origen]]," - ",Transporte[[#This Row],[Destino]],", por trayecto")</f>
        <v>Transporte pasajero Bogotá - Teorama, por trayecto</v>
      </c>
      <c r="C8" s="133" t="s">
        <v>207</v>
      </c>
      <c r="D8" s="77" t="s">
        <v>208</v>
      </c>
      <c r="E8" s="134">
        <f>45*4500</f>
        <v>202500</v>
      </c>
      <c r="F8" s="134"/>
      <c r="G8" s="146"/>
      <c r="H8" s="140" t="s">
        <v>209</v>
      </c>
    </row>
    <row r="9" spans="1:9" ht="13">
      <c r="A9" s="112">
        <v>5</v>
      </c>
      <c r="B9" s="139" t="str">
        <f>+CONCATENATE("Transporte pasajero ",Transporte[[#This Row],[Origen]]," - ",Transporte[[#This Row],[Destino]],", por trayecto")</f>
        <v>Transporte pasajero Teorama - Comunidades, por trayecto</v>
      </c>
      <c r="C9" s="77" t="s">
        <v>208</v>
      </c>
      <c r="D9" s="77" t="s">
        <v>210</v>
      </c>
      <c r="E9" s="132">
        <v>65000</v>
      </c>
      <c r="F9" s="134"/>
      <c r="H9" s="140" t="s">
        <v>209</v>
      </c>
    </row>
    <row r="10" spans="1:9" ht="13">
      <c r="A10" s="114">
        <v>6</v>
      </c>
      <c r="B10" s="138" t="s">
        <v>211</v>
      </c>
      <c r="C10" s="77" t="s">
        <v>208</v>
      </c>
      <c r="D10" s="77" t="s">
        <v>210</v>
      </c>
      <c r="E10" s="134"/>
      <c r="F10" s="312">
        <v>7500000</v>
      </c>
      <c r="H10" s="140" t="s">
        <v>209</v>
      </c>
    </row>
    <row r="11" spans="1:9" ht="13">
      <c r="A11" s="114">
        <v>7</v>
      </c>
      <c r="B11" s="139" t="s">
        <v>212</v>
      </c>
      <c r="C11" s="77" t="s">
        <v>208</v>
      </c>
      <c r="D11" s="77" t="s">
        <v>210</v>
      </c>
      <c r="E11" s="134"/>
      <c r="F11" s="134">
        <v>2000000</v>
      </c>
      <c r="G11" s="313"/>
      <c r="H11" s="161" t="s">
        <v>209</v>
      </c>
    </row>
    <row r="12" spans="1:9" ht="13">
      <c r="A12" s="114">
        <v>8</v>
      </c>
      <c r="B12" s="139" t="s">
        <v>213</v>
      </c>
      <c r="C12" s="77" t="s">
        <v>208</v>
      </c>
      <c r="D12" s="77" t="s">
        <v>210</v>
      </c>
      <c r="E12" s="134"/>
      <c r="F12" s="134"/>
      <c r="H12" s="287"/>
    </row>
    <row r="13" spans="1:9" ht="13">
      <c r="A13" s="114">
        <v>9</v>
      </c>
      <c r="B13" s="139" t="str">
        <f>+CONCATENATE("Carga terrestre ",Transporte[[#This Row],[Origen]]," - ",Transporte[[#This Row],[Destino]],)</f>
        <v>Carga terrestre Cantera Petrea - Comunidades</v>
      </c>
      <c r="C13" s="133" t="s">
        <v>214</v>
      </c>
      <c r="D13" s="133" t="s">
        <v>210</v>
      </c>
      <c r="E13" s="134"/>
      <c r="F13" s="134"/>
      <c r="G13" s="134">
        <v>50</v>
      </c>
      <c r="H13" s="287"/>
    </row>
    <row r="14" spans="1:9" ht="13">
      <c r="A14" s="114">
        <v>10</v>
      </c>
      <c r="B14" s="139" t="s">
        <v>215</v>
      </c>
      <c r="C14" s="133" t="s">
        <v>216</v>
      </c>
      <c r="D14" s="133" t="s">
        <v>217</v>
      </c>
      <c r="E14" s="134"/>
      <c r="F14" s="134"/>
      <c r="G14">
        <v>12000</v>
      </c>
      <c r="H14" s="287"/>
    </row>
    <row r="16" spans="1:9">
      <c r="B16" s="45"/>
    </row>
    <row r="17" spans="1:2" ht="13">
      <c r="A17" s="254"/>
      <c r="B17" s="253"/>
    </row>
    <row r="18" spans="1:2">
      <c r="B18" s="34"/>
    </row>
    <row r="19" spans="1:2">
      <c r="B19" s="34"/>
    </row>
  </sheetData>
  <mergeCells count="2">
    <mergeCell ref="A3:H3"/>
    <mergeCell ref="A1:H2"/>
  </mergeCells>
  <pageMargins left="0.7" right="0.7" top="0.75" bottom="0.75" header="0.3" footer="0.3"/>
  <pageSetup paperSize="9" scale="45" orientation="portrait" r:id="rId1"/>
  <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2249F-8879-4384-93D6-24E0BEE508D1}">
  <sheetPr>
    <tabColor rgb="FF92D050"/>
    <pageSetUpPr fitToPage="1"/>
  </sheetPr>
  <dimension ref="A1:G23"/>
  <sheetViews>
    <sheetView view="pageBreakPreview" zoomScale="85" zoomScaleNormal="100" zoomScaleSheetLayoutView="85" workbookViewId="0">
      <selection activeCell="A21" sqref="A17:A21"/>
    </sheetView>
  </sheetViews>
  <sheetFormatPr baseColWidth="10" defaultColWidth="12.54296875" defaultRowHeight="14"/>
  <cols>
    <col min="1" max="1" width="24.54296875" style="1331" customWidth="1"/>
    <col min="2" max="2" width="37.54296875" style="1331" customWidth="1"/>
    <col min="3" max="3" width="30.453125" style="1331" customWidth="1"/>
    <col min="4" max="16384" width="12.54296875" style="1331"/>
  </cols>
  <sheetData>
    <row r="1" spans="1:3" ht="39.65" customHeight="1" thickBot="1">
      <c r="A1" s="1715" t="str">
        <f>+'[292]Presupuesto Interventoría'!A1</f>
        <v>IMPLEMENTACIÓN DE SOLUCIONES ENERGÉTICAS CON FUENTES NO CONVENCIONALES DE ENERGÍA PARA USUARIOS EN ZONAS RURALES DEL MUNICIPIO DE TEORAMA EN EL DEPARTAMENTO DE NORTE DE SANTANDER</v>
      </c>
      <c r="B1" s="1716"/>
      <c r="C1" s="1717"/>
    </row>
    <row r="2" spans="1:3">
      <c r="A2" s="1332" t="s">
        <v>707</v>
      </c>
      <c r="B2" s="1332" t="s">
        <v>708</v>
      </c>
      <c r="C2" s="1332" t="s">
        <v>709</v>
      </c>
    </row>
    <row r="3" spans="1:3" ht="28">
      <c r="A3" s="1718" t="s">
        <v>710</v>
      </c>
      <c r="B3" s="1333" t="s">
        <v>711</v>
      </c>
      <c r="C3" s="1719"/>
    </row>
    <row r="4" spans="1:3" ht="28">
      <c r="A4" s="1718"/>
      <c r="B4" s="1333" t="s">
        <v>713</v>
      </c>
      <c r="C4" s="1720"/>
    </row>
    <row r="5" spans="1:3" ht="28">
      <c r="A5" s="1718"/>
      <c r="B5" s="1333" t="s">
        <v>714</v>
      </c>
      <c r="C5" s="1720"/>
    </row>
    <row r="6" spans="1:3" ht="28">
      <c r="A6" s="1718"/>
      <c r="B6" s="1334" t="s">
        <v>715</v>
      </c>
      <c r="C6" s="1721"/>
    </row>
    <row r="7" spans="1:3" ht="28">
      <c r="A7" s="1718" t="s">
        <v>716</v>
      </c>
      <c r="B7" s="1333" t="s">
        <v>717</v>
      </c>
      <c r="C7" s="1719"/>
    </row>
    <row r="8" spans="1:3" ht="28">
      <c r="A8" s="1718"/>
      <c r="B8" s="1335" t="s">
        <v>719</v>
      </c>
      <c r="C8" s="1720"/>
    </row>
    <row r="9" spans="1:3" ht="28">
      <c r="A9" s="1718"/>
      <c r="B9" s="1335" t="s">
        <v>720</v>
      </c>
      <c r="C9" s="1721"/>
    </row>
    <row r="10" spans="1:3" ht="28">
      <c r="A10" s="1333" t="s">
        <v>721</v>
      </c>
      <c r="B10" s="1336" t="s">
        <v>722</v>
      </c>
      <c r="C10" s="1337"/>
    </row>
    <row r="11" spans="1:3" ht="42">
      <c r="A11" s="1333" t="s">
        <v>723</v>
      </c>
      <c r="B11" s="1333" t="s">
        <v>724</v>
      </c>
      <c r="C11" s="1337"/>
    </row>
    <row r="12" spans="1:3" ht="48" customHeight="1">
      <c r="A12" s="1333" t="s">
        <v>725</v>
      </c>
      <c r="B12" s="1335" t="s">
        <v>726</v>
      </c>
      <c r="C12" s="1335"/>
    </row>
    <row r="13" spans="1:3" ht="72.75" customHeight="1">
      <c r="A13" s="1333" t="s">
        <v>728</v>
      </c>
      <c r="B13" s="1333" t="s">
        <v>729</v>
      </c>
      <c r="C13" s="1338"/>
    </row>
    <row r="14" spans="1:3" ht="33" customHeight="1">
      <c r="A14" s="1333" t="s">
        <v>731</v>
      </c>
      <c r="B14" s="1335" t="s">
        <v>732</v>
      </c>
      <c r="C14" s="1338"/>
    </row>
    <row r="15" spans="1:3" ht="60.75" customHeight="1">
      <c r="A15" s="1333" t="s">
        <v>733</v>
      </c>
      <c r="B15" s="1335" t="s">
        <v>734</v>
      </c>
      <c r="C15" s="1338"/>
    </row>
    <row r="16" spans="1:3" ht="60.75" customHeight="1">
      <c r="A16" s="1333" t="s">
        <v>735</v>
      </c>
      <c r="B16" s="1333" t="s">
        <v>736</v>
      </c>
      <c r="C16" s="1338"/>
    </row>
    <row r="17" spans="1:7" ht="60.75" customHeight="1">
      <c r="A17" s="1333" t="s">
        <v>737</v>
      </c>
      <c r="B17" s="1333" t="s">
        <v>738</v>
      </c>
      <c r="C17" s="1338"/>
    </row>
    <row r="18" spans="1:7" ht="60.75" customHeight="1">
      <c r="A18" s="1333" t="s">
        <v>739</v>
      </c>
      <c r="B18" s="1333" t="s">
        <v>726</v>
      </c>
      <c r="C18" s="1338"/>
    </row>
    <row r="19" spans="1:7" ht="60.75" customHeight="1">
      <c r="A19" s="1333" t="s">
        <v>740</v>
      </c>
      <c r="B19" s="1333" t="s">
        <v>741</v>
      </c>
      <c r="C19" s="1338"/>
    </row>
    <row r="20" spans="1:7" ht="60.75" customHeight="1">
      <c r="A20" s="1333" t="s">
        <v>742</v>
      </c>
      <c r="B20" s="1333" t="s">
        <v>743</v>
      </c>
      <c r="C20" s="1338"/>
    </row>
    <row r="21" spans="1:7" ht="42" customHeight="1">
      <c r="A21" s="1333" t="s">
        <v>744</v>
      </c>
      <c r="B21" s="1333" t="s">
        <v>745</v>
      </c>
      <c r="C21" s="1338"/>
    </row>
    <row r="22" spans="1:7">
      <c r="A22" s="1714" t="s">
        <v>746</v>
      </c>
      <c r="B22" s="1714"/>
      <c r="C22" s="1339"/>
    </row>
    <row r="23" spans="1:7">
      <c r="G23" s="1340"/>
    </row>
  </sheetData>
  <mergeCells count="6">
    <mergeCell ref="A22:B22"/>
    <mergeCell ref="A1:C1"/>
    <mergeCell ref="A3:A6"/>
    <mergeCell ref="C3:C6"/>
    <mergeCell ref="A7:A9"/>
    <mergeCell ref="C7:C9"/>
  </mergeCells>
  <printOptions horizontalCentered="1" verticalCentered="1"/>
  <pageMargins left="0.70866141732283472" right="0.70866141732283472" top="0.74803149606299213" bottom="0.74803149606299213" header="0.31496062992125984" footer="0.31496062992125984"/>
  <pageSetup scale="76" orientation="portrait" horizontalDpi="4294967293"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1">
    <tabColor theme="0" tint="-0.14999847407452621"/>
    <pageSetUpPr fitToPage="1"/>
  </sheetPr>
  <dimension ref="A1:I41"/>
  <sheetViews>
    <sheetView view="pageBreakPreview" zoomScale="60" zoomScaleNormal="100" workbookViewId="0">
      <selection activeCell="D43" sqref="D43"/>
    </sheetView>
  </sheetViews>
  <sheetFormatPr baseColWidth="10" defaultColWidth="11.453125" defaultRowHeight="12.5"/>
  <cols>
    <col min="1" max="1" width="20.54296875" style="5" bestFit="1" customWidth="1"/>
    <col min="2" max="2" width="46.54296875" style="5" customWidth="1"/>
    <col min="3" max="3" width="12.54296875" style="5" customWidth="1"/>
    <col min="4" max="4" width="14.453125" style="5" customWidth="1"/>
    <col min="5" max="5" width="12.54296875" style="5" customWidth="1"/>
    <col min="6" max="6" width="15.453125" style="5" customWidth="1"/>
    <col min="7" max="7" width="6.453125" style="5" customWidth="1"/>
    <col min="8" max="8" width="11.453125" style="5"/>
    <col min="9" max="9" width="11.54296875" style="5" bestFit="1" customWidth="1"/>
    <col min="10" max="16384" width="11.453125" style="5"/>
  </cols>
  <sheetData>
    <row r="1" spans="1:9" ht="32.5" customHeight="1">
      <c r="A1" s="1729" t="str">
        <f>+'PRES GENERAL MR(OXI)'!A1</f>
        <v>IMPLEMENTACIÓN DE SOLUCIONES ENERGÉTICAS CON FUENTES NO CONVENCIONALES DE ENERGÍA PARA USUARIOS EN ZONAS RURALES DEL MUNICIPIO DE TEORAMA EN EL DEPARTAMENTO DE NORTE DE SANTANDER</v>
      </c>
      <c r="B1" s="1729"/>
      <c r="C1" s="1729"/>
      <c r="D1" s="1729"/>
      <c r="E1" s="1729"/>
      <c r="F1" s="1729"/>
    </row>
    <row r="3" spans="1:9" ht="12.75" customHeight="1">
      <c r="B3" s="1727" t="s">
        <v>1218</v>
      </c>
      <c r="C3" s="1728"/>
      <c r="D3" s="1728"/>
      <c r="E3" s="1728"/>
      <c r="F3" s="1728"/>
      <c r="G3" s="7"/>
    </row>
    <row r="4" spans="1:9" ht="26.5" customHeight="1">
      <c r="B4" s="1722" t="str">
        <f>+'PRES GENERAL MR(OXI)'!B5</f>
        <v>REALIZAR REPLANTEO DE OBRA</v>
      </c>
      <c r="C4" s="1723"/>
      <c r="D4" s="1724"/>
      <c r="F4" s="8" t="str">
        <f>+'PRES GENERAL MR(OXI)'!C5</f>
        <v>UN</v>
      </c>
    </row>
    <row r="5" spans="1:9" ht="13">
      <c r="B5" s="9"/>
      <c r="F5" s="10"/>
    </row>
    <row r="6" spans="1:9" ht="13">
      <c r="B6" s="11" t="s">
        <v>1219</v>
      </c>
    </row>
    <row r="7" spans="1:9" ht="13">
      <c r="A7" s="119" t="s">
        <v>184</v>
      </c>
      <c r="B7" s="12" t="s">
        <v>1</v>
      </c>
      <c r="C7" s="13" t="s">
        <v>185</v>
      </c>
      <c r="D7" s="13" t="s">
        <v>334</v>
      </c>
      <c r="E7" s="13" t="s">
        <v>751</v>
      </c>
      <c r="F7" s="13" t="s">
        <v>752</v>
      </c>
    </row>
    <row r="8" spans="1:9" ht="13.4" customHeight="1">
      <c r="A8" s="125"/>
      <c r="B8" s="43"/>
      <c r="C8" s="27"/>
      <c r="D8" s="28"/>
      <c r="E8" s="44"/>
      <c r="F8" s="44"/>
      <c r="H8" s="33"/>
    </row>
    <row r="9" spans="1:9">
      <c r="B9" s="14"/>
      <c r="C9" s="15"/>
      <c r="D9" s="16"/>
      <c r="E9" s="17"/>
      <c r="F9" s="17"/>
    </row>
    <row r="10" spans="1:9">
      <c r="B10" s="14"/>
      <c r="C10" s="15"/>
      <c r="D10" s="16"/>
      <c r="E10" s="17"/>
      <c r="F10" s="17"/>
    </row>
    <row r="11" spans="1:9">
      <c r="B11" s="14"/>
      <c r="C11" s="15"/>
      <c r="D11" s="16"/>
      <c r="E11" s="17"/>
      <c r="F11" s="17"/>
    </row>
    <row r="12" spans="1:9">
      <c r="B12" s="14"/>
      <c r="C12" s="15"/>
      <c r="D12" s="16"/>
      <c r="E12" s="17"/>
      <c r="F12" s="17"/>
      <c r="I12" s="33"/>
    </row>
    <row r="13" spans="1:9" ht="13">
      <c r="D13" s="18"/>
      <c r="E13" s="19" t="s">
        <v>1220</v>
      </c>
      <c r="F13" s="37">
        <f>SUM(F8:F12)</f>
        <v>0</v>
      </c>
    </row>
    <row r="15" spans="1:9" ht="13">
      <c r="B15" s="20" t="s">
        <v>1221</v>
      </c>
    </row>
    <row r="16" spans="1:9" ht="13">
      <c r="A16" s="119" t="s">
        <v>184</v>
      </c>
      <c r="B16" s="12" t="s">
        <v>1</v>
      </c>
      <c r="C16" s="13" t="s">
        <v>334</v>
      </c>
      <c r="D16" s="13" t="s">
        <v>1222</v>
      </c>
      <c r="E16" s="13" t="s">
        <v>307</v>
      </c>
      <c r="F16" s="13" t="s">
        <v>752</v>
      </c>
    </row>
    <row r="17" spans="1:8" ht="14.5">
      <c r="A17" s="125">
        <v>2</v>
      </c>
      <c r="B17" s="122" t="str">
        <f>VLOOKUP(A17,Equip.Herram[],2,FALSE)</f>
        <v>GPS</v>
      </c>
      <c r="C17" s="15">
        <v>1</v>
      </c>
      <c r="D17" s="36">
        <f>VLOOKUP(A17,Equip.Herram[],4,FALSE)</f>
        <v>30000</v>
      </c>
      <c r="E17" s="16">
        <f>+RENDIMIENTOS!C7</f>
        <v>15</v>
      </c>
      <c r="F17" s="36">
        <f>ROUND(C17*D17/E17,0)</f>
        <v>2000</v>
      </c>
    </row>
    <row r="18" spans="1:8" ht="14.5">
      <c r="A18" s="125">
        <v>4</v>
      </c>
      <c r="B18" s="122" t="str">
        <f>VLOOKUP(A18,Equip.Herram[],2,FALSE)</f>
        <v>Camara y comunicaciones</v>
      </c>
      <c r="C18" s="15">
        <v>1</v>
      </c>
      <c r="D18" s="36">
        <f>VLOOKUP(A18,Equip.Herram[],4,FALSE)</f>
        <v>18333</v>
      </c>
      <c r="E18" s="16">
        <f>+E17</f>
        <v>15</v>
      </c>
      <c r="F18" s="36">
        <f>ROUND(C18*D18/E18,0)</f>
        <v>1222</v>
      </c>
    </row>
    <row r="19" spans="1:8">
      <c r="B19" s="14"/>
      <c r="C19" s="15"/>
      <c r="D19" s="17"/>
      <c r="E19" s="22"/>
      <c r="F19" s="21"/>
    </row>
    <row r="20" spans="1:8" ht="13">
      <c r="D20" s="18"/>
      <c r="E20" s="19" t="s">
        <v>1220</v>
      </c>
      <c r="F20" s="37">
        <f>SUM(F17:F19)</f>
        <v>3222</v>
      </c>
    </row>
    <row r="21" spans="1:8" ht="13">
      <c r="D21" s="18"/>
      <c r="E21" s="18"/>
      <c r="F21" s="23"/>
    </row>
    <row r="22" spans="1:8" ht="13">
      <c r="B22" s="11" t="s">
        <v>1223</v>
      </c>
      <c r="F22" s="24"/>
    </row>
    <row r="23" spans="1:8" ht="13">
      <c r="A23" s="119" t="s">
        <v>184</v>
      </c>
      <c r="B23" s="12" t="s">
        <v>1</v>
      </c>
      <c r="C23" s="13" t="s">
        <v>1224</v>
      </c>
      <c r="D23" s="13" t="s">
        <v>186</v>
      </c>
      <c r="E23" s="13" t="s">
        <v>307</v>
      </c>
      <c r="F23" s="25" t="s">
        <v>752</v>
      </c>
      <c r="H23" s="39"/>
    </row>
    <row r="24" spans="1:8" ht="26.5" customHeight="1">
      <c r="A24" s="125">
        <v>7</v>
      </c>
      <c r="B24" s="122" t="str">
        <f>VLOOKUP(A24,Transporte[],2,FALSE)</f>
        <v>Alquiler motocicleta con conductor, valor mensual</v>
      </c>
      <c r="C24" s="28">
        <v>2</v>
      </c>
      <c r="D24" s="141">
        <f>VLOOKUP(A24,Transporte[],6,FALSE)/30</f>
        <v>66666.666666666672</v>
      </c>
      <c r="E24" s="28">
        <f>+E17</f>
        <v>15</v>
      </c>
      <c r="F24" s="35">
        <f>ROUND(C24*D24/E24,0)</f>
        <v>8889</v>
      </c>
    </row>
    <row r="25" spans="1:8" ht="26.5" customHeight="1">
      <c r="B25" s="99"/>
      <c r="C25" s="28"/>
      <c r="D25" s="61"/>
      <c r="E25" s="28"/>
      <c r="F25" s="35"/>
    </row>
    <row r="26" spans="1:8" ht="14.5" customHeight="1">
      <c r="B26" s="26"/>
      <c r="C26" s="27"/>
      <c r="D26" s="28"/>
      <c r="E26" s="35"/>
      <c r="F26" s="35"/>
    </row>
    <row r="27" spans="1:8" ht="13">
      <c r="D27" s="18"/>
      <c r="E27" s="29" t="s">
        <v>1220</v>
      </c>
      <c r="F27" s="37">
        <f>SUM(F24:F26)</f>
        <v>8889</v>
      </c>
    </row>
    <row r="28" spans="1:8" ht="13">
      <c r="D28" s="18"/>
      <c r="F28" s="23"/>
    </row>
    <row r="29" spans="1:8" ht="13">
      <c r="B29" s="11" t="s">
        <v>1225</v>
      </c>
      <c r="D29" s="30"/>
      <c r="E29" s="31"/>
      <c r="F29" s="24"/>
    </row>
    <row r="30" spans="1:8" s="18" customFormat="1" ht="13">
      <c r="A30" s="119" t="s">
        <v>184</v>
      </c>
      <c r="B30" s="12" t="s">
        <v>1</v>
      </c>
      <c r="C30" s="13" t="s">
        <v>1226</v>
      </c>
      <c r="D30" s="13" t="s">
        <v>1227</v>
      </c>
      <c r="E30" s="13" t="s">
        <v>307</v>
      </c>
      <c r="F30" s="25" t="s">
        <v>752</v>
      </c>
    </row>
    <row r="31" spans="1:8" ht="14.5">
      <c r="A31" s="125">
        <v>3</v>
      </c>
      <c r="B31" s="122" t="str">
        <f>VLOOKUP(A31,ManoObra[],2,FALSE)</f>
        <v>Topografo</v>
      </c>
      <c r="C31" s="40">
        <f>VLOOKUP(A31,ManoObra[],7,FALSE)</f>
        <v>96425</v>
      </c>
      <c r="D31" s="22">
        <f>FP!$B$28</f>
        <v>1.61</v>
      </c>
      <c r="E31" s="16">
        <f>+E17</f>
        <v>15</v>
      </c>
      <c r="F31" s="36">
        <f>ROUND(C31*D31/E31,0)</f>
        <v>10350</v>
      </c>
    </row>
    <row r="32" spans="1:8" ht="14.5">
      <c r="A32" s="125">
        <v>2</v>
      </c>
      <c r="B32" s="122" t="str">
        <f>VLOOKUP(A32,ManoObra[],2,FALSE)</f>
        <v>Ayudante</v>
      </c>
      <c r="C32" s="40">
        <f>VLOOKUP(A32,ManoObra[],7,FALSE)</f>
        <v>66050</v>
      </c>
      <c r="D32" s="22">
        <f>FP!$B$28</f>
        <v>1.61</v>
      </c>
      <c r="E32" s="16">
        <f>+E31</f>
        <v>15</v>
      </c>
      <c r="F32" s="36">
        <f>ROUND(C32*D32/E32,0)</f>
        <v>7089</v>
      </c>
    </row>
    <row r="33" spans="1:6">
      <c r="B33" s="32"/>
      <c r="C33" s="40"/>
      <c r="D33" s="22"/>
      <c r="E33" s="48"/>
      <c r="F33" s="36"/>
    </row>
    <row r="34" spans="1:6" ht="13">
      <c r="D34" s="18"/>
      <c r="E34" s="19" t="s">
        <v>1220</v>
      </c>
      <c r="F34" s="37">
        <f>SUM(F31:F33)</f>
        <v>17439</v>
      </c>
    </row>
    <row r="35" spans="1:6" ht="13">
      <c r="D35" s="18"/>
      <c r="F35" s="24"/>
    </row>
    <row r="36" spans="1:6" ht="12.75" customHeight="1">
      <c r="A36"/>
      <c r="B36"/>
      <c r="D36" s="1725" t="s">
        <v>1228</v>
      </c>
      <c r="E36" s="1726"/>
      <c r="F36" s="38">
        <f>F13+F20+F27+F34</f>
        <v>29550</v>
      </c>
    </row>
    <row r="37" spans="1:6" ht="13">
      <c r="A37" s="441"/>
      <c r="B37"/>
      <c r="D37" s="18"/>
      <c r="E37" s="10"/>
      <c r="F37" s="41"/>
    </row>
    <row r="38" spans="1:6" ht="13">
      <c r="A38" s="442"/>
      <c r="B38" s="441"/>
    </row>
    <row r="39" spans="1:6">
      <c r="B39" s="441"/>
    </row>
    <row r="40" spans="1:6" ht="14">
      <c r="B40" s="840"/>
    </row>
    <row r="41" spans="1:6" ht="62">
      <c r="B41" s="1027" t="s">
        <v>1080</v>
      </c>
    </row>
  </sheetData>
  <mergeCells count="4">
    <mergeCell ref="B4:D4"/>
    <mergeCell ref="D36:E36"/>
    <mergeCell ref="B3:F3"/>
    <mergeCell ref="A1:F1"/>
  </mergeCells>
  <printOptions horizontalCentered="1"/>
  <pageMargins left="0.70866141732283472" right="0.70866141732283472" top="1.5748031496062993" bottom="0.98425196850393704" header="0.98425196850393704" footer="0.51181102362204722"/>
  <pageSetup scale="75" orientation="portrait" r:id="rId1"/>
  <headerFooter alignWithMargins="0">
    <oddHeader xml:space="preserve">&amp;C&amp;"Arial,Negrita"&amp;12ANÁLISIS DE PRECIOS UNITARIOS
</oddHead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
    <tabColor theme="4" tint="0.59999389629810485"/>
    <pageSetUpPr fitToPage="1"/>
  </sheetPr>
  <dimension ref="A1:I39"/>
  <sheetViews>
    <sheetView view="pageBreakPreview" topLeftCell="A13" zoomScale="80" zoomScaleNormal="100" zoomScaleSheetLayoutView="80" workbookViewId="0">
      <selection activeCell="D43" sqref="D4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8.453125" style="5" customWidth="1"/>
    <col min="8" max="8" width="6.453125" style="5" customWidth="1"/>
    <col min="9" max="9" width="11.453125" style="5"/>
    <col min="10" max="10" width="11.54296875" style="5" bestFit="1" customWidth="1"/>
    <col min="11" max="16384" width="11.453125" style="5"/>
  </cols>
  <sheetData>
    <row r="1" spans="1:9" ht="31.4"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+'PRES. SISFV 2010 W B200'!A6</f>
        <v>1.1.1</v>
      </c>
      <c r="C3" s="1728"/>
      <c r="D3" s="1728"/>
      <c r="E3" s="1728"/>
      <c r="F3" s="1728"/>
      <c r="G3" s="6" t="s">
        <v>1229</v>
      </c>
      <c r="H3" s="7"/>
    </row>
    <row r="4" spans="1:9" ht="87.65" customHeight="1">
      <c r="B4" s="1722" t="str">
        <f>+'PRES. SISFV 2010 W B200'!B6</f>
        <v>Suministro e instalación de módulos solares fotovoltaicos monocristalinos 2010 Wp (3 paneles de 670 Wp) cada uno con las siguientes características: ƞ=21.57%+3%. Condiciones STC. Garantía de producción a 12 años del 90% y del 80% a 25 años, temperatura de trabajo de -40ºC+85ºC, IEC61205, con certificación de Conformidad de Producto Internacional.</v>
      </c>
      <c r="C4" s="1723"/>
      <c r="D4" s="1724"/>
      <c r="E4" s="328"/>
      <c r="G4" s="8" t="str">
        <f>+'PRES. SISFV 2010 W B200'!C6</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25">
      <c r="A8" s="125">
        <v>360</v>
      </c>
      <c r="B8" s="122" t="str">
        <f>VLOOKUP(A8,Materiales[],3,FALSE)</f>
        <v>Módulo solar fotovoltaico monocristalino tipo PERC "Half Cell" TIER 1 de 670 Wp</v>
      </c>
      <c r="C8" s="121" t="str">
        <f>VLOOKUP(A8,Materiales[],4,FALSE)</f>
        <v>UN</v>
      </c>
      <c r="D8" s="440">
        <v>3</v>
      </c>
      <c r="E8" s="329">
        <f>VLOOKUP(A8,Materiales[],5,FALSE)*D8</f>
        <v>115.5</v>
      </c>
      <c r="F8" s="123">
        <f>VLOOKUP(A8,Materiales[],6,FALSE)</f>
        <v>867147</v>
      </c>
      <c r="G8" s="123">
        <f>ROUND(D8*F8,0)</f>
        <v>2601441</v>
      </c>
      <c r="I8" s="33"/>
    </row>
    <row r="9" spans="1:9" ht="25">
      <c r="A9" s="125">
        <v>380</v>
      </c>
      <c r="B9" s="122" t="str">
        <f>VLOOKUP(A9,Materiales[],3,FALSE)</f>
        <v>Caja Combinadora Barraje Bornera 2 canales x 125A 500V</v>
      </c>
      <c r="C9" s="121" t="str">
        <f>VLOOKUP(A9,Materiales[],4,FALSE)</f>
        <v>Und</v>
      </c>
      <c r="D9" s="440">
        <v>1</v>
      </c>
      <c r="E9" s="329">
        <f>VLOOKUP(A9,Materiales[],5,FALSE)*D9</f>
        <v>0.5</v>
      </c>
      <c r="F9" s="123">
        <f>VLOOKUP(A9,Materiales[],6,FALSE)</f>
        <v>84557</v>
      </c>
      <c r="G9" s="123">
        <f>ROUND(D9*F9,0)</f>
        <v>84557</v>
      </c>
      <c r="I9" s="33"/>
    </row>
    <row r="10" spans="1:9" ht="14.5">
      <c r="A10" s="117">
        <v>234</v>
      </c>
      <c r="B10" s="122" t="str">
        <f>VLOOKUP(A10,Materiales[],3,FALSE)</f>
        <v>Cable Cu solar XLPE 6mm 1kV 120 °C</v>
      </c>
      <c r="C10" s="121" t="str">
        <f>VLOOKUP(A10,Materiales[],4,FALSE)</f>
        <v>ML</v>
      </c>
      <c r="D10" s="772">
        <v>2</v>
      </c>
      <c r="E10" s="329">
        <f>VLOOKUP(A10,Materiales[],5,FALSE)*D10</f>
        <v>0.13039999999999999</v>
      </c>
      <c r="F10" s="123">
        <f>VLOOKUP(A10,Materiales[],6,FALSE)</f>
        <v>7623</v>
      </c>
      <c r="G10" s="123">
        <f t="shared" ref="G10:G11" si="0">ROUND(D10*F10,0)</f>
        <v>15246</v>
      </c>
    </row>
    <row r="11" spans="1:9" ht="24" customHeight="1">
      <c r="A11" s="117">
        <v>3</v>
      </c>
      <c r="B11" s="122" t="str">
        <f>VLOOKUP(A11,Materiales[],3,FALSE)</f>
        <v>Conector hembra o macho MC4, 100V para cable de 6mm2</v>
      </c>
      <c r="C11" s="121" t="str">
        <f>VLOOKUP(A11,Materiales[],4,FALSE)</f>
        <v>UN</v>
      </c>
      <c r="D11" s="440">
        <v>2</v>
      </c>
      <c r="E11" s="329">
        <f>VLOOKUP(A11,Materiales[],5,FALSE)*D11</f>
        <v>0.2</v>
      </c>
      <c r="F11" s="123">
        <f>VLOOKUP(A11,Materiales[],6,FALSE)</f>
        <v>11284</v>
      </c>
      <c r="G11" s="123">
        <f t="shared" si="0"/>
        <v>22568</v>
      </c>
    </row>
    <row r="12" spans="1:9" ht="13">
      <c r="D12" s="18"/>
      <c r="E12" s="18"/>
      <c r="F12" s="29" t="s">
        <v>1220</v>
      </c>
      <c r="G12" s="728">
        <f>SUM(G8:G11)</f>
        <v>2723812</v>
      </c>
    </row>
    <row r="14" spans="1:9" ht="13">
      <c r="B14" s="20" t="s">
        <v>1221</v>
      </c>
      <c r="G14" s="39"/>
    </row>
    <row r="15" spans="1:9" ht="13">
      <c r="A15" s="119" t="s">
        <v>184</v>
      </c>
      <c r="B15" s="120" t="s">
        <v>1</v>
      </c>
      <c r="C15" s="13" t="s">
        <v>1231</v>
      </c>
      <c r="D15" s="13" t="s">
        <v>1222</v>
      </c>
      <c r="E15" s="13"/>
      <c r="F15" s="13" t="s">
        <v>307</v>
      </c>
      <c r="G15" s="13" t="s">
        <v>752</v>
      </c>
    </row>
    <row r="16" spans="1:9" ht="14.5">
      <c r="A16" s="125">
        <v>1</v>
      </c>
      <c r="B16" s="122" t="str">
        <f>VLOOKUP(A16,Equip.Herram[],2,FALSE)</f>
        <v>Herramienta menor</v>
      </c>
      <c r="C16" s="15" t="str">
        <f>VLOOKUP(A16,Equip.Herram[],3,FALSE)</f>
        <v>UN</v>
      </c>
      <c r="D16" s="36">
        <f>VLOOKUP(A16,Equip.Herram[],4,FALSE)</f>
        <v>24840</v>
      </c>
      <c r="E16" s="36"/>
      <c r="F16" s="16">
        <v>1</v>
      </c>
      <c r="G16" s="36">
        <f>ROUND(D16/F16,0)</f>
        <v>24840</v>
      </c>
    </row>
    <row r="17" spans="1:9">
      <c r="B17" s="14"/>
      <c r="C17" s="15"/>
      <c r="D17" s="17"/>
      <c r="E17" s="17"/>
      <c r="F17" s="22" t="s">
        <v>1232</v>
      </c>
      <c r="G17" s="21"/>
    </row>
    <row r="18" spans="1:9">
      <c r="B18" s="14"/>
      <c r="C18" s="15"/>
      <c r="D18" s="17"/>
      <c r="E18" s="17"/>
      <c r="F18" s="22"/>
      <c r="G18" s="21"/>
    </row>
    <row r="19" spans="1:9" ht="13">
      <c r="D19" s="18"/>
      <c r="E19" s="18"/>
      <c r="F19" s="19" t="s">
        <v>1220</v>
      </c>
      <c r="G19" s="37">
        <f>SUM(G16:G18)</f>
        <v>24840</v>
      </c>
    </row>
    <row r="20" spans="1:9" ht="13">
      <c r="D20" s="18"/>
      <c r="E20" s="18"/>
      <c r="F20" s="18"/>
      <c r="G20" s="23"/>
    </row>
    <row r="21" spans="1:9" ht="13">
      <c r="B21" s="11" t="s">
        <v>1223</v>
      </c>
      <c r="G21" s="24"/>
    </row>
    <row r="22" spans="1:9" ht="13">
      <c r="A22" s="119" t="s">
        <v>184</v>
      </c>
      <c r="B22" s="12" t="s">
        <v>1</v>
      </c>
      <c r="C22" s="13" t="s">
        <v>185</v>
      </c>
      <c r="D22" s="13" t="s">
        <v>1230</v>
      </c>
      <c r="E22" s="13"/>
      <c r="F22" s="13" t="s">
        <v>1233</v>
      </c>
      <c r="G22" s="25" t="s">
        <v>752</v>
      </c>
      <c r="I22" s="39"/>
    </row>
    <row r="23" spans="1:9" ht="26.5" customHeight="1">
      <c r="A23" s="125">
        <v>1</v>
      </c>
      <c r="B23" s="122" t="str">
        <f>VLOOKUP(A23,Transporte[],2,FALSE)</f>
        <v>Carga terrestre Bogotá - Teorama</v>
      </c>
      <c r="C23" s="27" t="s">
        <v>1234</v>
      </c>
      <c r="D23" s="440">
        <f>+SUM(E8:E11)</f>
        <v>116.3304</v>
      </c>
      <c r="E23" s="440"/>
      <c r="F23" s="142">
        <f>VLOOKUP(A23,Transporte[],7,FALSE)</f>
        <v>214.17955999999998</v>
      </c>
      <c r="G23" s="35">
        <f>D23*F23</f>
        <v>24915.593886623996</v>
      </c>
    </row>
    <row r="24" spans="1:9" ht="13.4" customHeight="1">
      <c r="A24" s="125">
        <v>3</v>
      </c>
      <c r="B24" s="122" t="str">
        <f>VLOOKUP(A24,Transporte[],2,FALSE)</f>
        <v>Carga terrestre Teorama - Comunidades</v>
      </c>
      <c r="C24" s="27" t="s">
        <v>1234</v>
      </c>
      <c r="D24" s="440">
        <f>+SUM(E8:E11)</f>
        <v>116.3304</v>
      </c>
      <c r="E24" s="440"/>
      <c r="F24" s="142">
        <f>VLOOKUP(A24,Transporte[],7,FALSE)</f>
        <v>1491</v>
      </c>
      <c r="G24" s="35">
        <f>D24*F24</f>
        <v>173448.62640000001</v>
      </c>
    </row>
    <row r="25" spans="1:9" ht="13.4" customHeight="1">
      <c r="B25" s="26"/>
      <c r="C25" s="27"/>
      <c r="D25" s="28"/>
      <c r="E25" s="28"/>
      <c r="F25" s="35"/>
      <c r="G25" s="35"/>
    </row>
    <row r="26" spans="1:9" ht="13">
      <c r="D26" s="18"/>
      <c r="E26" s="18"/>
      <c r="F26" s="29" t="s">
        <v>1220</v>
      </c>
      <c r="G26" s="37">
        <f>SUM(G23:G25)</f>
        <v>198364.22028662401</v>
      </c>
    </row>
    <row r="27" spans="1:9" ht="13">
      <c r="D27" s="18"/>
      <c r="E27" s="18"/>
      <c r="G27" s="23"/>
    </row>
    <row r="28" spans="1:9" ht="13">
      <c r="B28" s="11" t="s">
        <v>1225</v>
      </c>
      <c r="D28" s="30"/>
      <c r="E28" s="30"/>
      <c r="F28" s="31"/>
      <c r="G28" s="24"/>
    </row>
    <row r="29" spans="1:9" s="18" customFormat="1" ht="13">
      <c r="A29" s="119" t="s">
        <v>184</v>
      </c>
      <c r="B29" s="12" t="s">
        <v>1</v>
      </c>
      <c r="C29" s="13" t="s">
        <v>1226</v>
      </c>
      <c r="D29" s="13" t="s">
        <v>1227</v>
      </c>
      <c r="E29" s="13"/>
      <c r="F29" s="13" t="s">
        <v>307</v>
      </c>
      <c r="G29" s="25" t="s">
        <v>752</v>
      </c>
    </row>
    <row r="30" spans="1:9" ht="14.5">
      <c r="A30" s="125">
        <v>1</v>
      </c>
      <c r="B30" s="122" t="str">
        <f>VLOOKUP(A30,ManoObra[],2,FALSE)</f>
        <v>Electricista</v>
      </c>
      <c r="C30" s="40">
        <f>VLOOKUP(A30,ManoObra[],7,FALSE)</f>
        <v>71863</v>
      </c>
      <c r="D30" s="22">
        <f>FP!$B$28</f>
        <v>1.61</v>
      </c>
      <c r="E30" s="22"/>
      <c r="F30" s="16">
        <f>+RENDIMIENTOS!C15/2</f>
        <v>3</v>
      </c>
      <c r="G30" s="36">
        <f>ROUND(C30*D30/F30,0)</f>
        <v>38566</v>
      </c>
      <c r="I30" s="81"/>
    </row>
    <row r="31" spans="1:9" ht="14.5">
      <c r="A31" s="125">
        <v>2</v>
      </c>
      <c r="B31" s="122" t="str">
        <f>VLOOKUP(A31,ManoObra[],2,FALSE)</f>
        <v>Ayudante</v>
      </c>
      <c r="C31" s="40">
        <f>VLOOKUP(A31,ManoObra[],7,FALSE)</f>
        <v>66050</v>
      </c>
      <c r="D31" s="22">
        <f>FP!$B$28</f>
        <v>1.61</v>
      </c>
      <c r="E31" s="22"/>
      <c r="F31" s="16">
        <f>+F30</f>
        <v>3</v>
      </c>
      <c r="G31" s="36">
        <f>ROUND(C31*D31/F31,0)</f>
        <v>35447</v>
      </c>
      <c r="I31" s="81"/>
    </row>
    <row r="32" spans="1:9" ht="13">
      <c r="D32" s="18"/>
      <c r="E32" s="18"/>
      <c r="F32" s="29" t="s">
        <v>1220</v>
      </c>
      <c r="G32" s="42">
        <f>SUM(G30:G31)</f>
        <v>74013</v>
      </c>
    </row>
    <row r="33" spans="1:7" ht="13">
      <c r="D33" s="18"/>
      <c r="E33" s="18"/>
      <c r="G33" s="24"/>
    </row>
    <row r="34" spans="1:7" ht="12.75" customHeight="1">
      <c r="A34"/>
      <c r="B34"/>
      <c r="D34" s="1725" t="s">
        <v>1228</v>
      </c>
      <c r="E34" s="1730"/>
      <c r="F34" s="1726"/>
      <c r="G34" s="38">
        <f>G12+G19+G26+G32</f>
        <v>3021029.220286624</v>
      </c>
    </row>
    <row r="35" spans="1:7" ht="13">
      <c r="A35" s="441"/>
      <c r="B35"/>
      <c r="D35" s="18"/>
      <c r="E35" s="18"/>
      <c r="F35" s="10"/>
      <c r="G35" s="41"/>
    </row>
    <row r="36" spans="1:7" ht="13">
      <c r="A36" s="442"/>
      <c r="B36" s="441"/>
    </row>
    <row r="37" spans="1:7">
      <c r="B37" s="441"/>
    </row>
    <row r="38" spans="1:7" ht="14">
      <c r="B38" s="840"/>
    </row>
    <row r="39" spans="1:7" ht="46.5">
      <c r="B39" s="1027" t="s">
        <v>1235</v>
      </c>
    </row>
  </sheetData>
  <mergeCells count="4">
    <mergeCell ref="B3:F3"/>
    <mergeCell ref="B4:D4"/>
    <mergeCell ref="D34:F34"/>
    <mergeCell ref="A1:G1"/>
  </mergeCells>
  <printOptions horizontalCentered="1"/>
  <pageMargins left="0.70866141732283472" right="0.70866141732283472" top="1.5748031496062993" bottom="0.98425196850393704" header="0.98425196850393704" footer="0.51181102362204722"/>
  <pageSetup scale="74" orientation="portrait" r:id="rId1"/>
  <headerFooter alignWithMargins="0">
    <oddHeader xml:space="preserve">&amp;C&amp;"Arial,Negrita"&amp;12ANÁLISIS DE PRECIOS UNITARIOS
</oddHeader>
  </headerFooter>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59999389629810485"/>
    <pageSetUpPr fitToPage="1"/>
  </sheetPr>
  <dimension ref="A1:I40"/>
  <sheetViews>
    <sheetView view="pageBreakPreview" zoomScale="85" zoomScaleNormal="100" zoomScaleSheetLayoutView="85" workbookViewId="0">
      <selection activeCell="D43" sqref="D4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3.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SISFV 2010 W B200'!A7)</f>
        <v>ITEM:  1.1.2</v>
      </c>
      <c r="C3" s="1728"/>
      <c r="D3" s="1728"/>
      <c r="E3" s="1728"/>
      <c r="F3" s="1728"/>
      <c r="G3" s="6" t="s">
        <v>1229</v>
      </c>
      <c r="H3" s="7"/>
    </row>
    <row r="4" spans="1:9" ht="93" customHeight="1">
      <c r="B4" s="1722" t="str">
        <f>+'PRES. SISFV 2010 W B200'!B7</f>
        <v>Acometida principal eléctrica subterránea desde los módulos solares hasta el gabinete de diseño especial. Incluye: Hasta 10 m de tubería PVC de 3/4" inmersa dentro del tubo de soporte del panel y subterránea, hasta 1.5 m de tubería IMC de 3/4" a la vista hasta llegar al gabinete, 2 curvas PVC de 3/4", 2 terminales para tubo IMC de 3/4", 2 curvas galvanizada IMC de 3/4" y hasta 12 m de cable: 1x10 AWG Positivo + 1x10 AWG Negativo + 1x8 AWG Tierra y accesorios de conexión.</v>
      </c>
      <c r="C4" s="1723"/>
      <c r="D4" s="1724"/>
      <c r="E4" s="328"/>
      <c r="G4" s="8" t="str">
        <f>+'PRES. SISFV 2010 W B200'!C7</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131</v>
      </c>
      <c r="B8" s="122" t="str">
        <f>VLOOKUP(A8,Materiales[],3,FALSE)</f>
        <v>Cable Cu solar XLPE 10 AWG 1kV 120 °C</v>
      </c>
      <c r="C8" s="121" t="str">
        <f>VLOOKUP(A8,Materiales[],4,FALSE)</f>
        <v>ML</v>
      </c>
      <c r="D8" s="118">
        <v>24</v>
      </c>
      <c r="E8" s="335">
        <f>VLOOKUP(A8,Materiales[],5,FALSE)*D8</f>
        <v>1.3968</v>
      </c>
      <c r="F8" s="123">
        <f>VLOOKUP(A8,Materiales[],6,FALSE)</f>
        <v>5775</v>
      </c>
      <c r="G8" s="123">
        <f>ROUND(D8*F8,0)</f>
        <v>138600</v>
      </c>
      <c r="I8" s="33"/>
    </row>
    <row r="9" spans="1:9" ht="14.5">
      <c r="A9" s="117">
        <v>1321</v>
      </c>
      <c r="B9" s="122" t="str">
        <f>VLOOKUP(A9,Materiales[],3,FALSE)</f>
        <v>Cable Cu THHN 10 AWG verde</v>
      </c>
      <c r="C9" s="121" t="str">
        <f>VLOOKUP(A9,Materiales[],4,FALSE)</f>
        <v>ML</v>
      </c>
      <c r="D9" s="331">
        <v>12</v>
      </c>
      <c r="E9" s="335">
        <f>VLOOKUP(A9,Materiales[],5,FALSE)*D9</f>
        <v>0.70800000000000007</v>
      </c>
      <c r="F9" s="123">
        <f>VLOOKUP(A9,Materiales[],6,FALSE)</f>
        <v>4633</v>
      </c>
      <c r="G9" s="123">
        <f t="shared" ref="G9" si="0">ROUND(D9*F9,0)</f>
        <v>55596</v>
      </c>
    </row>
    <row r="10" spans="1:9" ht="14.5">
      <c r="A10" s="117">
        <v>83</v>
      </c>
      <c r="B10" s="122" t="str">
        <f>VLOOKUP(A10,Materiales[],3,FALSE)</f>
        <v>Tuberia conduit PVC tipo A 3/4"</v>
      </c>
      <c r="C10" s="121" t="str">
        <f>VLOOKUP(A10,Materiales[],4,FALSE)</f>
        <v>ML</v>
      </c>
      <c r="D10" s="331">
        <v>10</v>
      </c>
      <c r="E10" s="335">
        <f>VLOOKUP(A10,Materiales[],5,FALSE)*D10</f>
        <v>1.9333333333333333</v>
      </c>
      <c r="F10" s="123">
        <f>VLOOKUP(A10,Materiales[],6,FALSE)</f>
        <v>2223</v>
      </c>
      <c r="G10" s="123">
        <f t="shared" ref="G10:G13" si="1">ROUND(D10*F10,0)</f>
        <v>22230</v>
      </c>
    </row>
    <row r="11" spans="1:9" ht="14.5">
      <c r="A11" s="117">
        <v>133</v>
      </c>
      <c r="B11" s="122" t="str">
        <f>VLOOKUP(A11,Materiales[],3,FALSE)</f>
        <v>Uniones, curvas y terminales IMC. Varios calibres</v>
      </c>
      <c r="C11" s="121" t="str">
        <f>VLOOKUP(A11,Materiales[],4,FALSE)</f>
        <v>UN</v>
      </c>
      <c r="D11" s="331">
        <v>6</v>
      </c>
      <c r="E11" s="329">
        <f>VLOOKUP(A11,Materiales[],5,FALSE)*D11</f>
        <v>1.08</v>
      </c>
      <c r="F11" s="123">
        <f>VLOOKUP(A11,Materiales[],6,FALSE)</f>
        <v>7130</v>
      </c>
      <c r="G11" s="123">
        <f t="shared" si="1"/>
        <v>42780</v>
      </c>
    </row>
    <row r="12" spans="1:9" ht="14.5">
      <c r="A12" s="117">
        <v>134</v>
      </c>
      <c r="B12" s="122" t="str">
        <f>VLOOKUP(A12,Materiales[],3,FALSE)</f>
        <v>Tuberia conduit IMC 3/4"</v>
      </c>
      <c r="C12" s="121" t="str">
        <f>VLOOKUP(A12,Materiales[],4,FALSE)</f>
        <v>ML</v>
      </c>
      <c r="D12" s="331">
        <v>1.5</v>
      </c>
      <c r="E12" s="335">
        <f>VLOOKUP(A12,Materiales[],5,FALSE)*D12</f>
        <v>2.585</v>
      </c>
      <c r="F12" s="123">
        <f>VLOOKUP(A12,Materiales[],6,FALSE)</f>
        <v>19586</v>
      </c>
      <c r="G12" s="123">
        <f t="shared" si="1"/>
        <v>29379</v>
      </c>
    </row>
    <row r="13" spans="1:9" ht="14.5">
      <c r="A13" s="117">
        <v>24</v>
      </c>
      <c r="B13" s="122" t="str">
        <f>VLOOKUP(A13,Materiales[],3,FALSE)</f>
        <v>Borna para ponchar varios calibres y terminales</v>
      </c>
      <c r="C13" s="121" t="str">
        <f>VLOOKUP(A13,Materiales[],4,FALSE)</f>
        <v>UN</v>
      </c>
      <c r="D13" s="331">
        <v>2</v>
      </c>
      <c r="E13" s="329">
        <f>VLOOKUP(A13,Materiales[],5,FALSE)*D13</f>
        <v>1.6E-2</v>
      </c>
      <c r="F13" s="123">
        <f>VLOOKUP(A13,Materiales[],6,FALSE)</f>
        <v>2111</v>
      </c>
      <c r="G13" s="123">
        <f t="shared" si="1"/>
        <v>4222</v>
      </c>
    </row>
    <row r="14" spans="1:9" ht="13">
      <c r="D14" s="18"/>
      <c r="E14" s="18"/>
      <c r="F14" s="29" t="s">
        <v>1220</v>
      </c>
      <c r="G14" s="42">
        <f>SUM(G8:G13)</f>
        <v>292807</v>
      </c>
    </row>
    <row r="16" spans="1:9" ht="13">
      <c r="B16" s="20" t="s">
        <v>1221</v>
      </c>
      <c r="G16" s="39"/>
    </row>
    <row r="17" spans="1:9" ht="13">
      <c r="A17" s="119" t="s">
        <v>184</v>
      </c>
      <c r="B17" s="120" t="s">
        <v>1</v>
      </c>
      <c r="C17" s="13" t="s">
        <v>1231</v>
      </c>
      <c r="D17" s="13" t="s">
        <v>1222</v>
      </c>
      <c r="E17" s="13"/>
      <c r="F17" s="13" t="s">
        <v>307</v>
      </c>
      <c r="G17" s="13" t="s">
        <v>752</v>
      </c>
    </row>
    <row r="18" spans="1:9" ht="14.5">
      <c r="A18" s="125">
        <v>1</v>
      </c>
      <c r="B18" s="122" t="str">
        <f>VLOOKUP(A18,Equip.Herram[],2,FALSE)</f>
        <v>Herramienta menor</v>
      </c>
      <c r="C18" s="15" t="str">
        <f>VLOOKUP(A18,Equip.Herram[],3,FALSE)</f>
        <v>UN</v>
      </c>
      <c r="D18" s="36">
        <f>VLOOKUP(A18,Equip.Herram[],4,FALSE)</f>
        <v>24840</v>
      </c>
      <c r="E18" s="36"/>
      <c r="F18" s="16">
        <f>+RENDIMIENTOS!$C$16</f>
        <v>3</v>
      </c>
      <c r="G18" s="36">
        <f>ROUND(D18/F18,0)</f>
        <v>8280</v>
      </c>
    </row>
    <row r="19" spans="1:9">
      <c r="B19" s="14"/>
      <c r="C19" s="15"/>
      <c r="D19" s="17"/>
      <c r="E19" s="17"/>
      <c r="F19" s="22"/>
      <c r="G19" s="21"/>
    </row>
    <row r="20" spans="1:9">
      <c r="B20" s="14"/>
      <c r="C20" s="15"/>
      <c r="D20" s="17"/>
      <c r="E20" s="17"/>
      <c r="F20" s="22"/>
      <c r="G20" s="21"/>
    </row>
    <row r="21" spans="1:9" ht="13">
      <c r="D21" s="18"/>
      <c r="E21" s="18"/>
      <c r="F21" s="19" t="s">
        <v>1220</v>
      </c>
      <c r="G21" s="37">
        <f>SUM(G18:G20)</f>
        <v>8280</v>
      </c>
    </row>
    <row r="22" spans="1:9" ht="13">
      <c r="D22" s="18"/>
      <c r="E22" s="18"/>
      <c r="F22" s="18"/>
      <c r="G22" s="23"/>
    </row>
    <row r="23" spans="1:9" ht="13">
      <c r="B23" s="11" t="s">
        <v>1223</v>
      </c>
      <c r="G23" s="24"/>
    </row>
    <row r="24" spans="1:9" ht="13">
      <c r="A24" s="119" t="s">
        <v>184</v>
      </c>
      <c r="B24" s="12" t="s">
        <v>1</v>
      </c>
      <c r="C24" s="13" t="s">
        <v>185</v>
      </c>
      <c r="D24" s="13" t="s">
        <v>1230</v>
      </c>
      <c r="E24" s="13"/>
      <c r="F24" s="13" t="s">
        <v>1233</v>
      </c>
      <c r="G24" s="25" t="s">
        <v>752</v>
      </c>
      <c r="I24" s="39"/>
    </row>
    <row r="25" spans="1:9" ht="26.5" customHeight="1">
      <c r="A25" s="125">
        <v>1</v>
      </c>
      <c r="B25" s="122" t="str">
        <f>VLOOKUP(A25,Transporte[],2,FALSE)</f>
        <v>Carga terrestre Bogotá - Teorama</v>
      </c>
      <c r="C25" s="27" t="s">
        <v>1234</v>
      </c>
      <c r="D25" s="118">
        <f>+SUM(E8:E13)</f>
        <v>7.7191333333333336</v>
      </c>
      <c r="E25" s="118"/>
      <c r="F25" s="142">
        <f>VLOOKUP(A25,Transporte[],7,FALSE)</f>
        <v>214.17955999999998</v>
      </c>
      <c r="G25" s="35">
        <f>D25*F25</f>
        <v>1653.2805809146666</v>
      </c>
    </row>
    <row r="26" spans="1:9" ht="13.4" customHeight="1">
      <c r="A26" s="125">
        <v>3</v>
      </c>
      <c r="B26" s="122" t="str">
        <f>VLOOKUP(A26,Transporte[],2,FALSE)</f>
        <v>Carga terrestre Teorama - Comunidades</v>
      </c>
      <c r="C26" s="27" t="s">
        <v>1234</v>
      </c>
      <c r="D26" s="118">
        <f>+SUM(E8:E13)</f>
        <v>7.7191333333333336</v>
      </c>
      <c r="E26" s="118"/>
      <c r="F26" s="142">
        <f>VLOOKUP(A26,Transporte[],7,FALSE)</f>
        <v>1491</v>
      </c>
      <c r="G26" s="35">
        <f>D26*F26</f>
        <v>11509.227800000001</v>
      </c>
    </row>
    <row r="27" spans="1:9" ht="13.4" customHeight="1">
      <c r="B27" s="26"/>
      <c r="C27" s="27"/>
      <c r="D27" s="28"/>
      <c r="E27" s="28"/>
      <c r="F27" s="35"/>
      <c r="G27" s="35"/>
    </row>
    <row r="28" spans="1:9" ht="13">
      <c r="D28" s="18"/>
      <c r="E28" s="18"/>
      <c r="F28" s="29" t="s">
        <v>1220</v>
      </c>
      <c r="G28" s="37">
        <f>SUM(G25:G27)</f>
        <v>13162.508380914667</v>
      </c>
    </row>
    <row r="29" spans="1:9" ht="13">
      <c r="D29" s="18"/>
      <c r="E29" s="18"/>
      <c r="G29" s="23"/>
    </row>
    <row r="30" spans="1:9" ht="13">
      <c r="B30" s="11" t="s">
        <v>1225</v>
      </c>
      <c r="D30" s="30"/>
      <c r="E30" s="30"/>
      <c r="F30" s="31"/>
      <c r="G30" s="24"/>
    </row>
    <row r="31" spans="1:9" s="18" customFormat="1" ht="13">
      <c r="A31" s="119" t="s">
        <v>184</v>
      </c>
      <c r="B31" s="12" t="s">
        <v>1</v>
      </c>
      <c r="C31" s="13" t="s">
        <v>1226</v>
      </c>
      <c r="D31" s="13" t="s">
        <v>1227</v>
      </c>
      <c r="E31" s="13"/>
      <c r="F31" s="13" t="s">
        <v>307</v>
      </c>
      <c r="G31" s="25" t="s">
        <v>752</v>
      </c>
    </row>
    <row r="32" spans="1:9" ht="14.5">
      <c r="A32" s="125">
        <v>1</v>
      </c>
      <c r="B32" s="122" t="str">
        <f>VLOOKUP(A32,ManoObra[],2,FALSE)</f>
        <v>Electricista</v>
      </c>
      <c r="C32" s="40">
        <f>VLOOKUP(A32,ManoObra[],7,FALSE)</f>
        <v>71863</v>
      </c>
      <c r="D32" s="22">
        <f>FP!$B$28</f>
        <v>1.61</v>
      </c>
      <c r="E32" s="22"/>
      <c r="F32" s="16">
        <f>+RENDIMIENTOS!C16</f>
        <v>3</v>
      </c>
      <c r="G32" s="36">
        <f>ROUND(C32*D32/F32,0)</f>
        <v>38566</v>
      </c>
      <c r="I32" s="81"/>
    </row>
    <row r="33" spans="1:9" ht="14.5">
      <c r="A33" s="125">
        <v>2</v>
      </c>
      <c r="B33" s="122" t="str">
        <f>VLOOKUP(A33,ManoObra[],2,FALSE)</f>
        <v>Ayudante</v>
      </c>
      <c r="C33" s="40">
        <f>VLOOKUP(A33,ManoObra[],7,FALSE)</f>
        <v>66050</v>
      </c>
      <c r="D33" s="22">
        <f>FP!$B$28</f>
        <v>1.61</v>
      </c>
      <c r="E33" s="22"/>
      <c r="F33" s="16">
        <f>+F32</f>
        <v>3</v>
      </c>
      <c r="G33" s="36">
        <f>ROUND(C33*D33/F33,0)</f>
        <v>35447</v>
      </c>
      <c r="I33" s="81"/>
    </row>
    <row r="34" spans="1:9" ht="13">
      <c r="D34" s="18"/>
      <c r="E34" s="18"/>
      <c r="F34" s="29" t="s">
        <v>1220</v>
      </c>
      <c r="G34" s="42">
        <f>SUM(G32:G33)</f>
        <v>74013</v>
      </c>
    </row>
    <row r="35" spans="1:9" ht="13">
      <c r="D35" s="18"/>
      <c r="E35" s="18"/>
      <c r="G35" s="24"/>
    </row>
    <row r="36" spans="1:9" ht="12.75" customHeight="1">
      <c r="A36"/>
      <c r="B36"/>
      <c r="D36" s="1725" t="s">
        <v>1228</v>
      </c>
      <c r="E36" s="1730"/>
      <c r="F36" s="1726"/>
      <c r="G36" s="38">
        <f>G14+G21+G28+G34</f>
        <v>388262.50838091469</v>
      </c>
    </row>
    <row r="37" spans="1:9" ht="13">
      <c r="A37" s="441"/>
      <c r="B37" s="441"/>
      <c r="D37" s="18"/>
      <c r="E37" s="18"/>
      <c r="F37" s="10"/>
      <c r="G37" s="41"/>
    </row>
    <row r="38" spans="1:9" ht="13">
      <c r="A38" s="442"/>
      <c r="B38" s="441"/>
    </row>
    <row r="39" spans="1:9" ht="14">
      <c r="B39" s="840"/>
    </row>
    <row r="40" spans="1:9" ht="46.5">
      <c r="B40" s="1027" t="s">
        <v>1235</v>
      </c>
    </row>
  </sheetData>
  <mergeCells count="4">
    <mergeCell ref="B3:F3"/>
    <mergeCell ref="B4:D4"/>
    <mergeCell ref="D36:F36"/>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pageSetUpPr fitToPage="1"/>
  </sheetPr>
  <dimension ref="A1:I51"/>
  <sheetViews>
    <sheetView view="pageBreakPreview" topLeftCell="A19" zoomScale="80" zoomScaleNormal="100" zoomScaleSheetLayoutView="80" workbookViewId="0">
      <selection activeCell="D43" sqref="D4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2.1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SISFV 2010 W B200'!A8)</f>
        <v>ITEM:  1.1.3</v>
      </c>
      <c r="C3" s="1728"/>
      <c r="D3" s="1728"/>
      <c r="E3" s="1728"/>
      <c r="F3" s="1728"/>
      <c r="G3" s="6" t="s">
        <v>1229</v>
      </c>
      <c r="H3" s="7"/>
    </row>
    <row r="4" spans="1:9" ht="209.25" customHeight="1">
      <c r="B4" s="1722" t="str">
        <f>+'PRES. SISFV 2010 W B200'!B8</f>
        <v xml:space="preserve">Suministro e instalación de gabinete autosoportado en lámina galvanizada de 598 mm de ancho x 840 mm de alto x 460 mm de fondo en lámina CR calibre 18, con pintura electrostática gris rall 70-32,  accesorios, conexionado, cableado, canalización, fijación y protecciones eléctricas incluye DPS de BT, para el alojamiento de equipos y accesorios, tipo interior.
Todas las puertas deberán abrir únicamente en sentido lateral mínimo 120° respecto a la sección horizontal superior del armario, deben poseer una agarradera que facilite su accionamiento y las bisagras deben ser galvanizadas, cromadas, niqueladas o en acero inoxidable, bronce o aluminio suficientemente fuertes para asegurar rígidamente la puerta de la estructura e instaladas sin que pierdan el recubrimiento protector IP 33.
El encerramiento metálico deberá estar debidamente marcado y cumplir con los requerimientos mínimos de seguridad definidos por el RETIE numeral 20.23. </v>
      </c>
      <c r="C4" s="1723"/>
      <c r="D4" s="1724"/>
      <c r="E4" s="328"/>
      <c r="G4" s="8" t="str">
        <f>+'PRES. SISFV 2010 W B200'!C8</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25">
      <c r="A8" s="125">
        <v>135</v>
      </c>
      <c r="B8" s="122" t="str">
        <f>VLOOKUP(A8,Materiales[],3,FALSE)</f>
        <v>Barra bornera tierra con soporte plástico riel din de 10 cm</v>
      </c>
      <c r="C8" s="121" t="str">
        <f>VLOOKUP(A8,Materiales[],4,FALSE)</f>
        <v>UN</v>
      </c>
      <c r="D8" s="118">
        <v>1</v>
      </c>
      <c r="E8" s="335">
        <f>VLOOKUP(A8,Materiales[],5,FALSE)*D8</f>
        <v>0.5</v>
      </c>
      <c r="F8" s="123">
        <f>VLOOKUP(A8,Materiales[],6,FALSE)</f>
        <v>13800</v>
      </c>
      <c r="G8" s="123">
        <f>ROUND(D8*F8,0)</f>
        <v>13800</v>
      </c>
      <c r="I8" s="33"/>
    </row>
    <row r="9" spans="1:9" ht="14.5">
      <c r="A9" s="125">
        <v>136</v>
      </c>
      <c r="B9" s="122" t="str">
        <f>VLOOKUP(A9,Materiales[],3,FALSE)</f>
        <v>Barra de cobre 12x2x100 mm (incluye aisladores)</v>
      </c>
      <c r="C9" s="121" t="str">
        <f>VLOOKUP(A9,Materiales[],4,FALSE)</f>
        <v>UN</v>
      </c>
      <c r="D9" s="331">
        <v>2</v>
      </c>
      <c r="E9" s="335">
        <f>VLOOKUP(A9,Materiales[],5,FALSE)*D9</f>
        <v>2</v>
      </c>
      <c r="F9" s="123">
        <f>VLOOKUP(A9,Materiales[],6,FALSE)</f>
        <v>35708</v>
      </c>
      <c r="G9" s="123">
        <f t="shared" ref="G9:G16" si="0">ROUND(D9*F9,0)</f>
        <v>71416</v>
      </c>
    </row>
    <row r="10" spans="1:9" ht="14.5">
      <c r="A10" s="125">
        <v>137</v>
      </c>
      <c r="B10" s="122" t="str">
        <f>VLOOKUP(A10,Materiales[],3,FALSE)</f>
        <v xml:space="preserve">Canaleta ranurada dexon 25 x 40 mm </v>
      </c>
      <c r="C10" s="121" t="str">
        <f>VLOOKUP(A10,Materiales[],4,FALSE)</f>
        <v>ML</v>
      </c>
      <c r="D10" s="331">
        <v>2</v>
      </c>
      <c r="E10" s="335">
        <f>VLOOKUP(A10,Materiales[],5,FALSE)*D10</f>
        <v>0.2</v>
      </c>
      <c r="F10" s="123">
        <f>VLOOKUP(A10,Materiales[],6,FALSE)</f>
        <v>25990</v>
      </c>
      <c r="G10" s="123">
        <f t="shared" ref="G10:G13" si="1">ROUND(D10*F10,0)</f>
        <v>51980</v>
      </c>
    </row>
    <row r="11" spans="1:9" ht="14.5">
      <c r="A11" s="125">
        <v>138</v>
      </c>
      <c r="B11" s="122" t="str">
        <f>VLOOKUP(A11,Materiales[],3,FALSE)</f>
        <v>Cinta de amarre dexon 10 cm color blanco</v>
      </c>
      <c r="C11" s="121" t="str">
        <f>VLOOKUP(A11,Materiales[],4,FALSE)</f>
        <v>UN</v>
      </c>
      <c r="D11" s="331">
        <v>15</v>
      </c>
      <c r="E11" s="335">
        <f>VLOOKUP(A11,Materiales[],5,FALSE)*D11</f>
        <v>3</v>
      </c>
      <c r="F11" s="123">
        <f>VLOOKUP(A11,Materiales[],6,FALSE)</f>
        <v>2543</v>
      </c>
      <c r="G11" s="123">
        <f t="shared" si="1"/>
        <v>38145</v>
      </c>
    </row>
    <row r="12" spans="1:9" ht="76.400000000000006" customHeight="1">
      <c r="A12" s="125">
        <v>139</v>
      </c>
      <c r="B12" s="122" t="str">
        <f>VLOOKUP(A12,Materiales[],3,FALSE)</f>
        <v>Gabinete metálico con puerta y chapa para equipos y conexiones DC/AC de 598 mm de ancho, 840 mm de alto, 460 cm de fondo (incluye doblefondo, angeos, diseño y fabricación a la medida de los componentes), con soporte interior para batería 48V/100Ah)</v>
      </c>
      <c r="C12" s="121" t="str">
        <f>VLOOKUP(A12,Materiales[],4,FALSE)</f>
        <v>UN</v>
      </c>
      <c r="D12" s="331">
        <v>1</v>
      </c>
      <c r="E12" s="335">
        <f>VLOOKUP(A12,Materiales[],5,FALSE)*D12</f>
        <v>15</v>
      </c>
      <c r="F12" s="123">
        <f>VLOOKUP(A12,Materiales[],6,FALSE)</f>
        <v>1163375</v>
      </c>
      <c r="G12" s="123">
        <f t="shared" si="1"/>
        <v>1163375</v>
      </c>
    </row>
    <row r="13" spans="1:9" ht="14.5">
      <c r="A13" s="125">
        <v>140</v>
      </c>
      <c r="B13" s="122" t="str">
        <f>VLOOKUP(A13,Materiales[],3,FALSE)</f>
        <v>Marcador tipo anillo ar2 (+, -, L, N,T) x 20 Piezas</v>
      </c>
      <c r="C13" s="121" t="str">
        <f>VLOOKUP(A13,Materiales[],4,FALSE)</f>
        <v>JG</v>
      </c>
      <c r="D13" s="331">
        <v>1</v>
      </c>
      <c r="E13" s="335">
        <f>VLOOKUP(A13,Materiales[],5,FALSE)*D13</f>
        <v>0.01</v>
      </c>
      <c r="F13" s="123">
        <f>VLOOKUP(A13,Materiales[],6,FALSE)</f>
        <v>10810</v>
      </c>
      <c r="G13" s="123">
        <f t="shared" si="1"/>
        <v>10810</v>
      </c>
    </row>
    <row r="14" spans="1:9" ht="14.5">
      <c r="A14" s="125">
        <v>24</v>
      </c>
      <c r="B14" s="122" t="str">
        <f>VLOOKUP(A14,Materiales[],3,FALSE)</f>
        <v>Borna para ponchar varios calibres y terminales</v>
      </c>
      <c r="C14" s="121" t="str">
        <f>VLOOKUP(A14,Materiales[],4,FALSE)</f>
        <v>UN</v>
      </c>
      <c r="D14" s="331">
        <v>18</v>
      </c>
      <c r="E14" s="335">
        <f>VLOOKUP(A14,Materiales[],5,FALSE)*D14</f>
        <v>0.14400000000000002</v>
      </c>
      <c r="F14" s="123">
        <f>VLOOKUP(A14,Materiales[],6,FALSE)</f>
        <v>2111</v>
      </c>
      <c r="G14" s="123">
        <f t="shared" ref="G14" si="2">ROUND(D14*F14,0)</f>
        <v>37998</v>
      </c>
    </row>
    <row r="15" spans="1:9" ht="14.5">
      <c r="A15" s="125">
        <v>141</v>
      </c>
      <c r="B15" s="122" t="str">
        <f>VLOOKUP(A15,Materiales[],3,FALSE)</f>
        <v>Tornillo autoperforante de cabeza estrella 1/4" x 1/4"</v>
      </c>
      <c r="C15" s="121" t="str">
        <f>VLOOKUP(A15,Materiales[],4,FALSE)</f>
        <v>UN</v>
      </c>
      <c r="D15" s="331">
        <v>18</v>
      </c>
      <c r="E15" s="329">
        <f>VLOOKUP(A15,Materiales[],5,FALSE)*D15</f>
        <v>0.09</v>
      </c>
      <c r="F15" s="123">
        <f>VLOOKUP(A15,Materiales[],6,FALSE)</f>
        <v>311</v>
      </c>
      <c r="G15" s="123">
        <f t="shared" si="0"/>
        <v>5598</v>
      </c>
    </row>
    <row r="16" spans="1:9" ht="14.5">
      <c r="A16" s="117">
        <v>10</v>
      </c>
      <c r="B16" s="122" t="str">
        <f>VLOOKUP(A16,Materiales[],3,FALSE)</f>
        <v>Riel DIN 35 mm x 7.5 mm</v>
      </c>
      <c r="C16" s="121" t="str">
        <f>VLOOKUP(A16,Materiales[],4,FALSE)</f>
        <v>ML</v>
      </c>
      <c r="D16" s="331">
        <v>1</v>
      </c>
      <c r="E16" s="329">
        <f>VLOOKUP(A16,Materiales[],5,FALSE)*D16</f>
        <v>0.3</v>
      </c>
      <c r="F16" s="123">
        <f>VLOOKUP(A16,Materiales[],6,FALSE)</f>
        <v>10732</v>
      </c>
      <c r="G16" s="123">
        <f t="shared" si="0"/>
        <v>10732</v>
      </c>
    </row>
    <row r="17" spans="1:7" ht="14.5">
      <c r="A17" s="117">
        <v>13</v>
      </c>
      <c r="B17" s="122" t="str">
        <f>VLOOKUP(A17,Materiales[],3,FALSE)</f>
        <v>DPS Tipo 2 500 Uc Up 2,5 kV 18-40 kA</v>
      </c>
      <c r="C17" s="121" t="str">
        <f>VLOOKUP(A17,Materiales[],4,FALSE)</f>
        <v>UN</v>
      </c>
      <c r="D17" s="331">
        <v>1</v>
      </c>
      <c r="E17" s="329">
        <f>VLOOKUP(A17,Materiales[],5,FALSE)*D17</f>
        <v>0.24</v>
      </c>
      <c r="F17" s="123">
        <f>VLOOKUP(A17,Materiales[],6,FALSE)</f>
        <v>223523</v>
      </c>
      <c r="G17" s="123">
        <f t="shared" ref="G17:G23" si="3">ROUND(D17*F17,0)</f>
        <v>223523</v>
      </c>
    </row>
    <row r="18" spans="1:7" ht="14.5">
      <c r="A18" s="117">
        <v>142</v>
      </c>
      <c r="B18" s="122" t="str">
        <f>VLOOKUP(A18,Materiales[],3,FALSE)</f>
        <v xml:space="preserve">Interruptor termomagnético 25A 2P 500 VDC 6 Ka </v>
      </c>
      <c r="C18" s="121" t="str">
        <f>VLOOKUP(A18,Materiales[],4,FALSE)</f>
        <v>UN</v>
      </c>
      <c r="D18" s="331">
        <v>1</v>
      </c>
      <c r="E18" s="329">
        <f>VLOOKUP(A18,Materiales[],5,FALSE)*D18</f>
        <v>0.24</v>
      </c>
      <c r="F18" s="123">
        <f>VLOOKUP(A18,Materiales[],6,FALSE)</f>
        <v>95450</v>
      </c>
      <c r="G18" s="123">
        <f t="shared" si="3"/>
        <v>95450</v>
      </c>
    </row>
    <row r="19" spans="1:7" ht="14.5">
      <c r="A19" s="117">
        <v>11</v>
      </c>
      <c r="B19" s="122" t="str">
        <f>VLOOKUP(A19,Materiales[],3,FALSE)</f>
        <v xml:space="preserve">Interruptor termomagnético 50A 2P 500 VDC 6 Ka </v>
      </c>
      <c r="C19" s="121" t="str">
        <f>VLOOKUP(A19,Materiales[],4,FALSE)</f>
        <v>UN</v>
      </c>
      <c r="D19" s="331">
        <v>3</v>
      </c>
      <c r="E19" s="329">
        <f>VLOOKUP(A19,Materiales[],5,FALSE)*D19</f>
        <v>0.72</v>
      </c>
      <c r="F19" s="123">
        <f>VLOOKUP(A19,Materiales[],6,FALSE)</f>
        <v>98625</v>
      </c>
      <c r="G19" s="123">
        <f t="shared" si="3"/>
        <v>295875</v>
      </c>
    </row>
    <row r="20" spans="1:7" ht="14.5">
      <c r="A20" s="117">
        <v>401</v>
      </c>
      <c r="B20" s="122" t="str">
        <f>VLOOKUP(A20,Materiales[],3,FALSE)</f>
        <v>Interruptor termomagnético AC 1P 120VAC 20A</v>
      </c>
      <c r="C20" s="121" t="str">
        <f>VLOOKUP(A20,Materiales[],4,FALSE)</f>
        <v>UN</v>
      </c>
      <c r="D20" s="331">
        <v>1</v>
      </c>
      <c r="E20" s="329">
        <f>VLOOKUP(A20,Materiales[],5,FALSE)*D20</f>
        <v>0.24</v>
      </c>
      <c r="F20" s="123">
        <f>VLOOKUP(A20,Materiales[],6,FALSE)</f>
        <v>16650</v>
      </c>
      <c r="G20" s="123">
        <f t="shared" si="3"/>
        <v>16650</v>
      </c>
    </row>
    <row r="21" spans="1:7" ht="14.5">
      <c r="A21" s="117">
        <v>131</v>
      </c>
      <c r="B21" s="122" t="str">
        <f>VLOOKUP(A21,Materiales[],3,FALSE)</f>
        <v>Cable Cu solar XLPE 10 AWG 1kV 120 °C</v>
      </c>
      <c r="C21" s="121" t="str">
        <f>VLOOKUP(A21,Materiales[],4,FALSE)</f>
        <v>ML</v>
      </c>
      <c r="D21" s="331">
        <v>0.21</v>
      </c>
      <c r="E21" s="329">
        <f>VLOOKUP(A21,Materiales[],5,FALSE)*D21</f>
        <v>1.2222E-2</v>
      </c>
      <c r="F21" s="123">
        <f>VLOOKUP(A21,Materiales[],6,FALSE)</f>
        <v>5775</v>
      </c>
      <c r="G21" s="123">
        <f t="shared" si="3"/>
        <v>1213</v>
      </c>
    </row>
    <row r="22" spans="1:7" ht="14.5">
      <c r="A22" s="117">
        <v>246</v>
      </c>
      <c r="B22" s="122" t="str">
        <f>VLOOKUP(A22,Materiales[],3,FALSE)</f>
        <v>Cable Cu THHN 8 AWG</v>
      </c>
      <c r="C22" s="121" t="str">
        <f>VLOOKUP(A22,Materiales[],4,FALSE)</f>
        <v>ML</v>
      </c>
      <c r="D22" s="331">
        <v>4.5</v>
      </c>
      <c r="E22" s="329">
        <f>VLOOKUP(A22,Materiales[],5,FALSE)*D22</f>
        <v>0.43335000000000001</v>
      </c>
      <c r="F22" s="123">
        <f>VLOOKUP(A22,Materiales[],6,FALSE)</f>
        <v>7081</v>
      </c>
      <c r="G22" s="123">
        <f t="shared" si="3"/>
        <v>31865</v>
      </c>
    </row>
    <row r="23" spans="1:7" ht="14.5">
      <c r="A23" s="117">
        <v>165</v>
      </c>
      <c r="B23" s="122" t="str">
        <f>VLOOKUP(A23,Materiales[],3,FALSE)</f>
        <v>Cable Cu SGT 6 AWG</v>
      </c>
      <c r="C23" s="121" t="str">
        <f>VLOOKUP(A23,Materiales[],4,FALSE)</f>
        <v>ML</v>
      </c>
      <c r="D23" s="331">
        <v>6</v>
      </c>
      <c r="E23" s="329">
        <f>VLOOKUP(A23,Materiales[],5,FALSE)*D23</f>
        <v>0.91199999999999992</v>
      </c>
      <c r="F23" s="123">
        <f>VLOOKUP(A23,Materiales[],6,FALSE)</f>
        <v>10695</v>
      </c>
      <c r="G23" s="123">
        <f t="shared" si="3"/>
        <v>64170</v>
      </c>
    </row>
    <row r="24" spans="1:7" ht="13">
      <c r="D24" s="18"/>
      <c r="E24" s="18"/>
      <c r="F24" s="29" t="s">
        <v>1220</v>
      </c>
      <c r="G24" s="42">
        <f>SUM(G8:G23)</f>
        <v>2132600</v>
      </c>
    </row>
    <row r="26" spans="1:7" ht="13">
      <c r="B26" s="20" t="s">
        <v>1221</v>
      </c>
      <c r="G26" s="39"/>
    </row>
    <row r="27" spans="1:7" ht="13">
      <c r="A27" s="119" t="s">
        <v>184</v>
      </c>
      <c r="B27" s="120" t="s">
        <v>1</v>
      </c>
      <c r="C27" s="13" t="s">
        <v>1231</v>
      </c>
      <c r="D27" s="13" t="s">
        <v>1222</v>
      </c>
      <c r="E27" s="13"/>
      <c r="F27" s="13" t="s">
        <v>307</v>
      </c>
      <c r="G27" s="13" t="s">
        <v>752</v>
      </c>
    </row>
    <row r="28" spans="1:7" ht="14.5">
      <c r="A28" s="125">
        <v>1</v>
      </c>
      <c r="B28" s="122" t="str">
        <f>VLOOKUP(A28,Equip.Herram[],2,FALSE)</f>
        <v>Herramienta menor</v>
      </c>
      <c r="C28" s="15" t="str">
        <f>VLOOKUP(A28,Equip.Herram[],3,FALSE)</f>
        <v>UN</v>
      </c>
      <c r="D28" s="36">
        <f>VLOOKUP(A28,Equip.Herram[],4,FALSE)</f>
        <v>24840</v>
      </c>
      <c r="E28" s="36"/>
      <c r="F28" s="16">
        <f>+RENDIMIENTOS!$C$17</f>
        <v>1</v>
      </c>
      <c r="G28" s="36">
        <f>ROUND(D28/F28,0)</f>
        <v>24840</v>
      </c>
    </row>
    <row r="29" spans="1:7">
      <c r="B29" s="14"/>
      <c r="C29" s="15"/>
      <c r="D29" s="17"/>
      <c r="E29" s="17"/>
      <c r="F29" s="22"/>
      <c r="G29" s="21"/>
    </row>
    <row r="30" spans="1:7">
      <c r="B30" s="14"/>
      <c r="C30" s="15"/>
      <c r="D30" s="17"/>
      <c r="E30" s="17"/>
      <c r="F30" s="22"/>
      <c r="G30" s="21"/>
    </row>
    <row r="31" spans="1:7" ht="13">
      <c r="D31" s="18"/>
      <c r="E31" s="18"/>
      <c r="F31" s="19" t="s">
        <v>1220</v>
      </c>
      <c r="G31" s="37">
        <f>SUM(G28:G30)</f>
        <v>24840</v>
      </c>
    </row>
    <row r="32" spans="1:7" ht="13">
      <c r="D32" s="18"/>
      <c r="E32" s="18"/>
      <c r="F32" s="18"/>
      <c r="G32" s="23"/>
    </row>
    <row r="33" spans="1:9" ht="13">
      <c r="B33" s="11" t="s">
        <v>1223</v>
      </c>
      <c r="G33" s="24"/>
    </row>
    <row r="34" spans="1:9" ht="13">
      <c r="A34" s="119" t="s">
        <v>184</v>
      </c>
      <c r="B34" s="12" t="s">
        <v>1</v>
      </c>
      <c r="C34" s="13" t="s">
        <v>185</v>
      </c>
      <c r="D34" s="13" t="s">
        <v>1230</v>
      </c>
      <c r="E34" s="13"/>
      <c r="F34" s="13" t="s">
        <v>1233</v>
      </c>
      <c r="G34" s="25" t="s">
        <v>752</v>
      </c>
      <c r="I34" s="39"/>
    </row>
    <row r="35" spans="1:9" ht="26.5" customHeight="1">
      <c r="A35" s="125">
        <v>1</v>
      </c>
      <c r="B35" s="122" t="str">
        <f>VLOOKUP(A35,Transporte[],2,FALSE)</f>
        <v>Carga terrestre Bogotá - Teorama</v>
      </c>
      <c r="C35" s="27" t="s">
        <v>1234</v>
      </c>
      <c r="D35" s="118">
        <f>+SUM(E8:E23)</f>
        <v>24.041571999999995</v>
      </c>
      <c r="E35" s="118"/>
      <c r="F35" s="142">
        <f>VLOOKUP(A35,Transporte[],7,FALSE)</f>
        <v>214.17955999999998</v>
      </c>
      <c r="G35" s="35">
        <f>D35*F35</f>
        <v>5149.2133126683184</v>
      </c>
    </row>
    <row r="36" spans="1:9" ht="13.4" customHeight="1">
      <c r="A36" s="125">
        <v>3</v>
      </c>
      <c r="B36" s="122" t="str">
        <f>VLOOKUP(A36,Transporte[],2,FALSE)</f>
        <v>Carga terrestre Teorama - Comunidades</v>
      </c>
      <c r="C36" s="27" t="s">
        <v>1234</v>
      </c>
      <c r="D36" s="118">
        <f>+SUM(E8:E23)</f>
        <v>24.041571999999995</v>
      </c>
      <c r="E36" s="118"/>
      <c r="F36" s="142">
        <f>VLOOKUP(A36,Transporte[],7,FALSE)</f>
        <v>1491</v>
      </c>
      <c r="G36" s="35">
        <f>D36*F36</f>
        <v>35845.98385199999</v>
      </c>
    </row>
    <row r="37" spans="1:9" ht="13.4" customHeight="1">
      <c r="B37" s="26"/>
      <c r="C37" s="27"/>
      <c r="D37" s="28"/>
      <c r="E37" s="28"/>
      <c r="F37" s="35"/>
      <c r="G37" s="35"/>
    </row>
    <row r="38" spans="1:9" ht="13">
      <c r="D38" s="18"/>
      <c r="E38" s="18"/>
      <c r="F38" s="29" t="s">
        <v>1220</v>
      </c>
      <c r="G38" s="37">
        <f>SUM(G35:G37)</f>
        <v>40995.197164668309</v>
      </c>
    </row>
    <row r="39" spans="1:9" ht="13">
      <c r="D39" s="18"/>
      <c r="E39" s="18"/>
      <c r="G39" s="23"/>
    </row>
    <row r="40" spans="1:9" ht="13">
      <c r="B40" s="11" t="s">
        <v>1225</v>
      </c>
      <c r="D40" s="30"/>
      <c r="E40" s="30"/>
      <c r="F40" s="31"/>
      <c r="G40" s="24"/>
    </row>
    <row r="41" spans="1:9" s="18" customFormat="1" ht="13">
      <c r="A41" s="119" t="s">
        <v>184</v>
      </c>
      <c r="B41" s="12" t="s">
        <v>1</v>
      </c>
      <c r="C41" s="13" t="s">
        <v>1226</v>
      </c>
      <c r="D41" s="13" t="s">
        <v>1227</v>
      </c>
      <c r="E41" s="13"/>
      <c r="F41" s="13" t="s">
        <v>307</v>
      </c>
      <c r="G41" s="25" t="s">
        <v>752</v>
      </c>
    </row>
    <row r="42" spans="1:9" ht="14.5">
      <c r="A42" s="125">
        <v>1</v>
      </c>
      <c r="B42" s="122" t="str">
        <f>VLOOKUP(A42,ManoObra[],2,FALSE)</f>
        <v>Electricista</v>
      </c>
      <c r="C42" s="40">
        <f>VLOOKUP(A42,ManoObra[],7,FALSE)</f>
        <v>71863</v>
      </c>
      <c r="D42" s="22">
        <f>FP!$B$28</f>
        <v>1.61</v>
      </c>
      <c r="E42" s="22"/>
      <c r="F42" s="16">
        <f>+RENDIMIENTOS!$C$17</f>
        <v>1</v>
      </c>
      <c r="G42" s="36">
        <f>ROUND(C42*D42/F42,0)</f>
        <v>115699</v>
      </c>
      <c r="I42" s="81"/>
    </row>
    <row r="43" spans="1:9" ht="14.5">
      <c r="A43" s="125">
        <v>2</v>
      </c>
      <c r="B43" s="122" t="str">
        <f>VLOOKUP(A43,ManoObra[],2,FALSE)</f>
        <v>Ayudante</v>
      </c>
      <c r="C43" s="40">
        <f>VLOOKUP(A43,ManoObra[],7,FALSE)</f>
        <v>66050</v>
      </c>
      <c r="D43" s="22">
        <f>FP!$B$28</f>
        <v>1.61</v>
      </c>
      <c r="E43" s="22"/>
      <c r="F43" s="16">
        <f>+RENDIMIENTOS!$C$17</f>
        <v>1</v>
      </c>
      <c r="G43" s="36">
        <f>ROUND(C43*D43/F43,0)</f>
        <v>106341</v>
      </c>
      <c r="I43" s="81"/>
    </row>
    <row r="44" spans="1:9" ht="13">
      <c r="D44" s="18"/>
      <c r="E44" s="18"/>
      <c r="F44" s="29" t="s">
        <v>1220</v>
      </c>
      <c r="G44" s="42">
        <f>SUM(G42:G43)</f>
        <v>222040</v>
      </c>
    </row>
    <row r="45" spans="1:9" ht="13">
      <c r="D45" s="18"/>
      <c r="E45" s="18"/>
      <c r="G45" s="24"/>
    </row>
    <row r="46" spans="1:9" ht="12.75" customHeight="1">
      <c r="A46"/>
      <c r="B46"/>
      <c r="D46" s="1725" t="s">
        <v>1228</v>
      </c>
      <c r="E46" s="1730"/>
      <c r="F46" s="1726"/>
      <c r="G46" s="38">
        <f>G24+G31+G38+G44</f>
        <v>2420475.1971646682</v>
      </c>
    </row>
    <row r="47" spans="1:9" ht="13">
      <c r="A47" s="441"/>
      <c r="B47"/>
      <c r="D47" s="18"/>
      <c r="E47" s="18"/>
      <c r="F47" s="10"/>
      <c r="G47" s="41"/>
    </row>
    <row r="48" spans="1:9" ht="13">
      <c r="A48" s="442"/>
      <c r="B48" s="441"/>
    </row>
    <row r="49" spans="2:2">
      <c r="B49" s="441"/>
    </row>
    <row r="50" spans="2:2" ht="14">
      <c r="B50" s="840"/>
    </row>
    <row r="51" spans="2:2" ht="46.5">
      <c r="B51" s="1027" t="s">
        <v>1235</v>
      </c>
    </row>
  </sheetData>
  <mergeCells count="4">
    <mergeCell ref="B3:F3"/>
    <mergeCell ref="B4:D4"/>
    <mergeCell ref="D46:F46"/>
    <mergeCell ref="A1:G1"/>
  </mergeCells>
  <printOptions horizontalCentered="1"/>
  <pageMargins left="0.70866141732283472" right="0.70866141732283472" top="1.5748031496062993" bottom="0.98425196850393704" header="0.98425196850393704" footer="0.51181102362204722"/>
  <pageSetup scale="60" orientation="portrait" r:id="rId1"/>
  <headerFooter alignWithMargins="0">
    <oddHeader xml:space="preserve">&amp;C&amp;"Arial,Negrita"&amp;12ANÁLISIS DE PRECIOS UNITARIOS
</oddHead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59999389629810485"/>
    <pageSetUpPr fitToPage="1"/>
  </sheetPr>
  <dimension ref="A1:I37"/>
  <sheetViews>
    <sheetView view="pageBreakPreview" zoomScale="80" zoomScaleNormal="100" zoomScaleSheetLayoutView="80" workbookViewId="0">
      <selection activeCell="D43" sqref="D4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3.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SISFV 2010 W B200'!A9)</f>
        <v>ITEM:  1.1.4</v>
      </c>
      <c r="C3" s="1728"/>
      <c r="D3" s="1728"/>
      <c r="E3" s="1728"/>
      <c r="F3" s="1728"/>
      <c r="G3" s="6" t="s">
        <v>1229</v>
      </c>
      <c r="H3" s="7"/>
    </row>
    <row r="4" spans="1:9" ht="91.5" customHeight="1">
      <c r="B4" s="1722" t="str">
        <f>+'PRES. SISFV 2010 W B200'!B9</f>
        <v>Suministro e instalación de controlador de carga, 50 A, 48 VDC MPPT Solar; eficiencia mínima del 98%, apto para cargar baterías tipo LiFePO4.  Con todas las protecciones eléctricas necesarias en caso de sobrecarga, cortocircuito, advertencia de alto voltaje</v>
      </c>
      <c r="C4" s="1723"/>
      <c r="D4" s="1724"/>
      <c r="E4" s="328"/>
      <c r="G4" s="8" t="str">
        <f>+'PRES. SISFV 2010 W B200'!C9</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147</v>
      </c>
      <c r="B8" s="122" t="str">
        <f>VLOOKUP(A8,Materiales[],3,FALSE)</f>
        <v>Controlador de carga MPPT 48 VDC capacidad 50 A</v>
      </c>
      <c r="C8" s="121" t="str">
        <f>VLOOKUP(A8,Materiales[],4,FALSE)</f>
        <v>UN</v>
      </c>
      <c r="D8" s="118">
        <v>1</v>
      </c>
      <c r="E8" s="335">
        <f>VLOOKUP(A8,Materiales[],5,FALSE)*D8</f>
        <v>2.5</v>
      </c>
      <c r="F8" s="123">
        <f>VLOOKUP(A8,Materiales[],6,FALSE)</f>
        <v>904822</v>
      </c>
      <c r="G8" s="123">
        <f>ROUND(D8*F8,0)</f>
        <v>904822</v>
      </c>
      <c r="I8" s="33"/>
    </row>
    <row r="9" spans="1:9" ht="14.5">
      <c r="A9" s="125"/>
      <c r="B9" s="122"/>
      <c r="C9" s="121"/>
      <c r="D9" s="331"/>
      <c r="E9" s="335"/>
      <c r="F9" s="123"/>
      <c r="G9" s="123"/>
    </row>
    <row r="10" spans="1:9" ht="13">
      <c r="D10" s="18"/>
      <c r="E10" s="18"/>
      <c r="F10" s="29" t="s">
        <v>1220</v>
      </c>
      <c r="G10" s="42">
        <f>SUM(G8:G9)</f>
        <v>904822</v>
      </c>
    </row>
    <row r="12" spans="1:9" ht="13">
      <c r="B12" s="20" t="s">
        <v>1221</v>
      </c>
      <c r="G12" s="39"/>
    </row>
    <row r="13" spans="1:9" ht="13">
      <c r="A13" s="119" t="s">
        <v>184</v>
      </c>
      <c r="B13" s="120" t="s">
        <v>1</v>
      </c>
      <c r="C13" s="13" t="s">
        <v>1231</v>
      </c>
      <c r="D13" s="13" t="s">
        <v>1222</v>
      </c>
      <c r="E13" s="13"/>
      <c r="F13" s="13" t="s">
        <v>307</v>
      </c>
      <c r="G13" s="13" t="s">
        <v>752</v>
      </c>
    </row>
    <row r="14" spans="1:9" ht="14.5">
      <c r="A14" s="125">
        <v>1</v>
      </c>
      <c r="B14" s="122" t="str">
        <f>VLOOKUP(A14,Equip.Herram[],2,FALSE)</f>
        <v>Herramienta menor</v>
      </c>
      <c r="C14" s="15" t="str">
        <f>VLOOKUP(A14,Equip.Herram[],3,FALSE)</f>
        <v>UN</v>
      </c>
      <c r="D14" s="36">
        <f>VLOOKUP(A14,Equip.Herram[],4,FALSE)</f>
        <v>24840</v>
      </c>
      <c r="E14" s="36"/>
      <c r="F14" s="16">
        <f>+RENDIMIENTOS!C18</f>
        <v>3</v>
      </c>
      <c r="G14" s="36">
        <f>ROUND(D14/F14,0)</f>
        <v>8280</v>
      </c>
    </row>
    <row r="15" spans="1:9">
      <c r="B15" s="14"/>
      <c r="C15" s="15"/>
      <c r="D15" s="17"/>
      <c r="E15" s="17"/>
      <c r="F15" s="22"/>
      <c r="G15" s="21"/>
    </row>
    <row r="16" spans="1:9">
      <c r="B16" s="14"/>
      <c r="C16" s="15"/>
      <c r="D16" s="17"/>
      <c r="E16" s="17"/>
      <c r="F16" s="22"/>
      <c r="G16" s="21"/>
    </row>
    <row r="17" spans="1:9" ht="13">
      <c r="D17" s="18"/>
      <c r="E17" s="18"/>
      <c r="F17" s="19" t="s">
        <v>1220</v>
      </c>
      <c r="G17" s="37">
        <f>SUM(G14:G16)</f>
        <v>8280</v>
      </c>
    </row>
    <row r="18" spans="1:9" ht="13">
      <c r="D18" s="18"/>
      <c r="E18" s="18"/>
      <c r="F18" s="18"/>
      <c r="G18" s="23"/>
    </row>
    <row r="19" spans="1:9" ht="13">
      <c r="B19" s="11" t="s">
        <v>1223</v>
      </c>
      <c r="G19" s="24"/>
    </row>
    <row r="20" spans="1:9" ht="13">
      <c r="A20" s="119" t="s">
        <v>184</v>
      </c>
      <c r="B20" s="12" t="s">
        <v>1</v>
      </c>
      <c r="C20" s="13" t="s">
        <v>185</v>
      </c>
      <c r="D20" s="13" t="s">
        <v>1230</v>
      </c>
      <c r="E20" s="13"/>
      <c r="F20" s="13" t="s">
        <v>1233</v>
      </c>
      <c r="G20" s="25" t="s">
        <v>752</v>
      </c>
      <c r="I20" s="39"/>
    </row>
    <row r="21" spans="1:9" ht="26.5" customHeight="1">
      <c r="A21" s="125">
        <v>1</v>
      </c>
      <c r="B21" s="122" t="str">
        <f>VLOOKUP(A21,Transporte[],2,FALSE)</f>
        <v>Carga terrestre Bogotá - Teorama</v>
      </c>
      <c r="C21" s="27" t="s">
        <v>1234</v>
      </c>
      <c r="D21" s="118">
        <f>+SUM(E8:E9)</f>
        <v>2.5</v>
      </c>
      <c r="E21" s="118"/>
      <c r="F21" s="142">
        <f>VLOOKUP(A21,Transporte[],7,FALSE)</f>
        <v>214.17955999999998</v>
      </c>
      <c r="G21" s="35">
        <f>D21*F21</f>
        <v>535.44889999999998</v>
      </c>
    </row>
    <row r="22" spans="1:9" ht="13.4" customHeight="1">
      <c r="A22" s="125">
        <v>3</v>
      </c>
      <c r="B22" s="122" t="str">
        <f>VLOOKUP(A22,Transporte[],2,FALSE)</f>
        <v>Carga terrestre Teorama - Comunidades</v>
      </c>
      <c r="C22" s="27" t="s">
        <v>1234</v>
      </c>
      <c r="D22" s="118">
        <f>+SUM(E8:E9)</f>
        <v>2.5</v>
      </c>
      <c r="E22" s="118"/>
      <c r="F22" s="142">
        <f>VLOOKUP(A22,Transporte[],7,FALSE)</f>
        <v>1491</v>
      </c>
      <c r="G22" s="35">
        <f>D22*F22</f>
        <v>3727.5</v>
      </c>
    </row>
    <row r="23" spans="1:9" ht="13.4" customHeight="1">
      <c r="B23" s="26"/>
      <c r="C23" s="27"/>
      <c r="D23" s="28"/>
      <c r="E23" s="28"/>
      <c r="F23" s="35"/>
      <c r="G23" s="35"/>
    </row>
    <row r="24" spans="1:9" ht="13">
      <c r="D24" s="18"/>
      <c r="E24" s="18"/>
      <c r="F24" s="29" t="s">
        <v>1220</v>
      </c>
      <c r="G24" s="37">
        <f>SUM(G21:G23)</f>
        <v>4262.9489000000003</v>
      </c>
    </row>
    <row r="25" spans="1:9" ht="13">
      <c r="D25" s="18"/>
      <c r="E25" s="18"/>
      <c r="G25" s="23"/>
    </row>
    <row r="26" spans="1:9" ht="13">
      <c r="B26" s="11" t="s">
        <v>1225</v>
      </c>
      <c r="D26" s="30"/>
      <c r="E26" s="30"/>
      <c r="F26" s="31"/>
      <c r="G26" s="24"/>
    </row>
    <row r="27" spans="1:9" s="18" customFormat="1" ht="13">
      <c r="A27" s="119" t="s">
        <v>184</v>
      </c>
      <c r="B27" s="12" t="s">
        <v>1</v>
      </c>
      <c r="C27" s="13" t="s">
        <v>1226</v>
      </c>
      <c r="D27" s="13" t="s">
        <v>1227</v>
      </c>
      <c r="E27" s="13"/>
      <c r="F27" s="13" t="s">
        <v>307</v>
      </c>
      <c r="G27" s="25" t="s">
        <v>752</v>
      </c>
    </row>
    <row r="28" spans="1:9" ht="14.5">
      <c r="A28" s="125">
        <v>1</v>
      </c>
      <c r="B28" s="122" t="str">
        <f>VLOOKUP(A28,ManoObra[],2,FALSE)</f>
        <v>Electricista</v>
      </c>
      <c r="C28" s="40">
        <f>VLOOKUP(A28,ManoObra[],7,FALSE)</f>
        <v>71863</v>
      </c>
      <c r="D28" s="22">
        <f>FP!$B$28</f>
        <v>1.61</v>
      </c>
      <c r="E28" s="22"/>
      <c r="F28" s="16">
        <f>+RENDIMIENTOS!C18</f>
        <v>3</v>
      </c>
      <c r="G28" s="36">
        <f>ROUND(C28*D28/F28,0)</f>
        <v>38566</v>
      </c>
      <c r="I28" s="81"/>
    </row>
    <row r="29" spans="1:9" ht="14.5">
      <c r="A29" s="125">
        <v>2</v>
      </c>
      <c r="B29" s="122" t="str">
        <f>VLOOKUP(A29,ManoObra[],2,FALSE)</f>
        <v>Ayudante</v>
      </c>
      <c r="C29" s="40">
        <f>VLOOKUP(A29,ManoObra[],7,FALSE)</f>
        <v>66050</v>
      </c>
      <c r="D29" s="22">
        <f>FP!$B$28</f>
        <v>1.61</v>
      </c>
      <c r="E29" s="22"/>
      <c r="F29" s="16">
        <f>+F28</f>
        <v>3</v>
      </c>
      <c r="G29" s="36">
        <f>ROUND(C29*D29/F29,0)</f>
        <v>35447</v>
      </c>
      <c r="I29" s="81"/>
    </row>
    <row r="30" spans="1:9" ht="13">
      <c r="D30" s="18"/>
      <c r="E30" s="18"/>
      <c r="F30" s="29" t="s">
        <v>1220</v>
      </c>
      <c r="G30" s="42">
        <f>SUM(G28:G29)</f>
        <v>74013</v>
      </c>
    </row>
    <row r="31" spans="1:9" ht="13">
      <c r="D31" s="18"/>
      <c r="E31" s="18"/>
      <c r="G31" s="24"/>
    </row>
    <row r="32" spans="1:9" ht="12.75" customHeight="1">
      <c r="A32"/>
      <c r="B32"/>
      <c r="D32" s="1725" t="s">
        <v>1228</v>
      </c>
      <c r="E32" s="1730"/>
      <c r="F32" s="1726"/>
      <c r="G32" s="38">
        <f>G10+G17+G24+G30</f>
        <v>991377.94889999996</v>
      </c>
    </row>
    <row r="33" spans="1:7" ht="13">
      <c r="A33" s="441"/>
      <c r="B33"/>
      <c r="D33" s="18"/>
      <c r="E33" s="18"/>
      <c r="F33" s="10"/>
      <c r="G33" s="41"/>
    </row>
    <row r="34" spans="1:7" ht="13">
      <c r="A34" s="442"/>
      <c r="B34" s="441"/>
    </row>
    <row r="35" spans="1:7">
      <c r="B35" s="441"/>
    </row>
    <row r="36" spans="1:7" ht="14">
      <c r="B36" s="840"/>
    </row>
    <row r="37" spans="1:7" ht="46.5">
      <c r="B37" s="1027" t="s">
        <v>1235</v>
      </c>
    </row>
  </sheetData>
  <mergeCells count="4">
    <mergeCell ref="B3:F3"/>
    <mergeCell ref="B4:D4"/>
    <mergeCell ref="D32:F32"/>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55363-24E3-4906-A0D2-5FDCECE74D92}">
  <sheetPr>
    <tabColor theme="4" tint="0.59999389629810485"/>
    <pageSetUpPr fitToPage="1"/>
  </sheetPr>
  <dimension ref="A1:I37"/>
  <sheetViews>
    <sheetView view="pageBreakPreview" zoomScale="80" zoomScaleNormal="100" zoomScaleSheetLayoutView="80" workbookViewId="0">
      <selection activeCell="D43" sqref="D4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6.54296875" style="5" bestFit="1" customWidth="1"/>
    <col min="8" max="8" width="6.453125" style="5" customWidth="1"/>
    <col min="9" max="9" width="11.453125" style="5"/>
    <col min="10" max="10" width="11.54296875" style="5" bestFit="1" customWidth="1"/>
    <col min="11" max="16384" width="11.453125" style="5"/>
  </cols>
  <sheetData>
    <row r="1" spans="1:9" ht="33.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SISFV 2010 W B200'!A10)</f>
        <v>ITEM:  1.1.5</v>
      </c>
      <c r="C3" s="1728"/>
      <c r="D3" s="1728"/>
      <c r="E3" s="1728"/>
      <c r="F3" s="1728"/>
      <c r="G3" s="6" t="s">
        <v>1229</v>
      </c>
      <c r="H3" s="7"/>
    </row>
    <row r="4" spans="1:9" ht="91.5" customHeight="1">
      <c r="B4" s="1722" t="str">
        <f>+'PRES. SISFV 2010 W B200'!B10</f>
        <v>Suministro e Instalación de batería de ion - litio tipo fosfato de hierro (LiFePO4) de ciclo profundo de 200 Ah - 51,2 VDC - 6.000 ciclos hasta el 80% DOD, libre de mantenimiento. Con BMS y puertos de comunicaciones, vida útil mín de 15 años y 10 años de garantia.</v>
      </c>
      <c r="C4" s="1723"/>
      <c r="D4" s="1724"/>
      <c r="E4" s="328"/>
      <c r="G4" s="8" t="str">
        <f>+'PRES. SISFV 2010 W B200'!C10</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25">
      <c r="A8" s="125">
        <v>361</v>
      </c>
      <c r="B8" s="122" t="str">
        <f>VLOOKUP(A8,Materiales[],3,FALSE)</f>
        <v>Batería de ión - litio tipo fosfato de hierro (LiFePO4) de ciclo profundo de 200 Ah - 51,2 VDC</v>
      </c>
      <c r="C8" s="121" t="str">
        <f>VLOOKUP(A8,Materiales[],4,FALSE)</f>
        <v>UN</v>
      </c>
      <c r="D8" s="118">
        <v>1</v>
      </c>
      <c r="E8" s="335">
        <f>VLOOKUP(A8,Materiales[],5,FALSE)*D8</f>
        <v>80</v>
      </c>
      <c r="F8" s="123">
        <f>VLOOKUP(A8,Materiales[],6,FALSE)</f>
        <v>11165150</v>
      </c>
      <c r="G8" s="123">
        <f>ROUND(D8*F8,0)</f>
        <v>11165150</v>
      </c>
      <c r="I8" s="33"/>
    </row>
    <row r="9" spans="1:9" ht="14.5">
      <c r="A9" s="125">
        <v>381</v>
      </c>
      <c r="B9" s="122" t="str">
        <f>VLOOKUP(A9,Materiales[],3,FALSE)</f>
        <v>Terminal de compresión un hueco # 6 AWG</v>
      </c>
      <c r="C9" s="121" t="str">
        <f>VLOOKUP(A9,Materiales[],4,FALSE)</f>
        <v>Und</v>
      </c>
      <c r="D9" s="118">
        <v>2</v>
      </c>
      <c r="E9" s="335">
        <f>VLOOKUP(A9,Materiales[],5,FALSE)*D9</f>
        <v>0</v>
      </c>
      <c r="F9" s="123">
        <f>VLOOKUP(A9,Materiales[],6,FALSE)</f>
        <v>1427</v>
      </c>
      <c r="G9" s="123">
        <f t="shared" ref="G9:G10" si="0">ROUND(D9*F9,0)</f>
        <v>2854</v>
      </c>
      <c r="I9" s="33"/>
    </row>
    <row r="10" spans="1:9" ht="14.5">
      <c r="A10" s="125">
        <v>382</v>
      </c>
      <c r="B10" s="122" t="str">
        <f>VLOOKUP(A10,Materiales[],3,FALSE)</f>
        <v>Terminal aislado tipo pin # 6 AWG</v>
      </c>
      <c r="C10" s="121" t="str">
        <f>VLOOKUP(A10,Materiales[],4,FALSE)</f>
        <v>Und</v>
      </c>
      <c r="D10" s="118">
        <v>2</v>
      </c>
      <c r="E10" s="335">
        <f>VLOOKUP(A10,Materiales[],5,FALSE)*D10</f>
        <v>0</v>
      </c>
      <c r="F10" s="123">
        <f>VLOOKUP(A10,Materiales[],6,FALSE)</f>
        <v>309</v>
      </c>
      <c r="G10" s="123">
        <f t="shared" si="0"/>
        <v>618</v>
      </c>
      <c r="I10" s="33"/>
    </row>
    <row r="11" spans="1:9" ht="13">
      <c r="D11" s="18"/>
      <c r="E11" s="18"/>
      <c r="F11" s="29" t="s">
        <v>1220</v>
      </c>
      <c r="G11" s="42">
        <f>SUM(G8:G10)</f>
        <v>11168622</v>
      </c>
    </row>
    <row r="13" spans="1:9" ht="13">
      <c r="B13" s="20" t="s">
        <v>1221</v>
      </c>
      <c r="G13" s="39"/>
    </row>
    <row r="14" spans="1:9" ht="13">
      <c r="A14" s="119" t="s">
        <v>184</v>
      </c>
      <c r="B14" s="120" t="s">
        <v>1</v>
      </c>
      <c r="C14" s="13" t="s">
        <v>1231</v>
      </c>
      <c r="D14" s="13" t="s">
        <v>1222</v>
      </c>
      <c r="E14" s="13"/>
      <c r="F14" s="13" t="s">
        <v>307</v>
      </c>
      <c r="G14" s="13" t="s">
        <v>752</v>
      </c>
    </row>
    <row r="15" spans="1:9" ht="14.5">
      <c r="A15" s="125">
        <v>1</v>
      </c>
      <c r="B15" s="122" t="str">
        <f>VLOOKUP(A15,Equip.Herram[],2,FALSE)</f>
        <v>Herramienta menor</v>
      </c>
      <c r="C15" s="15" t="str">
        <f>VLOOKUP(A15,Equip.Herram[],3,FALSE)</f>
        <v>UN</v>
      </c>
      <c r="D15" s="36">
        <f>VLOOKUP(A15,Equip.Herram[],4,FALSE)</f>
        <v>24840</v>
      </c>
      <c r="E15" s="36"/>
      <c r="F15" s="16">
        <f>+RENDIMIENTOS!C20</f>
        <v>4</v>
      </c>
      <c r="G15" s="36">
        <f>ROUND(D15/F15,0)</f>
        <v>6210</v>
      </c>
    </row>
    <row r="16" spans="1:9">
      <c r="B16" s="14"/>
      <c r="C16" s="15"/>
      <c r="D16" s="17"/>
      <c r="E16" s="17"/>
      <c r="F16" s="22"/>
      <c r="G16" s="21"/>
    </row>
    <row r="17" spans="1:9">
      <c r="B17" s="14"/>
      <c r="C17" s="15"/>
      <c r="D17" s="17"/>
      <c r="E17" s="17"/>
      <c r="F17" s="22"/>
      <c r="G17" s="21"/>
    </row>
    <row r="18" spans="1:9" ht="13">
      <c r="D18" s="18"/>
      <c r="E18" s="18"/>
      <c r="F18" s="19" t="s">
        <v>1220</v>
      </c>
      <c r="G18" s="37">
        <f>SUM(G15:G17)</f>
        <v>6210</v>
      </c>
    </row>
    <row r="19" spans="1:9" ht="13">
      <c r="D19" s="18"/>
      <c r="E19" s="18"/>
      <c r="F19" s="18"/>
      <c r="G19" s="23"/>
    </row>
    <row r="20" spans="1:9" ht="13">
      <c r="B20" s="11" t="s">
        <v>1223</v>
      </c>
      <c r="G20" s="24"/>
    </row>
    <row r="21" spans="1:9" ht="13">
      <c r="A21" s="119" t="s">
        <v>184</v>
      </c>
      <c r="B21" s="12" t="s">
        <v>1</v>
      </c>
      <c r="C21" s="13" t="s">
        <v>185</v>
      </c>
      <c r="D21" s="13" t="s">
        <v>1230</v>
      </c>
      <c r="E21" s="13"/>
      <c r="F21" s="13" t="s">
        <v>1233</v>
      </c>
      <c r="G21" s="25" t="s">
        <v>752</v>
      </c>
      <c r="I21" s="39"/>
    </row>
    <row r="22" spans="1:9" ht="26.5" customHeight="1">
      <c r="A22" s="125">
        <v>1</v>
      </c>
      <c r="B22" s="122" t="str">
        <f>VLOOKUP(A22,Transporte[],2,FALSE)</f>
        <v>Carga terrestre Bogotá - Teorama</v>
      </c>
      <c r="C22" s="27" t="s">
        <v>1234</v>
      </c>
      <c r="D22" s="118">
        <f>+SUM(E8:E8)</f>
        <v>80</v>
      </c>
      <c r="E22" s="118"/>
      <c r="F22" s="142">
        <f>VLOOKUP(A22,Transporte[],7,FALSE)</f>
        <v>214.17955999999998</v>
      </c>
      <c r="G22" s="35">
        <f>D22*F22</f>
        <v>17134.364799999999</v>
      </c>
    </row>
    <row r="23" spans="1:9" ht="13.4" customHeight="1">
      <c r="A23" s="125">
        <v>3</v>
      </c>
      <c r="B23" s="122" t="str">
        <f>VLOOKUP(A23,Transporte[],2,FALSE)</f>
        <v>Carga terrestre Teorama - Comunidades</v>
      </c>
      <c r="C23" s="27" t="s">
        <v>1234</v>
      </c>
      <c r="D23" s="118">
        <f>+SUM(E8:E8)</f>
        <v>80</v>
      </c>
      <c r="E23" s="118"/>
      <c r="F23" s="142">
        <f>VLOOKUP(A23,Transporte[],7,FALSE)</f>
        <v>1491</v>
      </c>
      <c r="G23" s="35">
        <f>D23*F23</f>
        <v>119280</v>
      </c>
    </row>
    <row r="24" spans="1:9" ht="13.4" customHeight="1">
      <c r="B24" s="26"/>
      <c r="C24" s="27"/>
      <c r="D24" s="28"/>
      <c r="E24" s="28"/>
      <c r="F24" s="35"/>
      <c r="G24" s="35"/>
    </row>
    <row r="25" spans="1:9" ht="13">
      <c r="D25" s="18"/>
      <c r="E25" s="18"/>
      <c r="F25" s="29" t="s">
        <v>1220</v>
      </c>
      <c r="G25" s="37">
        <f>SUM(G22:G24)</f>
        <v>136414.36480000001</v>
      </c>
    </row>
    <row r="26" spans="1:9" ht="13">
      <c r="D26" s="18"/>
      <c r="E26" s="18"/>
      <c r="G26" s="23"/>
    </row>
    <row r="27" spans="1:9" ht="13">
      <c r="B27" s="11" t="s">
        <v>1225</v>
      </c>
      <c r="D27" s="30"/>
      <c r="E27" s="30"/>
      <c r="F27" s="31"/>
      <c r="G27" s="24"/>
    </row>
    <row r="28" spans="1:9" s="18" customFormat="1" ht="13">
      <c r="A28" s="119" t="s">
        <v>184</v>
      </c>
      <c r="B28" s="12" t="s">
        <v>1</v>
      </c>
      <c r="C28" s="13" t="s">
        <v>1226</v>
      </c>
      <c r="D28" s="13" t="s">
        <v>1227</v>
      </c>
      <c r="E28" s="13"/>
      <c r="F28" s="13" t="s">
        <v>307</v>
      </c>
      <c r="G28" s="25" t="s">
        <v>752</v>
      </c>
    </row>
    <row r="29" spans="1:9" ht="14.5">
      <c r="A29" s="125">
        <v>1</v>
      </c>
      <c r="B29" s="122" t="str">
        <f>VLOOKUP(A29,ManoObra[],2,FALSE)</f>
        <v>Electricista</v>
      </c>
      <c r="C29" s="40">
        <f>VLOOKUP(A29,ManoObra[],7,FALSE)</f>
        <v>71863</v>
      </c>
      <c r="D29" s="22">
        <f>FP!$B$28</f>
        <v>1.61</v>
      </c>
      <c r="E29" s="22"/>
      <c r="F29" s="48">
        <f>+RENDIMIENTOS!C20</f>
        <v>4</v>
      </c>
      <c r="G29" s="36">
        <f>ROUND(C29*D29/F29,0)</f>
        <v>28925</v>
      </c>
      <c r="I29" s="81"/>
    </row>
    <row r="30" spans="1:9" ht="14.5">
      <c r="A30" s="125">
        <v>2</v>
      </c>
      <c r="B30" s="122" t="str">
        <f>VLOOKUP(A30,ManoObra[],2,FALSE)</f>
        <v>Ayudante</v>
      </c>
      <c r="C30" s="40">
        <f>VLOOKUP(A30,ManoObra[],7,FALSE)</f>
        <v>66050</v>
      </c>
      <c r="D30" s="22">
        <f>FP!$B$28</f>
        <v>1.61</v>
      </c>
      <c r="E30" s="22"/>
      <c r="F30" s="48">
        <f>+F29</f>
        <v>4</v>
      </c>
      <c r="G30" s="36">
        <f>ROUND(C30*D30/F30,0)</f>
        <v>26585</v>
      </c>
      <c r="I30" s="81"/>
    </row>
    <row r="31" spans="1:9" ht="13">
      <c r="D31" s="18"/>
      <c r="E31" s="18"/>
      <c r="F31" s="29" t="s">
        <v>1220</v>
      </c>
      <c r="G31" s="42">
        <f>SUM(G29:G30)</f>
        <v>55510</v>
      </c>
      <c r="I31" s="39">
        <f>+G31+G25+G18</f>
        <v>198134.36480000001</v>
      </c>
    </row>
    <row r="32" spans="1:9" ht="13">
      <c r="D32" s="18"/>
      <c r="E32" s="18"/>
      <c r="G32" s="24"/>
    </row>
    <row r="33" spans="1:7" ht="12.75" customHeight="1">
      <c r="A33"/>
      <c r="B33"/>
      <c r="D33" s="1725" t="s">
        <v>1228</v>
      </c>
      <c r="E33" s="1730"/>
      <c r="F33" s="1726"/>
      <c r="G33" s="38">
        <f>G11+G18+G25+G31</f>
        <v>11366756.364800001</v>
      </c>
    </row>
    <row r="34" spans="1:7" ht="13">
      <c r="A34" s="441"/>
      <c r="B34" s="441"/>
      <c r="D34" s="18"/>
      <c r="E34" s="18"/>
      <c r="F34" s="10"/>
      <c r="G34" s="41"/>
    </row>
    <row r="35" spans="1:7" ht="13">
      <c r="A35" s="442"/>
      <c r="B35" s="441"/>
    </row>
    <row r="36" spans="1:7" ht="14">
      <c r="B36" s="840"/>
    </row>
    <row r="37" spans="1:7" ht="46.5">
      <c r="B37" s="1027" t="s">
        <v>1235</v>
      </c>
    </row>
  </sheetData>
  <mergeCells count="4">
    <mergeCell ref="A1:G1"/>
    <mergeCell ref="B3:F3"/>
    <mergeCell ref="B4:D4"/>
    <mergeCell ref="D33:F33"/>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59999389629810485"/>
    <pageSetUpPr fitToPage="1"/>
  </sheetPr>
  <dimension ref="A1:I35"/>
  <sheetViews>
    <sheetView view="pageBreakPreview" topLeftCell="A4" zoomScale="80" zoomScaleNormal="100" zoomScaleSheetLayoutView="80" workbookViewId="0">
      <selection activeCell="D43" sqref="D4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2.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SISFV 2010 W B200'!A11)</f>
        <v>ITEM:  1.1.6</v>
      </c>
      <c r="C3" s="1728"/>
      <c r="D3" s="1728"/>
      <c r="E3" s="1728"/>
      <c r="F3" s="1728"/>
      <c r="G3" s="6" t="s">
        <v>1229</v>
      </c>
      <c r="H3" s="7"/>
    </row>
    <row r="4" spans="1:9" ht="91.5" customHeight="1">
      <c r="B4" s="1722" t="str">
        <f>+'PRES. SISFV 2010 W B200'!B11</f>
        <v>Suministro e instalación de inversor de onda pura de baja frecuencia, potencia de 2000 VA , - 20 a 50 °C, 21 - 48 VDC input - 120 VAC output, f=60 Hz, con protección y desconexión por bajo voltaje en la batería, protección contra sobrecarga y transformador de salida . Eficiencia mayor al 90%</v>
      </c>
      <c r="C4" s="1723"/>
      <c r="D4" s="1724"/>
      <c r="E4" s="328"/>
      <c r="G4" s="8" t="str">
        <f>+'PRES. SISFV 2010 W B200'!C11</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25">
      <c r="A8" s="125">
        <v>149</v>
      </c>
      <c r="B8" s="122" t="str">
        <f>VLOOKUP(A8,Materiales[],3,FALSE)</f>
        <v>Inversor de onda senoidal pura 48 VDC / 120 VAC -  2000 VA, FP=1</v>
      </c>
      <c r="C8" s="121" t="str">
        <f>VLOOKUP(A8,Materiales[],4,FALSE)</f>
        <v>UN</v>
      </c>
      <c r="D8" s="118">
        <v>1</v>
      </c>
      <c r="E8" s="335">
        <f>VLOOKUP(A8,Materiales[],5,FALSE)*D8</f>
        <v>15</v>
      </c>
      <c r="F8" s="123">
        <f>VLOOKUP(A8,Materiales[],6,FALSE)</f>
        <v>1233020</v>
      </c>
      <c r="G8" s="123">
        <f>ROUND(D8*F8,0)</f>
        <v>1233020</v>
      </c>
      <c r="I8" s="33"/>
    </row>
    <row r="9" spans="1:9" ht="13">
      <c r="D9" s="18"/>
      <c r="E9" s="18"/>
      <c r="F9" s="29" t="s">
        <v>1220</v>
      </c>
      <c r="G9" s="42">
        <f>SUM(G8:G8)</f>
        <v>1233020</v>
      </c>
    </row>
    <row r="11" spans="1:9" ht="13">
      <c r="B11" s="20" t="s">
        <v>1221</v>
      </c>
      <c r="G11" s="39"/>
    </row>
    <row r="12" spans="1:9" ht="13">
      <c r="A12" s="119" t="s">
        <v>184</v>
      </c>
      <c r="B12" s="120" t="s">
        <v>1</v>
      </c>
      <c r="C12" s="13" t="s">
        <v>1231</v>
      </c>
      <c r="D12" s="13" t="s">
        <v>1222</v>
      </c>
      <c r="E12" s="13"/>
      <c r="F12" s="13" t="s">
        <v>307</v>
      </c>
      <c r="G12" s="13" t="s">
        <v>752</v>
      </c>
    </row>
    <row r="13" spans="1:9" ht="14.5">
      <c r="A13" s="125">
        <v>1</v>
      </c>
      <c r="B13" s="122" t="str">
        <f>VLOOKUP(A13,Equip.Herram[],2,FALSE)</f>
        <v>Herramienta menor</v>
      </c>
      <c r="C13" s="15" t="str">
        <f>VLOOKUP(A13,Equip.Herram[],3,FALSE)</f>
        <v>UN</v>
      </c>
      <c r="D13" s="36">
        <f>VLOOKUP(A13,Equip.Herram[],4,FALSE)</f>
        <v>24840</v>
      </c>
      <c r="E13" s="36"/>
      <c r="F13" s="16">
        <f>+RENDIMIENTOS!C19</f>
        <v>3</v>
      </c>
      <c r="G13" s="36">
        <f>ROUND(D13/F13,0)</f>
        <v>8280</v>
      </c>
    </row>
    <row r="14" spans="1:9">
      <c r="B14" s="14"/>
      <c r="C14" s="15"/>
      <c r="D14" s="17"/>
      <c r="E14" s="17"/>
      <c r="F14" s="22"/>
      <c r="G14" s="21"/>
    </row>
    <row r="15" spans="1:9">
      <c r="B15" s="14"/>
      <c r="C15" s="15"/>
      <c r="D15" s="17"/>
      <c r="E15" s="17"/>
      <c r="F15" s="22"/>
      <c r="G15" s="21"/>
    </row>
    <row r="16" spans="1:9" ht="13">
      <c r="D16" s="18"/>
      <c r="E16" s="18"/>
      <c r="F16" s="19" t="s">
        <v>1220</v>
      </c>
      <c r="G16" s="37">
        <f>SUM(G13:G15)</f>
        <v>8280</v>
      </c>
    </row>
    <row r="17" spans="1:9" ht="13">
      <c r="D17" s="18"/>
      <c r="E17" s="18"/>
      <c r="F17" s="18"/>
      <c r="G17" s="23"/>
    </row>
    <row r="18" spans="1:9" ht="13">
      <c r="B18" s="11" t="s">
        <v>1223</v>
      </c>
      <c r="G18" s="24"/>
    </row>
    <row r="19" spans="1:9" ht="13">
      <c r="A19" s="119" t="s">
        <v>184</v>
      </c>
      <c r="B19" s="12" t="s">
        <v>1</v>
      </c>
      <c r="C19" s="13" t="s">
        <v>185</v>
      </c>
      <c r="D19" s="13" t="s">
        <v>1230</v>
      </c>
      <c r="E19" s="13"/>
      <c r="F19" s="13" t="s">
        <v>1233</v>
      </c>
      <c r="G19" s="25" t="s">
        <v>752</v>
      </c>
      <c r="I19" s="39"/>
    </row>
    <row r="20" spans="1:9" ht="26.5" customHeight="1">
      <c r="A20" s="125">
        <v>1</v>
      </c>
      <c r="B20" s="122" t="str">
        <f>VLOOKUP(A20,Transporte[],2,FALSE)</f>
        <v>Carga terrestre Bogotá - Teorama</v>
      </c>
      <c r="C20" s="27" t="s">
        <v>1234</v>
      </c>
      <c r="D20" s="118">
        <f>+SUM(E8:E8)</f>
        <v>15</v>
      </c>
      <c r="E20" s="118"/>
      <c r="F20" s="142">
        <f>VLOOKUP(A20,Transporte[],7,FALSE)</f>
        <v>214.17955999999998</v>
      </c>
      <c r="G20" s="35">
        <f>D20*F20</f>
        <v>3212.6933999999997</v>
      </c>
    </row>
    <row r="21" spans="1:9" ht="13.4" customHeight="1">
      <c r="A21" s="125">
        <v>3</v>
      </c>
      <c r="B21" s="122" t="str">
        <f>VLOOKUP(A21,Transporte[],2,FALSE)</f>
        <v>Carga terrestre Teorama - Comunidades</v>
      </c>
      <c r="C21" s="27" t="s">
        <v>1234</v>
      </c>
      <c r="D21" s="118">
        <f>+SUM(E8:E8)</f>
        <v>15</v>
      </c>
      <c r="E21" s="118"/>
      <c r="F21" s="142">
        <f>VLOOKUP(A21,Transporte[],7,FALSE)</f>
        <v>1491</v>
      </c>
      <c r="G21" s="35">
        <f>D21*F21</f>
        <v>22365</v>
      </c>
    </row>
    <row r="22" spans="1:9" ht="13.4" customHeight="1">
      <c r="B22" s="26"/>
      <c r="C22" s="27"/>
      <c r="D22" s="28"/>
      <c r="E22" s="28"/>
      <c r="F22" s="35"/>
      <c r="G22" s="35"/>
    </row>
    <row r="23" spans="1:9" ht="13">
      <c r="D23" s="18"/>
      <c r="E23" s="18"/>
      <c r="F23" s="29" t="s">
        <v>1220</v>
      </c>
      <c r="G23" s="37">
        <f>SUM(G20:G22)</f>
        <v>25577.6934</v>
      </c>
    </row>
    <row r="24" spans="1:9" ht="13">
      <c r="D24" s="18"/>
      <c r="E24" s="18"/>
      <c r="G24" s="23"/>
    </row>
    <row r="25" spans="1:9" ht="13">
      <c r="B25" s="11" t="s">
        <v>1225</v>
      </c>
      <c r="D25" s="30"/>
      <c r="E25" s="30"/>
      <c r="F25" s="31"/>
      <c r="G25" s="24"/>
    </row>
    <row r="26" spans="1:9" s="18" customFormat="1" ht="13">
      <c r="A26" s="119" t="s">
        <v>184</v>
      </c>
      <c r="B26" s="12" t="s">
        <v>1</v>
      </c>
      <c r="C26" s="13" t="s">
        <v>1226</v>
      </c>
      <c r="D26" s="13" t="s">
        <v>1227</v>
      </c>
      <c r="E26" s="13"/>
      <c r="F26" s="13" t="s">
        <v>307</v>
      </c>
      <c r="G26" s="25" t="s">
        <v>752</v>
      </c>
    </row>
    <row r="27" spans="1:9" ht="14.5">
      <c r="A27" s="125">
        <v>1</v>
      </c>
      <c r="B27" s="122" t="str">
        <f>VLOOKUP(A27,ManoObra[],2,FALSE)</f>
        <v>Electricista</v>
      </c>
      <c r="C27" s="40">
        <f>VLOOKUP(A27,ManoObra[],7,FALSE)</f>
        <v>71863</v>
      </c>
      <c r="D27" s="22">
        <f>FP!$B$28</f>
        <v>1.61</v>
      </c>
      <c r="E27" s="22"/>
      <c r="F27" s="48">
        <f>+RENDIMIENTOS!C19</f>
        <v>3</v>
      </c>
      <c r="G27" s="36">
        <f>ROUND(C27*D27/F27,0)</f>
        <v>38566</v>
      </c>
      <c r="I27" s="81"/>
    </row>
    <row r="28" spans="1:9" ht="14.5">
      <c r="A28" s="125">
        <v>2</v>
      </c>
      <c r="B28" s="122" t="str">
        <f>VLOOKUP(A28,ManoObra[],2,FALSE)</f>
        <v>Ayudante</v>
      </c>
      <c r="C28" s="40">
        <f>VLOOKUP(A28,ManoObra[],7,FALSE)</f>
        <v>66050</v>
      </c>
      <c r="D28" s="22">
        <f>FP!$B$28</f>
        <v>1.61</v>
      </c>
      <c r="E28" s="22"/>
      <c r="F28" s="48">
        <f>+F27</f>
        <v>3</v>
      </c>
      <c r="G28" s="36">
        <f>ROUND(C28*D28/F28,0)</f>
        <v>35447</v>
      </c>
      <c r="I28" s="81"/>
    </row>
    <row r="29" spans="1:9" ht="13">
      <c r="D29" s="18"/>
      <c r="E29" s="18"/>
      <c r="F29" s="29" t="s">
        <v>1220</v>
      </c>
      <c r="G29" s="42">
        <f>SUM(G27:G28)</f>
        <v>74013</v>
      </c>
    </row>
    <row r="30" spans="1:9" ht="13">
      <c r="D30" s="18"/>
      <c r="E30" s="18"/>
      <c r="G30" s="24"/>
    </row>
    <row r="31" spans="1:9" ht="12.75" customHeight="1">
      <c r="A31"/>
      <c r="B31"/>
      <c r="D31" s="1725" t="s">
        <v>1228</v>
      </c>
      <c r="E31" s="1730"/>
      <c r="F31" s="1726"/>
      <c r="G31" s="38">
        <f>G9+G16+G23+G29</f>
        <v>1340890.6934</v>
      </c>
    </row>
    <row r="32" spans="1:9" ht="13">
      <c r="A32" s="441"/>
      <c r="B32" s="441"/>
      <c r="D32" s="18"/>
      <c r="E32" s="18"/>
      <c r="F32" s="10"/>
      <c r="G32" s="41"/>
    </row>
    <row r="33" spans="1:2" ht="13">
      <c r="A33" s="442"/>
      <c r="B33" s="441"/>
    </row>
    <row r="34" spans="1:2" ht="14">
      <c r="B34" s="840"/>
    </row>
    <row r="35" spans="1:2" ht="46.5">
      <c r="B35" s="1027" t="s">
        <v>1235</v>
      </c>
    </row>
  </sheetData>
  <mergeCells count="4">
    <mergeCell ref="B3:F3"/>
    <mergeCell ref="B4:D4"/>
    <mergeCell ref="D31:F31"/>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59999389629810485"/>
    <pageSetUpPr fitToPage="1"/>
  </sheetPr>
  <dimension ref="A1:I40"/>
  <sheetViews>
    <sheetView view="pageBreakPreview" topLeftCell="A13" zoomScale="80" zoomScaleNormal="100" zoomScaleSheetLayoutView="80" workbookViewId="0">
      <selection activeCell="D43" sqref="D4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1.4"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SISFV 2010 W B200'!A12)</f>
        <v>ITEM:  1.1.7</v>
      </c>
      <c r="C3" s="1728"/>
      <c r="D3" s="1728"/>
      <c r="E3" s="1728"/>
      <c r="F3" s="1728"/>
      <c r="G3" s="6" t="s">
        <v>1229</v>
      </c>
      <c r="H3" s="7"/>
    </row>
    <row r="4" spans="1:9" ht="78.75" customHeight="1">
      <c r="B4" s="1722" t="str">
        <f>+'PRES. SISFV 2010 W B200'!B12</f>
        <v>Sistema de puesta a tierra con una varilla de cobre 5/8" x 2,4m, bajante en cable de cobre desnudo o verde Nº 6, con soldadura exotérmica y tratamiento de suelos, caja de inspección de 30 x 30 cm.</v>
      </c>
      <c r="C4" s="1723"/>
      <c r="D4" s="1724"/>
      <c r="E4" s="328"/>
      <c r="G4" s="8" t="str">
        <f>+'PRES. SISFV 2010 W B200'!C12</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241</v>
      </c>
      <c r="B8" s="122" t="str">
        <f>VLOOKUP(A8,Materiales[],3,FALSE)</f>
        <v>Cable Cu THHN 6 AWG</v>
      </c>
      <c r="C8" s="121" t="str">
        <f>VLOOKUP(A8,Materiales[],4,FALSE)</f>
        <v>ML</v>
      </c>
      <c r="D8" s="118">
        <v>5</v>
      </c>
      <c r="E8" s="329">
        <f>VLOOKUP(A8,Materiales[],5,FALSE)*D8</f>
        <v>0.72849999999999993</v>
      </c>
      <c r="F8" s="123">
        <f>VLOOKUP(A8,Materiales[],6,FALSE)</f>
        <v>10868</v>
      </c>
      <c r="G8" s="123">
        <f>ROUND(D8*F8,0)</f>
        <v>54340</v>
      </c>
      <c r="I8" s="33"/>
    </row>
    <row r="9" spans="1:9" ht="25.5" customHeight="1">
      <c r="A9" s="125">
        <v>72</v>
      </c>
      <c r="B9" s="122" t="str">
        <f>VLOOKUP(A9,Materiales[],3,FALSE)</f>
        <v>Caja de inspección 30x30 cm con tapa</v>
      </c>
      <c r="C9" s="121" t="str">
        <f>VLOOKUP(A9,Materiales[],4,FALSE)</f>
        <v>UN</v>
      </c>
      <c r="D9" s="118">
        <v>1</v>
      </c>
      <c r="E9" s="329">
        <f>VLOOKUP(A9,Materiales[],5,FALSE)*D9</f>
        <v>10</v>
      </c>
      <c r="F9" s="123">
        <f>VLOOKUP(A9,Materiales[],6,FALSE)</f>
        <v>126035</v>
      </c>
      <c r="G9" s="123">
        <f t="shared" ref="G9:G13" si="0">ROUND(D9*F9,0)</f>
        <v>126035</v>
      </c>
      <c r="I9" s="33"/>
    </row>
    <row r="10" spans="1:9" ht="14.5">
      <c r="A10" s="125">
        <v>69</v>
      </c>
      <c r="B10" s="122" t="str">
        <f>VLOOKUP(A10,Materiales[],3,FALSE)</f>
        <v>Soldadura exotermina 90 gr</v>
      </c>
      <c r="C10" s="121" t="str">
        <f>VLOOKUP(A10,Materiales[],4,FALSE)</f>
        <v>UN</v>
      </c>
      <c r="D10" s="118">
        <v>1</v>
      </c>
      <c r="E10" s="329">
        <f>VLOOKUP(A10,Materiales[],5,FALSE)*D10</f>
        <v>0.09</v>
      </c>
      <c r="F10" s="123">
        <f>VLOOKUP(A10,Materiales[],6,FALSE)</f>
        <v>23575</v>
      </c>
      <c r="G10" s="123">
        <f t="shared" si="0"/>
        <v>23575</v>
      </c>
      <c r="I10" s="33"/>
    </row>
    <row r="11" spans="1:9" ht="14.5">
      <c r="A11" s="125">
        <v>245</v>
      </c>
      <c r="B11" s="122" t="str">
        <f>VLOOKUP(A11,Materiales[],3,FALSE)</f>
        <v>Bentonita mejorada</v>
      </c>
      <c r="C11" s="121" t="str">
        <f>VLOOKUP(A11,Materiales[],4,FALSE)</f>
        <v>BULTO</v>
      </c>
      <c r="D11" s="118">
        <v>1</v>
      </c>
      <c r="E11" s="329">
        <f>VLOOKUP(A11,Materiales[],5,FALSE)*D11</f>
        <v>25</v>
      </c>
      <c r="F11" s="123">
        <f>VLOOKUP(A11,Materiales[],6,FALSE)</f>
        <v>74750</v>
      </c>
      <c r="G11" s="123">
        <f t="shared" ref="G11" si="1">ROUND(D11*F11,0)</f>
        <v>74750</v>
      </c>
      <c r="I11" s="33"/>
    </row>
    <row r="12" spans="1:9" ht="14.5">
      <c r="A12" s="125">
        <v>24</v>
      </c>
      <c r="B12" s="122" t="str">
        <f>VLOOKUP(A12,Materiales[],3,FALSE)</f>
        <v>Borna para ponchar varios calibres y terminales</v>
      </c>
      <c r="C12" s="121" t="str">
        <f>VLOOKUP(A12,Materiales[],4,FALSE)</f>
        <v>UN</v>
      </c>
      <c r="D12" s="118">
        <v>1</v>
      </c>
      <c r="E12" s="329">
        <f>VLOOKUP(A12,Materiales[],5,FALSE)*D12</f>
        <v>8.0000000000000002E-3</v>
      </c>
      <c r="F12" s="123">
        <f>VLOOKUP(A12,Materiales[],6,FALSE)</f>
        <v>2111</v>
      </c>
      <c r="G12" s="123">
        <f t="shared" si="0"/>
        <v>2111</v>
      </c>
      <c r="I12" s="33"/>
    </row>
    <row r="13" spans="1:9" ht="14.5">
      <c r="A13" s="125">
        <v>68</v>
      </c>
      <c r="B13" s="122" t="str">
        <f>VLOOKUP(A13,Materiales[],3,FALSE)</f>
        <v>Varilla de cobre 5/8 x 2.4 m</v>
      </c>
      <c r="C13" s="121" t="str">
        <f>VLOOKUP(A13,Materiales[],4,FALSE)</f>
        <v>UN</v>
      </c>
      <c r="D13" s="118">
        <v>1</v>
      </c>
      <c r="E13" s="329">
        <f>VLOOKUP(A13,Materiales[],5,FALSE)*D13</f>
        <v>3.07</v>
      </c>
      <c r="F13" s="123">
        <f>VLOOKUP(A13,Materiales[],6,FALSE)</f>
        <v>248458</v>
      </c>
      <c r="G13" s="123">
        <f t="shared" si="0"/>
        <v>248458</v>
      </c>
      <c r="I13" s="33"/>
    </row>
    <row r="14" spans="1:9" ht="13">
      <c r="D14" s="18"/>
      <c r="E14" s="18"/>
      <c r="F14" s="29" t="s">
        <v>1220</v>
      </c>
      <c r="G14" s="42">
        <f>SUM(G8:G13)</f>
        <v>529269</v>
      </c>
    </row>
    <row r="16" spans="1:9" ht="13">
      <c r="B16" s="20" t="s">
        <v>1221</v>
      </c>
      <c r="G16" s="39"/>
    </row>
    <row r="17" spans="1:9" ht="13">
      <c r="A17" s="119" t="s">
        <v>184</v>
      </c>
      <c r="B17" s="120" t="s">
        <v>1</v>
      </c>
      <c r="C17" s="13" t="s">
        <v>1231</v>
      </c>
      <c r="D17" s="13" t="s">
        <v>1222</v>
      </c>
      <c r="E17" s="13"/>
      <c r="F17" s="13" t="s">
        <v>307</v>
      </c>
      <c r="G17" s="13" t="s">
        <v>752</v>
      </c>
    </row>
    <row r="18" spans="1:9" ht="14.5">
      <c r="A18" s="125">
        <v>1</v>
      </c>
      <c r="B18" s="122" t="str">
        <f>VLOOKUP(A18,Equip.Herram[],2,FALSE)</f>
        <v>Herramienta menor</v>
      </c>
      <c r="C18" s="15" t="str">
        <f>VLOOKUP(A18,Equip.Herram[],3,FALSE)</f>
        <v>UN</v>
      </c>
      <c r="D18" s="36">
        <f>VLOOKUP(A18,Equip.Herram[],4,FALSE)</f>
        <v>24840</v>
      </c>
      <c r="E18" s="36"/>
      <c r="F18" s="16">
        <f>+RENDIMIENTOS!$C$45</f>
        <v>2</v>
      </c>
      <c r="G18" s="36">
        <f>ROUND(D18/F18,0)</f>
        <v>12420</v>
      </c>
    </row>
    <row r="19" spans="1:9">
      <c r="B19" s="14"/>
      <c r="C19" s="15"/>
      <c r="D19" s="17"/>
      <c r="E19" s="17"/>
      <c r="F19" s="22"/>
      <c r="G19" s="21"/>
    </row>
    <row r="20" spans="1:9">
      <c r="B20" s="14"/>
      <c r="C20" s="15"/>
      <c r="D20" s="17"/>
      <c r="E20" s="17"/>
      <c r="F20" s="22"/>
      <c r="G20" s="21"/>
    </row>
    <row r="21" spans="1:9" ht="13">
      <c r="D21" s="18"/>
      <c r="E21" s="18"/>
      <c r="F21" s="19" t="s">
        <v>1220</v>
      </c>
      <c r="G21" s="37">
        <f>SUM(G18:G20)</f>
        <v>12420</v>
      </c>
    </row>
    <row r="22" spans="1:9" ht="13">
      <c r="D22" s="18"/>
      <c r="E22" s="18"/>
      <c r="F22" s="18"/>
      <c r="G22" s="23"/>
    </row>
    <row r="23" spans="1:9" ht="13">
      <c r="B23" s="11" t="s">
        <v>1223</v>
      </c>
      <c r="G23" s="24"/>
    </row>
    <row r="24" spans="1:9" ht="13">
      <c r="A24" s="119" t="s">
        <v>184</v>
      </c>
      <c r="B24" s="12" t="s">
        <v>1</v>
      </c>
      <c r="C24" s="13" t="s">
        <v>185</v>
      </c>
      <c r="D24" s="13" t="s">
        <v>1230</v>
      </c>
      <c r="E24" s="13"/>
      <c r="F24" s="13" t="s">
        <v>1233</v>
      </c>
      <c r="G24" s="25" t="s">
        <v>752</v>
      </c>
      <c r="I24" s="39"/>
    </row>
    <row r="25" spans="1:9" ht="26.5" customHeight="1">
      <c r="A25" s="125">
        <v>1</v>
      </c>
      <c r="B25" s="122" t="str">
        <f>VLOOKUP(A25,Transporte[],2,FALSE)</f>
        <v>Carga terrestre Bogotá - Teorama</v>
      </c>
      <c r="C25" s="27" t="s">
        <v>1234</v>
      </c>
      <c r="D25" s="118">
        <f>+SUM(E8:E13)</f>
        <v>38.896500000000003</v>
      </c>
      <c r="E25" s="118"/>
      <c r="F25" s="142">
        <f>VLOOKUP(A25,Transporte[],7,FALSE)</f>
        <v>214.17955999999998</v>
      </c>
      <c r="G25" s="35">
        <f>D25*F25</f>
        <v>8330.8352555399997</v>
      </c>
    </row>
    <row r="26" spans="1:9" ht="13.4" customHeight="1">
      <c r="A26" s="125">
        <v>3</v>
      </c>
      <c r="B26" s="122" t="str">
        <f>VLOOKUP(A26,Transporte[],2,FALSE)</f>
        <v>Carga terrestre Teorama - Comunidades</v>
      </c>
      <c r="C26" s="27" t="s">
        <v>1234</v>
      </c>
      <c r="D26" s="118">
        <f>+SUM(E8:E13)</f>
        <v>38.896500000000003</v>
      </c>
      <c r="E26" s="118"/>
      <c r="F26" s="142">
        <f>VLOOKUP(A26,Transporte[],7,FALSE)</f>
        <v>1491</v>
      </c>
      <c r="G26" s="35">
        <f>D26*F26</f>
        <v>57994.681500000006</v>
      </c>
    </row>
    <row r="27" spans="1:9" ht="13.4" customHeight="1">
      <c r="B27" s="26"/>
      <c r="C27" s="27"/>
      <c r="D27" s="28"/>
      <c r="E27" s="28"/>
      <c r="F27" s="35"/>
      <c r="G27" s="35"/>
    </row>
    <row r="28" spans="1:9" ht="13">
      <c r="D28" s="18"/>
      <c r="E28" s="18"/>
      <c r="F28" s="29" t="s">
        <v>1220</v>
      </c>
      <c r="G28" s="37">
        <f>SUM(G25:G27)</f>
        <v>66325.516755540011</v>
      </c>
    </row>
    <row r="29" spans="1:9" ht="13">
      <c r="D29" s="18"/>
      <c r="E29" s="18"/>
      <c r="G29" s="23"/>
    </row>
    <row r="30" spans="1:9" ht="13">
      <c r="B30" s="11" t="s">
        <v>1225</v>
      </c>
      <c r="D30" s="30"/>
      <c r="E30" s="30"/>
      <c r="F30" s="31"/>
      <c r="G30" s="24"/>
    </row>
    <row r="31" spans="1:9" s="18" customFormat="1" ht="13">
      <c r="A31" s="119" t="s">
        <v>184</v>
      </c>
      <c r="B31" s="12" t="s">
        <v>1</v>
      </c>
      <c r="C31" s="13" t="s">
        <v>1226</v>
      </c>
      <c r="D31" s="13" t="s">
        <v>1227</v>
      </c>
      <c r="E31" s="13"/>
      <c r="F31" s="13" t="s">
        <v>307</v>
      </c>
      <c r="G31" s="25" t="s">
        <v>752</v>
      </c>
    </row>
    <row r="32" spans="1:9" ht="14.5">
      <c r="A32" s="125">
        <v>1</v>
      </c>
      <c r="B32" s="122" t="str">
        <f>VLOOKUP(A32,ManoObra[],2,FALSE)</f>
        <v>Electricista</v>
      </c>
      <c r="C32" s="40">
        <f>VLOOKUP(A32,ManoObra[],7,FALSE)</f>
        <v>71863</v>
      </c>
      <c r="D32" s="22">
        <f>FP!$B$28</f>
        <v>1.61</v>
      </c>
      <c r="E32" s="22"/>
      <c r="F32" s="16">
        <f>+RENDIMIENTOS!$C$45</f>
        <v>2</v>
      </c>
      <c r="G32" s="36">
        <f>ROUND(C32*D32/F32,0)</f>
        <v>57850</v>
      </c>
      <c r="I32" s="81"/>
    </row>
    <row r="33" spans="1:7" ht="14.5">
      <c r="A33" s="125">
        <v>2</v>
      </c>
      <c r="B33" s="122" t="str">
        <f>VLOOKUP(A33,ManoObra[],2,FALSE)</f>
        <v>Ayudante</v>
      </c>
      <c r="C33" s="40">
        <f>VLOOKUP(A33,ManoObra[],7,FALSE)</f>
        <v>66050</v>
      </c>
      <c r="D33" s="22">
        <f>FP!$B$28</f>
        <v>1.61</v>
      </c>
      <c r="E33" s="22"/>
      <c r="F33" s="16">
        <f>+RENDIMIENTOS!$C$45</f>
        <v>2</v>
      </c>
      <c r="G33" s="36">
        <f>ROUND(C33*D33/F33,0)</f>
        <v>53170</v>
      </c>
    </row>
    <row r="34" spans="1:7" ht="13">
      <c r="D34" s="18"/>
      <c r="E34" s="18"/>
      <c r="F34" s="29" t="s">
        <v>1220</v>
      </c>
      <c r="G34" s="42">
        <f>SUM(G32:G33)</f>
        <v>111020</v>
      </c>
    </row>
    <row r="35" spans="1:7" ht="13">
      <c r="D35" s="18"/>
      <c r="E35" s="18"/>
      <c r="G35" s="24"/>
    </row>
    <row r="36" spans="1:7" ht="12.75" customHeight="1">
      <c r="A36"/>
      <c r="B36"/>
      <c r="D36" s="1725" t="s">
        <v>1228</v>
      </c>
      <c r="E36" s="1730"/>
      <c r="F36" s="1726"/>
      <c r="G36" s="38">
        <f>G14+G21+G28+G34</f>
        <v>719034.51675554004</v>
      </c>
    </row>
    <row r="37" spans="1:7" ht="13">
      <c r="A37" s="441"/>
      <c r="B37" s="441"/>
      <c r="D37" s="18"/>
      <c r="E37" s="18"/>
      <c r="F37" s="10"/>
      <c r="G37" s="41"/>
    </row>
    <row r="38" spans="1:7" ht="13">
      <c r="A38" s="442"/>
      <c r="B38" s="441"/>
    </row>
    <row r="39" spans="1:7" ht="14">
      <c r="B39" s="840"/>
    </row>
    <row r="40" spans="1:7" ht="46.5">
      <c r="B40" s="1027" t="s">
        <v>1235</v>
      </c>
    </row>
  </sheetData>
  <mergeCells count="4">
    <mergeCell ref="B3:F3"/>
    <mergeCell ref="B4:D4"/>
    <mergeCell ref="D36:F36"/>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50451-7166-4080-BF89-172973D3E7A7}">
  <sheetPr>
    <tabColor theme="4" tint="0.59999389629810485"/>
    <pageSetUpPr fitToPage="1"/>
  </sheetPr>
  <dimension ref="A1:I41"/>
  <sheetViews>
    <sheetView view="pageBreakPreview" zoomScale="80" zoomScaleNormal="100" zoomScaleSheetLayoutView="80" workbookViewId="0">
      <selection activeCell="D43" sqref="D4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1.4"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SISFV 2010 W B200'!A13)</f>
        <v>ITEM:  1.1.8</v>
      </c>
      <c r="C3" s="1728"/>
      <c r="D3" s="1728"/>
      <c r="E3" s="1728"/>
      <c r="F3" s="1728"/>
      <c r="G3" s="6" t="s">
        <v>1229</v>
      </c>
      <c r="H3" s="7"/>
    </row>
    <row r="4" spans="1:9" ht="78.75" customHeight="1">
      <c r="B4" s="1722" t="str">
        <f>+'PRES. SISFV 2010 W B200'!B13</f>
        <v>Acometida parcial eléctrica desde el equipo de medida hasta el tablero de distribución. Incluye: Hasta 2 m de tubería EMT de 3/4" y hasta 3 m de cable THHN: 1x8 AWG Fase + 1x8 AWG Neutro + 1x8 AWG Tierra.</v>
      </c>
      <c r="C4" s="1723"/>
      <c r="D4" s="1724"/>
      <c r="E4" s="328"/>
      <c r="G4" s="8" t="str">
        <f>'PRES. SISFV 2010 W B200'!C13</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246</v>
      </c>
      <c r="B8" s="122" t="str">
        <f>VLOOKUP(A8,Materiales[],3,FALSE)</f>
        <v>Cable Cu THHN 8 AWG</v>
      </c>
      <c r="C8" s="121" t="str">
        <f>VLOOKUP(A8,Materiales[],4,FALSE)</f>
        <v>ML</v>
      </c>
      <c r="D8" s="118">
        <v>6</v>
      </c>
      <c r="E8" s="329">
        <f>VLOOKUP(A8,Materiales[],5,FALSE)*D8</f>
        <v>0.57779999999999998</v>
      </c>
      <c r="F8" s="123">
        <f>VLOOKUP(A8,Materiales[],6,FALSE)</f>
        <v>7081</v>
      </c>
      <c r="G8" s="123">
        <f>ROUND(D8*F8,0)</f>
        <v>42486</v>
      </c>
      <c r="I8" s="33"/>
    </row>
    <row r="9" spans="1:9" ht="25.5" customHeight="1">
      <c r="A9" s="125">
        <v>397</v>
      </c>
      <c r="B9" s="122" t="str">
        <f>VLOOKUP(A9,Materiales[],3,FALSE)</f>
        <v>Cable Cu THHN 8 AWG verde</v>
      </c>
      <c r="C9" s="121" t="str">
        <f>VLOOKUP(A9,Materiales[],4,FALSE)</f>
        <v>ML</v>
      </c>
      <c r="D9" s="118">
        <v>3</v>
      </c>
      <c r="E9" s="329">
        <f>VLOOKUP(A9,Materiales[],5,FALSE)*D9</f>
        <v>1.0499999999999998</v>
      </c>
      <c r="F9" s="123">
        <f>VLOOKUP(A9,Materiales[],6,FALSE)</f>
        <v>7081</v>
      </c>
      <c r="G9" s="123">
        <f t="shared" ref="G9:G12" si="0">ROUND(D9*F9,0)</f>
        <v>21243</v>
      </c>
      <c r="I9" s="33"/>
    </row>
    <row r="10" spans="1:9" ht="14.5">
      <c r="A10" s="125">
        <v>133</v>
      </c>
      <c r="B10" s="122" t="str">
        <f>VLOOKUP(A10,Materiales[],3,FALSE)</f>
        <v>Uniones, curvas y terminales IMC. Varios calibres</v>
      </c>
      <c r="C10" s="121" t="str">
        <f>VLOOKUP(A10,Materiales[],4,FALSE)</f>
        <v>UN</v>
      </c>
      <c r="D10" s="118">
        <v>2</v>
      </c>
      <c r="E10" s="329">
        <f>VLOOKUP(A10,Materiales[],5,FALSE)*D10</f>
        <v>0.36</v>
      </c>
      <c r="F10" s="123">
        <f>VLOOKUP(A10,Materiales[],6,FALSE)</f>
        <v>7130</v>
      </c>
      <c r="G10" s="123">
        <f t="shared" si="0"/>
        <v>14260</v>
      </c>
      <c r="I10" s="33"/>
    </row>
    <row r="11" spans="1:9" ht="14.5">
      <c r="A11" s="125">
        <v>402</v>
      </c>
      <c r="B11" s="122" t="str">
        <f>VLOOKUP(A11,Materiales[],3,FALSE)</f>
        <v>Terminal de compresión un hueco # 8 AWG</v>
      </c>
      <c r="C11" s="121" t="str">
        <f>VLOOKUP(A11,Materiales[],4,FALSE)</f>
        <v>Und</v>
      </c>
      <c r="D11" s="118">
        <v>1</v>
      </c>
      <c r="E11" s="329">
        <f>VLOOKUP(A11,Materiales[],5,FALSE)*D11</f>
        <v>0</v>
      </c>
      <c r="F11" s="123">
        <f>VLOOKUP(A11,Materiales[],6,FALSE)</f>
        <v>1265</v>
      </c>
      <c r="G11" s="123">
        <f t="shared" si="0"/>
        <v>1265</v>
      </c>
      <c r="I11" s="33"/>
    </row>
    <row r="12" spans="1:9" ht="14.5">
      <c r="A12" s="125">
        <v>134</v>
      </c>
      <c r="B12" s="122" t="str">
        <f>VLOOKUP(A12,Materiales[],3,FALSE)</f>
        <v>Tuberia conduit IMC 3/4"</v>
      </c>
      <c r="C12" s="121" t="str">
        <f>VLOOKUP(A12,Materiales[],4,FALSE)</f>
        <v>ML</v>
      </c>
      <c r="D12" s="118">
        <v>2</v>
      </c>
      <c r="E12" s="329">
        <f>VLOOKUP(A12,Materiales[],5,FALSE)*D12</f>
        <v>3.4466666666666668</v>
      </c>
      <c r="F12" s="123">
        <f>VLOOKUP(A12,Materiales[],6,FALSE)</f>
        <v>19586</v>
      </c>
      <c r="G12" s="123">
        <f t="shared" si="0"/>
        <v>39172</v>
      </c>
      <c r="I12" s="33"/>
    </row>
    <row r="13" spans="1:9" ht="14.5">
      <c r="A13" s="125"/>
      <c r="B13" s="122"/>
      <c r="C13" s="121"/>
      <c r="D13" s="118"/>
      <c r="E13" s="329"/>
      <c r="F13" s="123"/>
      <c r="G13" s="123"/>
      <c r="I13" s="33"/>
    </row>
    <row r="14" spans="1:9" ht="13">
      <c r="D14" s="18"/>
      <c r="E14" s="18"/>
      <c r="F14" s="29" t="s">
        <v>1220</v>
      </c>
      <c r="G14" s="42">
        <f>SUM(G8:G13)</f>
        <v>118426</v>
      </c>
    </row>
    <row r="16" spans="1:9" ht="13">
      <c r="B16" s="20" t="s">
        <v>1221</v>
      </c>
      <c r="G16" s="39"/>
    </row>
    <row r="17" spans="1:9" ht="13">
      <c r="A17" s="119" t="s">
        <v>184</v>
      </c>
      <c r="B17" s="120" t="s">
        <v>1</v>
      </c>
      <c r="C17" s="13" t="s">
        <v>1231</v>
      </c>
      <c r="D17" s="13" t="s">
        <v>1222</v>
      </c>
      <c r="E17" s="13"/>
      <c r="F17" s="13" t="s">
        <v>307</v>
      </c>
      <c r="G17" s="13" t="s">
        <v>752</v>
      </c>
    </row>
    <row r="18" spans="1:9" ht="14.5">
      <c r="A18" s="125">
        <v>1</v>
      </c>
      <c r="B18" s="122" t="str">
        <f>VLOOKUP(A18,Equip.Herram[],2,FALSE)</f>
        <v>Herramienta menor</v>
      </c>
      <c r="C18" s="15" t="str">
        <f>VLOOKUP(A18,Equip.Herram[],3,FALSE)</f>
        <v>UN</v>
      </c>
      <c r="D18" s="36">
        <f>VLOOKUP(A18,Equip.Herram[],4,FALSE)</f>
        <v>24840</v>
      </c>
      <c r="E18" s="36"/>
      <c r="F18" s="22">
        <v>4.5</v>
      </c>
      <c r="G18" s="36">
        <f>ROUND(D18/F18,0)</f>
        <v>5520</v>
      </c>
    </row>
    <row r="19" spans="1:9" ht="14.5">
      <c r="A19" s="125">
        <v>16</v>
      </c>
      <c r="B19" s="122" t="str">
        <f>VLOOKUP(A19,Equip.Herram[],2,FALSE)</f>
        <v>De corte</v>
      </c>
      <c r="C19" s="15" t="str">
        <f>VLOOKUP(A19,Equip.Herram[],3,FALSE)</f>
        <v>Un</v>
      </c>
      <c r="D19" s="36">
        <f>VLOOKUP(A19,Equip.Herram[],4,FALSE)</f>
        <v>145000</v>
      </c>
      <c r="E19" s="36"/>
      <c r="F19" s="22">
        <v>4.5</v>
      </c>
      <c r="G19" s="36">
        <f>ROUND(D19/F19,0)</f>
        <v>32222</v>
      </c>
    </row>
    <row r="20" spans="1:9">
      <c r="B20" s="14"/>
      <c r="C20" s="15"/>
      <c r="D20" s="17"/>
      <c r="E20" s="17"/>
      <c r="F20" s="22"/>
      <c r="G20" s="21"/>
    </row>
    <row r="21" spans="1:9" ht="13">
      <c r="D21" s="18"/>
      <c r="E21" s="18"/>
      <c r="F21" s="19" t="s">
        <v>1220</v>
      </c>
      <c r="G21" s="37">
        <f>SUM(G18:G20)</f>
        <v>37742</v>
      </c>
    </row>
    <row r="22" spans="1:9" ht="13">
      <c r="D22" s="18"/>
      <c r="E22" s="18"/>
      <c r="F22" s="18"/>
      <c r="G22" s="23"/>
    </row>
    <row r="23" spans="1:9" ht="13">
      <c r="B23" s="11" t="s">
        <v>1223</v>
      </c>
      <c r="G23" s="24"/>
    </row>
    <row r="24" spans="1:9" ht="13">
      <c r="A24" s="119" t="s">
        <v>184</v>
      </c>
      <c r="B24" s="12" t="s">
        <v>1</v>
      </c>
      <c r="C24" s="13" t="s">
        <v>185</v>
      </c>
      <c r="D24" s="13" t="s">
        <v>1230</v>
      </c>
      <c r="E24" s="13"/>
      <c r="F24" s="13" t="s">
        <v>1233</v>
      </c>
      <c r="G24" s="25" t="s">
        <v>752</v>
      </c>
      <c r="I24" s="39"/>
    </row>
    <row r="25" spans="1:9" ht="26.5" customHeight="1">
      <c r="A25" s="125">
        <v>1</v>
      </c>
      <c r="B25" s="122" t="str">
        <f>VLOOKUP(A25,Transporte[],2,FALSE)</f>
        <v>Carga terrestre Bogotá - Teorama</v>
      </c>
      <c r="C25" s="27" t="s">
        <v>1234</v>
      </c>
      <c r="D25" s="118">
        <f>+SUM(E8:E13)</f>
        <v>5.4344666666666663</v>
      </c>
      <c r="E25" s="118"/>
      <c r="F25" s="142">
        <f>VLOOKUP(A25,Transporte[],7,FALSE)</f>
        <v>214.17955999999998</v>
      </c>
      <c r="G25" s="35">
        <f>D25*F25</f>
        <v>1163.951679501333</v>
      </c>
    </row>
    <row r="26" spans="1:9" ht="13.4" customHeight="1">
      <c r="A26" s="125">
        <v>3</v>
      </c>
      <c r="B26" s="122" t="str">
        <f>VLOOKUP(A26,Transporte[],2,FALSE)</f>
        <v>Carga terrestre Teorama - Comunidades</v>
      </c>
      <c r="C26" s="27" t="s">
        <v>1234</v>
      </c>
      <c r="D26" s="118">
        <f>+SUM(E8:E13)</f>
        <v>5.4344666666666663</v>
      </c>
      <c r="E26" s="118"/>
      <c r="F26" s="142">
        <f>VLOOKUP(A26,Transporte[],7,FALSE)</f>
        <v>1491</v>
      </c>
      <c r="G26" s="35">
        <f>D26*F26</f>
        <v>8102.7897999999996</v>
      </c>
    </row>
    <row r="27" spans="1:9" ht="13.4" customHeight="1">
      <c r="B27" s="26"/>
      <c r="C27" s="27"/>
      <c r="D27" s="28"/>
      <c r="E27" s="28"/>
      <c r="F27" s="35"/>
      <c r="G27" s="35"/>
    </row>
    <row r="28" spans="1:9" ht="13">
      <c r="D28" s="18"/>
      <c r="E28" s="18"/>
      <c r="F28" s="29" t="s">
        <v>1220</v>
      </c>
      <c r="G28" s="37">
        <f>SUM(G25:G27)</f>
        <v>9266.7414795013319</v>
      </c>
    </row>
    <row r="29" spans="1:9" ht="13">
      <c r="D29" s="18"/>
      <c r="E29" s="18"/>
      <c r="G29" s="23"/>
    </row>
    <row r="30" spans="1:9" ht="13">
      <c r="B30" s="11" t="s">
        <v>1225</v>
      </c>
      <c r="D30" s="30"/>
      <c r="E30" s="30"/>
      <c r="F30" s="31"/>
      <c r="G30" s="24"/>
    </row>
    <row r="31" spans="1:9" s="18" customFormat="1" ht="13">
      <c r="A31" s="119" t="s">
        <v>184</v>
      </c>
      <c r="B31" s="12" t="s">
        <v>1</v>
      </c>
      <c r="C31" s="13" t="s">
        <v>1226</v>
      </c>
      <c r="D31" s="13" t="s">
        <v>1227</v>
      </c>
      <c r="E31" s="13"/>
      <c r="F31" s="13" t="s">
        <v>307</v>
      </c>
      <c r="G31" s="25" t="s">
        <v>752</v>
      </c>
    </row>
    <row r="32" spans="1:9" ht="14.5">
      <c r="A32" s="125">
        <v>1</v>
      </c>
      <c r="B32" s="122" t="str">
        <f>VLOOKUP(A32,ManoObra[],2,FALSE)</f>
        <v>Electricista</v>
      </c>
      <c r="C32" s="40">
        <f>VLOOKUP(A32,ManoObra[],7,FALSE)</f>
        <v>71863</v>
      </c>
      <c r="D32" s="22">
        <f>FP!$B$28</f>
        <v>1.61</v>
      </c>
      <c r="E32" s="22"/>
      <c r="F32" s="16">
        <v>4.5</v>
      </c>
      <c r="G32" s="36">
        <f>ROUND(C32*D32/F32,0)</f>
        <v>25711</v>
      </c>
      <c r="I32" s="81"/>
    </row>
    <row r="33" spans="1:7" ht="14.5">
      <c r="A33" s="125">
        <v>2</v>
      </c>
      <c r="B33" s="122" t="str">
        <f>VLOOKUP(A33,ManoObra[],2,FALSE)</f>
        <v>Ayudante</v>
      </c>
      <c r="C33" s="40">
        <f>VLOOKUP(A33,ManoObra[],7,FALSE)</f>
        <v>66050</v>
      </c>
      <c r="D33" s="22">
        <f>FP!$B$28</f>
        <v>1.61</v>
      </c>
      <c r="E33" s="22"/>
      <c r="F33" s="16">
        <f>+F32</f>
        <v>4.5</v>
      </c>
      <c r="G33" s="36">
        <f>ROUND(C33*D33/F33,0)</f>
        <v>23631</v>
      </c>
    </row>
    <row r="34" spans="1:7" ht="13">
      <c r="D34" s="18"/>
      <c r="E34" s="18"/>
      <c r="F34" s="29" t="s">
        <v>1220</v>
      </c>
      <c r="G34" s="42">
        <f>SUM(G32:G33)</f>
        <v>49342</v>
      </c>
    </row>
    <row r="35" spans="1:7" ht="13">
      <c r="D35" s="18"/>
      <c r="E35" s="18"/>
      <c r="G35" s="24"/>
    </row>
    <row r="36" spans="1:7" ht="12.75" customHeight="1">
      <c r="A36"/>
      <c r="D36" s="1725" t="s">
        <v>1228</v>
      </c>
      <c r="E36" s="1730"/>
      <c r="F36" s="1726"/>
      <c r="G36" s="38">
        <f>G14+G21+G28+G34</f>
        <v>214776.74147950133</v>
      </c>
    </row>
    <row r="37" spans="1:7" ht="13">
      <c r="A37" s="441"/>
      <c r="B37"/>
      <c r="D37" s="18"/>
      <c r="E37" s="18"/>
      <c r="F37" s="10"/>
      <c r="G37" s="41"/>
    </row>
    <row r="38" spans="1:7" ht="13">
      <c r="A38" s="442"/>
      <c r="B38" s="441"/>
    </row>
    <row r="39" spans="1:7">
      <c r="B39" s="441"/>
    </row>
    <row r="40" spans="1:7" ht="14">
      <c r="B40" s="840"/>
    </row>
    <row r="41" spans="1:7" ht="46.5">
      <c r="B41" s="1027" t="s">
        <v>1235</v>
      </c>
    </row>
  </sheetData>
  <mergeCells count="4">
    <mergeCell ref="A1:G1"/>
    <mergeCell ref="B3:F3"/>
    <mergeCell ref="B4:D4"/>
    <mergeCell ref="D36:F36"/>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
    <tabColor theme="6" tint="0.59999389629810485"/>
  </sheetPr>
  <dimension ref="A1:H60"/>
  <sheetViews>
    <sheetView workbookViewId="0"/>
  </sheetViews>
  <sheetFormatPr baseColWidth="10" defaultColWidth="11.453125" defaultRowHeight="12.5"/>
  <cols>
    <col min="2" max="2" width="23" customWidth="1"/>
    <col min="3" max="3" width="28.54296875" customWidth="1"/>
    <col min="4" max="4" width="22" bestFit="1" customWidth="1"/>
    <col min="5" max="5" width="16.453125" bestFit="1" customWidth="1"/>
    <col min="6" max="6" width="20.81640625" bestFit="1" customWidth="1"/>
  </cols>
  <sheetData>
    <row r="1" spans="1:8">
      <c r="B1" s="88" t="s">
        <v>218</v>
      </c>
      <c r="C1" s="88" t="s">
        <v>219</v>
      </c>
    </row>
    <row r="2" spans="1:8">
      <c r="A2" s="88" t="s">
        <v>220</v>
      </c>
      <c r="B2" s="88" t="s">
        <v>221</v>
      </c>
      <c r="C2" s="88" t="s">
        <v>222</v>
      </c>
    </row>
    <row r="3" spans="1:8">
      <c r="A3" s="88" t="s">
        <v>223</v>
      </c>
      <c r="B3" s="88" t="s">
        <v>224</v>
      </c>
      <c r="C3" s="88" t="s">
        <v>225</v>
      </c>
    </row>
    <row r="4" spans="1:8">
      <c r="C4" s="280"/>
    </row>
    <row r="7" spans="1:8">
      <c r="B7" t="s">
        <v>218</v>
      </c>
      <c r="C7" s="1430" t="s">
        <v>226</v>
      </c>
      <c r="D7" s="1430"/>
      <c r="E7" s="1430"/>
    </row>
    <row r="8" spans="1:8">
      <c r="B8" s="88" t="s">
        <v>227</v>
      </c>
      <c r="C8" s="88" t="s">
        <v>228</v>
      </c>
      <c r="D8" s="88" t="s">
        <v>229</v>
      </c>
      <c r="E8" s="88" t="s">
        <v>230</v>
      </c>
      <c r="F8" s="88" t="s">
        <v>231</v>
      </c>
      <c r="G8" s="88" t="s">
        <v>232</v>
      </c>
    </row>
    <row r="9" spans="1:8">
      <c r="A9" s="88" t="s">
        <v>220</v>
      </c>
      <c r="B9" s="88" t="s">
        <v>233</v>
      </c>
      <c r="C9" s="281">
        <v>2500000</v>
      </c>
      <c r="D9" s="281">
        <v>3000000</v>
      </c>
      <c r="E9" s="281">
        <v>3500000</v>
      </c>
      <c r="F9" s="281">
        <f>+AVERAGE(C9:E9)</f>
        <v>3000000</v>
      </c>
      <c r="G9" s="88">
        <f>+F9/10000</f>
        <v>300</v>
      </c>
      <c r="H9" s="87" t="s">
        <v>234</v>
      </c>
    </row>
    <row r="10" spans="1:8">
      <c r="A10" s="88" t="s">
        <v>235</v>
      </c>
    </row>
    <row r="12" spans="1:8">
      <c r="B12" s="88" t="s">
        <v>236</v>
      </c>
      <c r="C12" s="88" t="s">
        <v>237</v>
      </c>
      <c r="D12" s="88" t="s">
        <v>238</v>
      </c>
      <c r="E12" s="88" t="s">
        <v>239</v>
      </c>
      <c r="F12" s="88" t="s">
        <v>240</v>
      </c>
    </row>
    <row r="13" spans="1:8">
      <c r="B13" s="88" t="s">
        <v>241</v>
      </c>
      <c r="C13" s="88" t="s">
        <v>242</v>
      </c>
      <c r="D13" s="282">
        <v>350000</v>
      </c>
      <c r="E13" s="88">
        <v>200</v>
      </c>
      <c r="F13" s="88">
        <f>+D13/E13</f>
        <v>1750</v>
      </c>
    </row>
    <row r="14" spans="1:8">
      <c r="B14" s="88" t="s">
        <v>243</v>
      </c>
      <c r="C14" s="88" t="s">
        <v>244</v>
      </c>
      <c r="D14" s="281">
        <v>5000000</v>
      </c>
      <c r="E14" s="88">
        <v>4000</v>
      </c>
      <c r="F14" s="88">
        <f t="shared" ref="F14:F16" si="0">+D14/E14</f>
        <v>1250</v>
      </c>
    </row>
    <row r="15" spans="1:8">
      <c r="B15" s="88" t="s">
        <v>245</v>
      </c>
      <c r="C15" s="88" t="s">
        <v>246</v>
      </c>
      <c r="D15" s="281">
        <v>400000</v>
      </c>
      <c r="E15" s="88">
        <v>400</v>
      </c>
      <c r="F15" s="88">
        <f t="shared" si="0"/>
        <v>1000</v>
      </c>
    </row>
    <row r="16" spans="1:8">
      <c r="B16" s="88" t="s">
        <v>247</v>
      </c>
      <c r="C16" s="88" t="s">
        <v>244</v>
      </c>
      <c r="D16" s="281">
        <v>5000000</v>
      </c>
      <c r="E16" s="88">
        <v>2000</v>
      </c>
      <c r="F16" s="146">
        <f t="shared" si="0"/>
        <v>2500</v>
      </c>
    </row>
    <row r="17" spans="2:8">
      <c r="F17" s="88">
        <f>+AVERAGE(F13:F16)</f>
        <v>1625</v>
      </c>
      <c r="G17" s="87" t="s">
        <v>234</v>
      </c>
    </row>
    <row r="21" spans="2:8" ht="13">
      <c r="B21" s="1429" t="s">
        <v>248</v>
      </c>
      <c r="C21" s="1429"/>
      <c r="D21" s="1429"/>
      <c r="E21" s="1429"/>
      <c r="F21" s="1429"/>
      <c r="G21" s="1429"/>
      <c r="H21" s="1429"/>
    </row>
    <row r="23" spans="2:8">
      <c r="B23" s="88" t="s">
        <v>236</v>
      </c>
      <c r="C23" s="88" t="s">
        <v>237</v>
      </c>
      <c r="D23" s="88" t="s">
        <v>238</v>
      </c>
      <c r="E23" s="88" t="s">
        <v>239</v>
      </c>
      <c r="F23" s="88" t="s">
        <v>249</v>
      </c>
      <c r="G23" s="87" t="s">
        <v>250</v>
      </c>
      <c r="H23" s="87" t="s">
        <v>251</v>
      </c>
    </row>
    <row r="24" spans="2:8">
      <c r="B24" s="88" t="s">
        <v>241</v>
      </c>
      <c r="C24" s="88" t="s">
        <v>242</v>
      </c>
      <c r="D24" s="109">
        <v>350000</v>
      </c>
      <c r="E24" s="88" t="s">
        <v>252</v>
      </c>
      <c r="F24" s="88" t="s">
        <v>253</v>
      </c>
      <c r="G24" s="88"/>
      <c r="H24" s="88"/>
    </row>
    <row r="25" spans="2:8">
      <c r="B25" s="88" t="s">
        <v>245</v>
      </c>
      <c r="C25" s="88" t="s">
        <v>246</v>
      </c>
      <c r="D25" s="109">
        <v>400000</v>
      </c>
      <c r="E25" s="88" t="s">
        <v>254</v>
      </c>
      <c r="F25" s="88" t="s">
        <v>255</v>
      </c>
      <c r="G25" s="88"/>
      <c r="H25" s="88"/>
    </row>
    <row r="27" spans="2:8" ht="12.75" customHeight="1">
      <c r="B27" s="1431" t="s">
        <v>256</v>
      </c>
      <c r="C27" s="1431"/>
      <c r="D27" s="1431"/>
      <c r="E27" s="1431"/>
      <c r="F27" s="1431"/>
      <c r="G27" s="1431"/>
      <c r="H27" s="1431"/>
    </row>
    <row r="28" spans="2:8">
      <c r="B28" s="1431"/>
      <c r="C28" s="1431"/>
      <c r="D28" s="1431"/>
      <c r="E28" s="1431"/>
      <c r="F28" s="1431"/>
      <c r="G28" s="1431"/>
      <c r="H28" s="1431"/>
    </row>
    <row r="31" spans="2:8">
      <c r="B31" s="283" t="s">
        <v>251</v>
      </c>
    </row>
    <row r="37" spans="2:5">
      <c r="B37" s="87" t="s">
        <v>257</v>
      </c>
      <c r="C37" s="87" t="s">
        <v>258</v>
      </c>
      <c r="D37" s="87" t="s">
        <v>259</v>
      </c>
    </row>
    <row r="38" spans="2:5">
      <c r="B38" s="88" t="s">
        <v>221</v>
      </c>
      <c r="C38" s="88">
        <v>300</v>
      </c>
      <c r="D38" s="87" t="s">
        <v>234</v>
      </c>
      <c r="E38" s="88">
        <f>+C38*1.1</f>
        <v>330</v>
      </c>
    </row>
    <row r="39" spans="2:5">
      <c r="B39" s="88" t="s">
        <v>224</v>
      </c>
      <c r="C39" s="88">
        <v>1625</v>
      </c>
      <c r="D39" s="87" t="s">
        <v>234</v>
      </c>
      <c r="E39" s="88">
        <f>+C39*1.1</f>
        <v>1787.5000000000002</v>
      </c>
    </row>
    <row r="40" spans="2:5">
      <c r="C40" s="88">
        <f>+C38+C39</f>
        <v>1925</v>
      </c>
    </row>
    <row r="47" spans="2:5">
      <c r="B47" s="88" t="s">
        <v>219</v>
      </c>
      <c r="C47" s="87"/>
      <c r="D47" s="87"/>
      <c r="E47" s="87"/>
    </row>
    <row r="48" spans="2:5">
      <c r="B48" s="88" t="s">
        <v>222</v>
      </c>
      <c r="C48" s="88"/>
      <c r="D48" s="88"/>
      <c r="E48" s="88"/>
    </row>
    <row r="49" spans="2:8">
      <c r="B49" s="88" t="s">
        <v>225</v>
      </c>
    </row>
    <row r="53" spans="2:8" ht="13">
      <c r="B53" s="1429" t="s">
        <v>248</v>
      </c>
      <c r="C53" s="1429"/>
      <c r="D53" s="1429"/>
      <c r="E53" s="1429"/>
      <c r="F53" s="1429"/>
      <c r="G53" s="1429"/>
      <c r="H53" s="1429"/>
    </row>
    <row r="55" spans="2:8">
      <c r="B55" s="88" t="s">
        <v>236</v>
      </c>
      <c r="C55" s="88" t="s">
        <v>237</v>
      </c>
      <c r="D55" s="88" t="s">
        <v>238</v>
      </c>
      <c r="E55" s="88" t="s">
        <v>239</v>
      </c>
      <c r="F55" s="88" t="s">
        <v>249</v>
      </c>
      <c r="G55" s="87" t="s">
        <v>250</v>
      </c>
      <c r="H55" s="87" t="s">
        <v>251</v>
      </c>
    </row>
    <row r="56" spans="2:8">
      <c r="B56" s="88" t="s">
        <v>241</v>
      </c>
      <c r="C56" s="88" t="s">
        <v>242</v>
      </c>
      <c r="D56" s="109">
        <v>350000</v>
      </c>
      <c r="E56" s="88">
        <v>5</v>
      </c>
      <c r="F56" s="88" t="s">
        <v>253</v>
      </c>
      <c r="G56" s="88"/>
      <c r="H56" s="88"/>
    </row>
    <row r="57" spans="2:8">
      <c r="B57" s="88" t="s">
        <v>245</v>
      </c>
      <c r="C57" s="88" t="s">
        <v>246</v>
      </c>
      <c r="D57" s="109">
        <v>400000</v>
      </c>
      <c r="E57" s="88">
        <v>5</v>
      </c>
      <c r="F57" s="88" t="s">
        <v>255</v>
      </c>
      <c r="G57" s="88"/>
      <c r="H57" s="88"/>
    </row>
    <row r="60" spans="2:8" ht="13">
      <c r="B60" s="1429" t="s">
        <v>260</v>
      </c>
      <c r="C60" s="1429"/>
      <c r="D60" s="1429"/>
      <c r="E60" s="1429"/>
      <c r="F60" s="1429"/>
      <c r="G60" s="1429"/>
      <c r="H60" s="1429"/>
    </row>
  </sheetData>
  <mergeCells count="5">
    <mergeCell ref="B60:H60"/>
    <mergeCell ref="C7:E7"/>
    <mergeCell ref="B21:H21"/>
    <mergeCell ref="B27:H28"/>
    <mergeCell ref="B53:H53"/>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5EE52-124F-4303-9652-6286FAC7326B}">
  <sheetPr>
    <tabColor rgb="FFFFFF00"/>
  </sheetPr>
  <dimension ref="A1:U994"/>
  <sheetViews>
    <sheetView view="pageBreakPreview" topLeftCell="A10" zoomScale="70" zoomScaleNormal="100" zoomScaleSheetLayoutView="70" workbookViewId="0">
      <selection activeCell="D43" sqref="D43"/>
    </sheetView>
  </sheetViews>
  <sheetFormatPr baseColWidth="10" defaultColWidth="14" defaultRowHeight="15" customHeight="1"/>
  <cols>
    <col min="1" max="1" width="17.54296875" style="613" customWidth="1"/>
    <col min="2" max="2" width="62.453125" style="613" customWidth="1"/>
    <col min="3" max="3" width="13.453125" style="613" customWidth="1"/>
    <col min="4" max="4" width="16.453125" style="613" customWidth="1"/>
    <col min="5" max="5" width="19.81640625" style="613" customWidth="1"/>
    <col min="6" max="6" width="21.54296875" style="613" customWidth="1"/>
    <col min="7" max="7" width="19.453125" style="613" bestFit="1" customWidth="1"/>
    <col min="8" max="8" width="14" style="613" bestFit="1" customWidth="1"/>
    <col min="9" max="9" width="23.54296875" style="613" customWidth="1"/>
    <col min="10" max="10" width="15" style="613" customWidth="1"/>
    <col min="11" max="14" width="10.453125" style="613" customWidth="1"/>
    <col min="15" max="16384" width="14" style="613"/>
  </cols>
  <sheetData>
    <row r="1" spans="1:10" ht="14.5">
      <c r="A1" s="1731" t="str">
        <f>+'1'!A1</f>
        <v>IMPLEMENTACIÓN DE SOLUCIONES ENERGÉTICAS CON FUENTES NO CONVENCIONALES DE ENERGÍA PARA USUARIOS EN ZONAS RURALES DEL MUNICIPIO DE TEORAMA EN EL DEPARTAMENTO DE NORTE DE SANTANDER</v>
      </c>
      <c r="B1" s="1731"/>
      <c r="C1" s="1731"/>
      <c r="D1" s="1731"/>
      <c r="E1" s="1731"/>
      <c r="F1" s="1731"/>
      <c r="G1" s="1731"/>
    </row>
    <row r="2" spans="1:10" ht="66" customHeight="1">
      <c r="A2" s="615"/>
      <c r="B2" s="1736" t="s">
        <v>1236</v>
      </c>
      <c r="C2" s="1737"/>
      <c r="D2" s="1738"/>
      <c r="E2" s="616" t="s">
        <v>836</v>
      </c>
      <c r="F2" s="1115" t="s">
        <v>876</v>
      </c>
    </row>
    <row r="3" spans="1:10" ht="14.5">
      <c r="A3" s="617"/>
      <c r="B3" s="1739"/>
      <c r="C3" s="1740"/>
      <c r="D3" s="1741"/>
      <c r="E3" s="615" t="s">
        <v>185</v>
      </c>
      <c r="F3" s="618" t="s">
        <v>199</v>
      </c>
    </row>
    <row r="4" spans="1:10" ht="54.75" customHeight="1">
      <c r="A4" s="617" t="s">
        <v>1237</v>
      </c>
      <c r="B4" s="1742" t="str">
        <f>+'PRES. SISFV 2010 W B200'!B15</f>
        <v>Suministro e instalación de poste reforzado en fibra de vidrio de h=4m, 510kgf. contiene: tapa en la cima y base, soporte metálico galvanizado fijo para 3 paneles solares y cimentación diámetro 0,55m, h=1,15m (incluye 5 cm solado).</v>
      </c>
      <c r="C4" s="1743"/>
      <c r="D4" s="1744"/>
      <c r="E4" s="619" t="s">
        <v>1238</v>
      </c>
      <c r="F4" s="620">
        <f>G39</f>
        <v>3119181.810566301</v>
      </c>
      <c r="H4" s="621"/>
      <c r="I4" s="621"/>
      <c r="J4" s="622"/>
    </row>
    <row r="5" spans="1:10" ht="14.5">
      <c r="A5" s="1732" t="s">
        <v>1239</v>
      </c>
      <c r="B5" s="1745"/>
      <c r="C5" s="1745"/>
      <c r="D5" s="1745"/>
      <c r="E5" s="1745"/>
      <c r="F5" s="1746"/>
      <c r="H5" s="621"/>
      <c r="I5" s="621"/>
      <c r="J5" s="622"/>
    </row>
    <row r="6" spans="1:10" ht="14.5">
      <c r="A6" s="947"/>
      <c r="B6" s="739" t="s">
        <v>1240</v>
      </c>
      <c r="C6" s="948" t="s">
        <v>185</v>
      </c>
      <c r="D6" s="948" t="s">
        <v>334</v>
      </c>
      <c r="E6" s="948" t="s">
        <v>1241</v>
      </c>
      <c r="F6" s="948" t="s">
        <v>751</v>
      </c>
      <c r="G6" s="948" t="s">
        <v>752</v>
      </c>
      <c r="H6" s="621"/>
      <c r="I6" s="621"/>
      <c r="J6" s="622"/>
    </row>
    <row r="7" spans="1:10" ht="14.5">
      <c r="A7" s="950">
        <v>209</v>
      </c>
      <c r="B7" s="951" t="str">
        <f>VLOOKUP(A7,Materiales[],3,FALSE)</f>
        <v>Concreto simple resistencia 3000 psi - Mezcla in situ</v>
      </c>
      <c r="C7" s="952" t="str">
        <f>VLOOKUP(A7,Materiales[],4,FALSE)</f>
        <v>m3</v>
      </c>
      <c r="D7" s="953">
        <f>PI()/4*(0.55^2-0.2^2)*1.15</f>
        <v>0.23709207057560475</v>
      </c>
      <c r="E7" s="960">
        <f>(350+1000+825)*D7</f>
        <v>515.67525350194035</v>
      </c>
      <c r="F7" s="954">
        <f>VLOOKUP(A7,Materiales[],6,FALSE)</f>
        <v>478654</v>
      </c>
      <c r="G7" s="954">
        <f t="shared" ref="G7:G8" si="0">ROUND(D7*F7,0)</f>
        <v>113485</v>
      </c>
      <c r="H7" s="621" t="s">
        <v>1242</v>
      </c>
      <c r="I7" s="621"/>
      <c r="J7" s="622"/>
    </row>
    <row r="8" spans="1:10" ht="14.5">
      <c r="A8" s="950">
        <v>359</v>
      </c>
      <c r="B8" s="951" t="str">
        <f>VLOOKUP(A8,Materiales[],3,FALSE)</f>
        <v>Formaleta de madera para concreto</v>
      </c>
      <c r="C8" s="952" t="str">
        <f>VLOOKUP(A8,Materiales[],4,FALSE)</f>
        <v>m2</v>
      </c>
      <c r="D8" s="953">
        <f>PI()*0.55/(1.15*1)</f>
        <v>1.5025008343255535</v>
      </c>
      <c r="E8" s="960">
        <f>VLOOKUP(A8,Materiales[],5,FALSE)*D8</f>
        <v>3.005001668651107</v>
      </c>
      <c r="F8" s="954">
        <f>VLOOKUP(A8,Materiales[],6,FALSE)</f>
        <v>35075</v>
      </c>
      <c r="G8" s="954">
        <f t="shared" si="0"/>
        <v>52700</v>
      </c>
      <c r="H8" s="621"/>
      <c r="I8" s="621"/>
      <c r="J8" s="622"/>
    </row>
    <row r="9" spans="1:10" ht="14.5">
      <c r="A9" s="955"/>
      <c r="B9" s="955" t="s">
        <v>1243</v>
      </c>
      <c r="C9" s="956"/>
      <c r="D9" s="953">
        <v>0.05</v>
      </c>
      <c r="E9" s="1119">
        <f>(E8+E7)*D9</f>
        <v>25.934012758529573</v>
      </c>
      <c r="F9" s="954">
        <f>G7+G8</f>
        <v>166185</v>
      </c>
      <c r="G9" s="954">
        <f>ROUND(D9*F9,0)</f>
        <v>8309</v>
      </c>
      <c r="H9" s="621"/>
      <c r="I9" s="621"/>
      <c r="J9" s="622"/>
    </row>
    <row r="10" spans="1:10" ht="14.5">
      <c r="A10" s="955"/>
      <c r="B10" s="957" t="s">
        <v>1244</v>
      </c>
      <c r="C10" s="958"/>
      <c r="D10" s="953"/>
      <c r="E10" s="959"/>
      <c r="F10" s="954"/>
      <c r="G10" s="958"/>
      <c r="H10" s="621"/>
      <c r="I10" s="621"/>
      <c r="J10" s="622"/>
    </row>
    <row r="11" spans="1:10" ht="14.5">
      <c r="A11" s="950">
        <v>358</v>
      </c>
      <c r="B11" s="951" t="str">
        <f>VLOOKUP(A11,Materiales[],3,FALSE)</f>
        <v>Malla electrosoldada 150x150 x 5mm</v>
      </c>
      <c r="C11" s="952" t="str">
        <f>VLOOKUP(A11,Materiales[],4,FALSE)</f>
        <v>und</v>
      </c>
      <c r="D11" s="953">
        <f>(PI()*0.38+0.2)*1.1/(2.35*6)*1.1</f>
        <v>0.11961023419294942</v>
      </c>
      <c r="E11" s="960">
        <f>VLOOKUP(A11,Materiales[],5,FALSE)*D11</f>
        <v>3.4997954524857002</v>
      </c>
      <c r="F11" s="954">
        <f>VLOOKUP(A11,Materiales[],6,FALSE)</f>
        <v>294529</v>
      </c>
      <c r="G11" s="954">
        <f>ROUND(D11*F11,0)</f>
        <v>35229</v>
      </c>
      <c r="H11" s="621"/>
      <c r="I11" s="961" t="s">
        <v>1245</v>
      </c>
      <c r="J11" s="622"/>
    </row>
    <row r="12" spans="1:10" ht="14.5">
      <c r="A12" s="955"/>
      <c r="B12" s="951" t="s">
        <v>1246</v>
      </c>
      <c r="C12" s="956"/>
      <c r="D12" s="953">
        <v>0.15</v>
      </c>
      <c r="E12" s="960">
        <f>E11*D12</f>
        <v>0.52496931787285506</v>
      </c>
      <c r="F12" s="954">
        <f>G11</f>
        <v>35229</v>
      </c>
      <c r="G12" s="954">
        <f>ROUND(D12*F12,0)</f>
        <v>5284</v>
      </c>
      <c r="H12" s="621"/>
      <c r="I12" s="621"/>
      <c r="J12" s="622"/>
    </row>
    <row r="13" spans="1:10" ht="14.5">
      <c r="A13" s="955"/>
      <c r="B13" s="957" t="s">
        <v>1247</v>
      </c>
      <c r="C13" s="956"/>
      <c r="D13" s="953"/>
      <c r="E13" s="1120"/>
      <c r="F13" s="954"/>
      <c r="G13" s="954"/>
      <c r="H13" s="622"/>
      <c r="I13" s="622"/>
      <c r="J13" s="622"/>
    </row>
    <row r="14" spans="1:10" ht="14.5">
      <c r="A14" s="950">
        <v>379</v>
      </c>
      <c r="B14" s="951" t="str">
        <f>VLOOKUP(A14,Materiales[],3,FALSE)</f>
        <v xml:space="preserve">Angulo L ASTM A572 Gr. 50 galvanizado 3/16"x2" </v>
      </c>
      <c r="C14" s="952" t="str">
        <f>VLOOKUP(A14,Materiales[],4,FALSE)</f>
        <v>Und</v>
      </c>
      <c r="D14" s="953">
        <f>4*2/6</f>
        <v>1.3333333333333333</v>
      </c>
      <c r="E14" s="960">
        <f>VLOOKUP(A14,Materiales[],5,FALSE)*D14</f>
        <v>29.04</v>
      </c>
      <c r="F14" s="954">
        <f>VLOOKUP(A14,Materiales[],6,FALSE)</f>
        <v>145781</v>
      </c>
      <c r="G14" s="954">
        <f t="shared" ref="G14:G22" si="1">ROUND(D14*F14,0)</f>
        <v>194375</v>
      </c>
      <c r="H14" s="622"/>
      <c r="I14" s="622"/>
      <c r="J14" s="622"/>
    </row>
    <row r="15" spans="1:10" ht="14.5">
      <c r="A15" s="950">
        <v>371</v>
      </c>
      <c r="B15" s="951" t="str">
        <f>VLOOKUP(A15,Materiales[],3,FALSE)</f>
        <v>Angulo L ASTM A572 Gr. 50 galvanizado 1/8"x1 1/2"</v>
      </c>
      <c r="C15" s="952" t="str">
        <f>VLOOKUP(A15,Materiales[],4,FALSE)</f>
        <v>Und</v>
      </c>
      <c r="D15" s="953">
        <f>1.45*4/6</f>
        <v>0.96666666666666667</v>
      </c>
      <c r="E15" s="960">
        <f>VLOOKUP(A15,Materiales[],5,FALSE)*D15</f>
        <v>10.614000000000001</v>
      </c>
      <c r="F15" s="954">
        <f>VLOOKUP(A15,Materiales[],6,FALSE)</f>
        <v>72890</v>
      </c>
      <c r="G15" s="954">
        <f t="shared" si="1"/>
        <v>70460</v>
      </c>
      <c r="H15" s="622"/>
      <c r="I15" s="622"/>
      <c r="J15" s="622"/>
    </row>
    <row r="16" spans="1:10" ht="14.5">
      <c r="A16" s="950">
        <v>378</v>
      </c>
      <c r="B16" s="951" t="str">
        <f>VLOOKUP(A16,Materiales[],3,FALSE)</f>
        <v xml:space="preserve">Angulo L ASTM A572 Gr. 50 galvanizado 3/16"x2 1/2" </v>
      </c>
      <c r="C16" s="952" t="str">
        <f>VLOOKUP(A16,Materiales[],4,FALSE)</f>
        <v>Und</v>
      </c>
      <c r="D16" s="953">
        <f>(1.45*2+0.64*4)/6</f>
        <v>0.91</v>
      </c>
      <c r="E16" s="960">
        <f>VLOOKUP(A16,Materiales[],5,FALSE)*D16</f>
        <v>25.170600000000004</v>
      </c>
      <c r="F16" s="954">
        <f>VLOOKUP(A16,Materiales[],6,FALSE)</f>
        <v>193887</v>
      </c>
      <c r="G16" s="954">
        <f t="shared" si="1"/>
        <v>176437</v>
      </c>
      <c r="H16" s="622"/>
      <c r="I16" s="622"/>
      <c r="J16" s="622"/>
    </row>
    <row r="17" spans="1:21" ht="14.5">
      <c r="A17" s="950">
        <v>372</v>
      </c>
      <c r="B17" s="951" t="str">
        <f>VLOOKUP(A17,Materiales[],3,FALSE)</f>
        <v>Angulo L ASTM A572 Gr. 50 galvanizado 1/4"x3"</v>
      </c>
      <c r="C17" s="952" t="str">
        <f>VLOOKUP(A17,Materiales[],4,FALSE)</f>
        <v>Und</v>
      </c>
      <c r="D17" s="953">
        <f>(0.064+0.28*2)*2/6</f>
        <v>0.20800000000000005</v>
      </c>
      <c r="E17" s="960">
        <f>VLOOKUP(A17,Materiales[],5,FALSE)*D17</f>
        <v>9.097920000000002</v>
      </c>
      <c r="F17" s="954">
        <f>VLOOKUP(A17,Materiales[],6,FALSE)</f>
        <v>303462</v>
      </c>
      <c r="G17" s="954">
        <f t="shared" si="1"/>
        <v>63120</v>
      </c>
      <c r="H17" s="622"/>
      <c r="I17" s="622"/>
      <c r="J17" s="622"/>
    </row>
    <row r="18" spans="1:21" ht="14.5">
      <c r="A18" s="950">
        <v>373</v>
      </c>
      <c r="B18" s="951" t="str">
        <f>VLOOKUP(A18,Materiales[],3,FALSE)</f>
        <v>Platina ASTM A36 300x300, e=9,53mm</v>
      </c>
      <c r="C18" s="952" t="str">
        <f>VLOOKUP(A18,Materiales[],4,FALSE)</f>
        <v>m2</v>
      </c>
      <c r="D18" s="953">
        <f>0.3*0.3</f>
        <v>0.09</v>
      </c>
      <c r="E18" s="960">
        <f>VLOOKUP(A18,Materiales[],5,FALSE)*D18</f>
        <v>6.7364999999999995</v>
      </c>
      <c r="F18" s="954">
        <f>VLOOKUP(A18,Materiales[],6,FALSE)</f>
        <v>992163</v>
      </c>
      <c r="G18" s="954">
        <f t="shared" si="1"/>
        <v>89295</v>
      </c>
      <c r="H18" s="622"/>
      <c r="I18" s="622"/>
      <c r="J18" s="622"/>
    </row>
    <row r="19" spans="1:21" ht="14.5">
      <c r="A19" s="950">
        <v>374</v>
      </c>
      <c r="B19" s="951" t="str">
        <f>VLOOKUP(A19,Materiales[],3,FALSE)</f>
        <v xml:space="preserve">Platina ASTM A36 200 x 50, e=6,35mm </v>
      </c>
      <c r="C19" s="952" t="str">
        <f>VLOOKUP(A19,Materiales[],4,FALSE)</f>
        <v>m2</v>
      </c>
      <c r="D19" s="953">
        <f>0.2*0.05*4</f>
        <v>4.0000000000000008E-2</v>
      </c>
      <c r="E19" s="960">
        <f>VLOOKUP(A19,Materiales[],5,FALSE)*D19</f>
        <v>1.9948000000000004</v>
      </c>
      <c r="F19" s="954">
        <f>VLOOKUP(A19,Materiales[],6,FALSE)</f>
        <v>1344973</v>
      </c>
      <c r="G19" s="954">
        <f t="shared" si="1"/>
        <v>53799</v>
      </c>
      <c r="H19" s="622"/>
      <c r="I19" s="622"/>
      <c r="J19" s="627"/>
    </row>
    <row r="20" spans="1:21" ht="14.5">
      <c r="A20" s="950">
        <v>375</v>
      </c>
      <c r="B20" s="951" t="str">
        <f>VLOOKUP(A20,Materiales[],3,FALSE)</f>
        <v>Soldadura electrodo E7018</v>
      </c>
      <c r="C20" s="952" t="str">
        <f>VLOOKUP(A20,Materiales[],4,FALSE)</f>
        <v>kg</v>
      </c>
      <c r="D20" s="953">
        <v>0.5</v>
      </c>
      <c r="E20" s="960">
        <f>VLOOKUP(A20,Materiales[],5,FALSE)*D20</f>
        <v>0.5</v>
      </c>
      <c r="F20" s="954">
        <f>VLOOKUP(A20,Materiales[],6,FALSE)</f>
        <v>32085</v>
      </c>
      <c r="G20" s="954">
        <f t="shared" si="1"/>
        <v>16043</v>
      </c>
      <c r="H20" s="622"/>
      <c r="I20" s="622"/>
      <c r="J20" s="621"/>
    </row>
    <row r="21" spans="1:21" ht="14.5">
      <c r="A21" s="950">
        <v>376</v>
      </c>
      <c r="B21" s="951" t="str">
        <f>VLOOKUP(A21,Materiales[],3,FALSE)</f>
        <v xml:space="preserve">Perno ASTM A325 galvanizado 3/8", L=8" </v>
      </c>
      <c r="C21" s="952" t="str">
        <f>VLOOKUP(A21,Materiales[],4,FALSE)</f>
        <v>und</v>
      </c>
      <c r="D21" s="953">
        <v>2</v>
      </c>
      <c r="E21" s="960">
        <f>VLOOKUP(A21,Materiales[],5,FALSE)*D21</f>
        <v>1</v>
      </c>
      <c r="F21" s="954">
        <f>VLOOKUP(A21,Materiales[],6,FALSE)</f>
        <v>12712</v>
      </c>
      <c r="G21" s="954">
        <f t="shared" si="1"/>
        <v>25424</v>
      </c>
      <c r="H21" s="622"/>
      <c r="I21" s="622"/>
      <c r="J21" s="621"/>
    </row>
    <row r="22" spans="1:21" ht="15" customHeight="1">
      <c r="A22" s="950">
        <v>377</v>
      </c>
      <c r="B22" s="951" t="str">
        <f>VLOOKUP(A22,Materiales[],3,FALSE)</f>
        <v xml:space="preserve">Tornillo metálico galvanizado 13x38mm </v>
      </c>
      <c r="C22" s="952" t="str">
        <f>VLOOKUP(A22,Materiales[],4,FALSE)</f>
        <v>und</v>
      </c>
      <c r="D22" s="953">
        <v>4</v>
      </c>
      <c r="E22" s="960">
        <f>VLOOKUP(A22,Materiales[],5,FALSE)*D22</f>
        <v>0.4</v>
      </c>
      <c r="F22" s="954">
        <f>VLOOKUP(A22,Materiales[],6,FALSE)</f>
        <v>1170</v>
      </c>
      <c r="G22" s="954">
        <f t="shared" si="1"/>
        <v>4680</v>
      </c>
      <c r="H22" s="622"/>
      <c r="I22" s="622"/>
      <c r="J22" s="621"/>
    </row>
    <row r="23" spans="1:21" ht="25">
      <c r="A23" s="950">
        <v>336</v>
      </c>
      <c r="B23" s="951" t="str">
        <f>VLOOKUP(A23,Materiales[],3,FALSE)</f>
        <v xml:space="preserve">Poste en poliéster reforzado con fibra de vidrio (PRFV) ASCE 104/ASTM D4923, h=4m, 510kgf. </v>
      </c>
      <c r="C23" s="952" t="str">
        <f>VLOOKUP(A23,Materiales[],4,FALSE)</f>
        <v>UN</v>
      </c>
      <c r="D23" s="953">
        <v>1</v>
      </c>
      <c r="E23" s="960">
        <f>VLOOKUP(A23,Materiales[],5,FALSE)*D23</f>
        <v>21</v>
      </c>
      <c r="F23" s="954">
        <f>VLOOKUP(A23,Materiales[],6,FALSE)</f>
        <v>501145</v>
      </c>
      <c r="G23" s="954">
        <f>ROUND(D23*F23,0)</f>
        <v>501145</v>
      </c>
      <c r="H23" s="622"/>
      <c r="I23" s="622"/>
      <c r="J23" s="621"/>
    </row>
    <row r="24" spans="1:21" ht="14.5">
      <c r="A24" s="640" t="s">
        <v>1248</v>
      </c>
      <c r="B24" s="1747" t="s">
        <v>1249</v>
      </c>
      <c r="C24" s="1748"/>
      <c r="D24" s="1748"/>
      <c r="E24" s="1749"/>
      <c r="F24" s="949"/>
      <c r="G24" s="949">
        <f>SUM(G6:G23)</f>
        <v>1409785</v>
      </c>
    </row>
    <row r="25" spans="1:21" ht="15.75" customHeight="1">
      <c r="A25" s="1732" t="s">
        <v>1250</v>
      </c>
      <c r="B25" s="1733"/>
      <c r="C25" s="1733"/>
      <c r="D25" s="1733"/>
      <c r="E25" s="1734"/>
      <c r="F25" s="1735"/>
    </row>
    <row r="26" spans="1:21" ht="15.75" customHeight="1">
      <c r="A26" s="630" t="s">
        <v>1251</v>
      </c>
      <c r="B26" s="630" t="s">
        <v>1</v>
      </c>
      <c r="C26" s="626" t="s">
        <v>1252</v>
      </c>
      <c r="D26" s="726" t="s">
        <v>1253</v>
      </c>
      <c r="E26" s="639"/>
      <c r="F26" s="729" t="s">
        <v>307</v>
      </c>
      <c r="G26" s="631" t="s">
        <v>840</v>
      </c>
    </row>
    <row r="27" spans="1:21" ht="15.75" customHeight="1">
      <c r="A27" s="623"/>
      <c r="B27" s="623" t="s">
        <v>1254</v>
      </c>
      <c r="C27" s="626" t="s">
        <v>199</v>
      </c>
      <c r="D27" s="1116">
        <f>+G33*0.08</f>
        <v>41037.5593220339</v>
      </c>
      <c r="E27" s="639"/>
      <c r="F27" s="730">
        <v>1</v>
      </c>
      <c r="G27" s="625">
        <f>D27*F27</f>
        <v>41037.5593220339</v>
      </c>
    </row>
    <row r="28" spans="1:21" ht="15.75" customHeight="1">
      <c r="A28" s="628" t="s">
        <v>1255</v>
      </c>
      <c r="B28" s="1752" t="s">
        <v>1256</v>
      </c>
      <c r="C28" s="1745"/>
      <c r="D28" s="1745"/>
      <c r="E28" s="1749"/>
      <c r="F28" s="734"/>
      <c r="G28" s="629">
        <f>SUM(G27:G27)</f>
        <v>41037.5593220339</v>
      </c>
      <c r="U28" s="632"/>
    </row>
    <row r="29" spans="1:21" ht="15.75" customHeight="1">
      <c r="A29" s="1732" t="s">
        <v>1257</v>
      </c>
      <c r="B29" s="1733"/>
      <c r="C29" s="1733"/>
      <c r="D29" s="1733"/>
      <c r="E29" s="1734"/>
      <c r="F29" s="1735"/>
      <c r="U29" s="632"/>
    </row>
    <row r="30" spans="1:21" ht="30.75" customHeight="1">
      <c r="A30" s="626" t="s">
        <v>1258</v>
      </c>
      <c r="B30" s="626" t="s">
        <v>1259</v>
      </c>
      <c r="C30" s="626" t="s">
        <v>1252</v>
      </c>
      <c r="D30" s="1117" t="s">
        <v>1260</v>
      </c>
      <c r="E30" s="639"/>
      <c r="F30" s="638" t="s">
        <v>307</v>
      </c>
      <c r="G30" s="633" t="s">
        <v>840</v>
      </c>
    </row>
    <row r="31" spans="1:21" ht="15.75" customHeight="1">
      <c r="A31" s="634">
        <v>1</v>
      </c>
      <c r="B31" s="630" t="s">
        <v>1261</v>
      </c>
      <c r="C31" s="626" t="s">
        <v>1226</v>
      </c>
      <c r="D31" s="731">
        <v>110725.42372881356</v>
      </c>
      <c r="E31" s="639"/>
      <c r="F31" s="729">
        <v>1.75</v>
      </c>
      <c r="G31" s="631">
        <f>D31*F31*A31</f>
        <v>193769.49152542374</v>
      </c>
    </row>
    <row r="32" spans="1:21" ht="15.75" customHeight="1">
      <c r="A32" s="634">
        <v>1</v>
      </c>
      <c r="B32" s="630" t="s">
        <v>1262</v>
      </c>
      <c r="C32" s="626" t="s">
        <v>1226</v>
      </c>
      <c r="D32" s="731">
        <v>182400</v>
      </c>
      <c r="E32" s="639"/>
      <c r="F32" s="729">
        <f>+F31</f>
        <v>1.75</v>
      </c>
      <c r="G32" s="631">
        <f>D32*F32*A32</f>
        <v>319200</v>
      </c>
    </row>
    <row r="33" spans="1:14" ht="15.75" customHeight="1">
      <c r="A33" s="628" t="s">
        <v>1263</v>
      </c>
      <c r="B33" s="1752" t="s">
        <v>1264</v>
      </c>
      <c r="C33" s="1745"/>
      <c r="D33" s="1745"/>
      <c r="E33" s="1749"/>
      <c r="F33" s="734"/>
      <c r="G33" s="629">
        <f>SUM(G31:G32)</f>
        <v>512969.49152542371</v>
      </c>
    </row>
    <row r="34" spans="1:14" ht="15.75" customHeight="1">
      <c r="A34" s="1753" t="s">
        <v>1265</v>
      </c>
      <c r="B34" s="1734"/>
      <c r="C34" s="1733"/>
      <c r="D34" s="1733"/>
      <c r="E34" s="1734"/>
      <c r="F34" s="1735"/>
    </row>
    <row r="35" spans="1:14" ht="15.75" customHeight="1">
      <c r="A35" s="635" t="s">
        <v>1251</v>
      </c>
      <c r="B35" s="635" t="s">
        <v>1</v>
      </c>
      <c r="C35" s="636" t="s">
        <v>1252</v>
      </c>
      <c r="D35" s="727" t="s">
        <v>1241</v>
      </c>
      <c r="E35" s="639"/>
      <c r="F35" s="732" t="s">
        <v>840</v>
      </c>
      <c r="G35" s="637" t="s">
        <v>840</v>
      </c>
    </row>
    <row r="36" spans="1:14" ht="15.75" customHeight="1">
      <c r="A36" s="626">
        <v>2</v>
      </c>
      <c r="B36" s="943" t="str">
        <f>VLOOKUP(A36,Transporte[],2,FALSE)</f>
        <v>Carga terrestre sobredimensionada Bogotá - Teorama</v>
      </c>
      <c r="C36" s="638" t="s">
        <v>1147</v>
      </c>
      <c r="D36" s="1118">
        <f>SUM(E14:E23)</f>
        <v>105.55382</v>
      </c>
      <c r="E36" s="944"/>
      <c r="F36" s="633">
        <f>VLOOKUP(A36,Transporte[],7,FALSE)</f>
        <v>1705.17956</v>
      </c>
      <c r="G36" s="633">
        <f>F36*D36</f>
        <v>179988.21634391919</v>
      </c>
    </row>
    <row r="37" spans="1:14" ht="14.5">
      <c r="A37" s="626">
        <v>3</v>
      </c>
      <c r="B37" s="943" t="str">
        <f>VLOOKUP(A37,Transporte[],2,FALSE)</f>
        <v>Carga terrestre Teorama - Comunidades</v>
      </c>
      <c r="C37" s="638" t="s">
        <v>1147</v>
      </c>
      <c r="D37" s="1118">
        <f>D36+SUM(E7:E12)</f>
        <v>654.19285269947954</v>
      </c>
      <c r="E37" s="944"/>
      <c r="F37" s="633">
        <f>VLOOKUP(A37,Transporte[],7,FALSE)</f>
        <v>1491</v>
      </c>
      <c r="G37" s="633">
        <f>F37*D37</f>
        <v>975401.54337492399</v>
      </c>
    </row>
    <row r="38" spans="1:14" ht="15.75" customHeight="1">
      <c r="A38" s="640" t="s">
        <v>1266</v>
      </c>
      <c r="B38" s="1747" t="s">
        <v>1267</v>
      </c>
      <c r="C38" s="1748"/>
      <c r="D38" s="1748"/>
      <c r="E38" s="1748"/>
      <c r="F38" s="735"/>
      <c r="G38" s="733">
        <f>SUM(G36:G37)</f>
        <v>1155389.7597188433</v>
      </c>
    </row>
    <row r="39" spans="1:14" ht="15.75" customHeight="1">
      <c r="A39" s="624" t="s">
        <v>674</v>
      </c>
      <c r="B39" s="1732" t="s">
        <v>1268</v>
      </c>
      <c r="C39" s="1733"/>
      <c r="D39" s="1733"/>
      <c r="E39" s="1733"/>
      <c r="F39" s="945"/>
      <c r="G39" s="946">
        <f>G38+G33+G28+G24</f>
        <v>3119181.810566301</v>
      </c>
    </row>
    <row r="40" spans="1:14" ht="15.75" hidden="1" customHeight="1"/>
    <row r="41" spans="1:14" ht="15.75" hidden="1" customHeight="1">
      <c r="F41" s="641" t="e">
        <f>+#REF!+'221'!G39</f>
        <v>#REF!</v>
      </c>
      <c r="I41" s="1750" t="s">
        <v>1269</v>
      </c>
      <c r="J41" s="1751"/>
    </row>
    <row r="42" spans="1:14" ht="15.75" hidden="1" customHeight="1">
      <c r="F42" s="641" t="e">
        <f>+'[293]1.3 '!$F$27+'[293]1.2 '!$F$41</f>
        <v>#REF!</v>
      </c>
      <c r="I42" s="614" t="s">
        <v>1270</v>
      </c>
      <c r="J42" s="614">
        <v>5</v>
      </c>
      <c r="K42" s="614" t="s">
        <v>1271</v>
      </c>
      <c r="L42" s="614" t="s">
        <v>1272</v>
      </c>
      <c r="M42" s="614">
        <v>0.99399999999999999</v>
      </c>
      <c r="N42" s="614" t="s">
        <v>1273</v>
      </c>
    </row>
    <row r="43" spans="1:14" ht="15.75" hidden="1" customHeight="1">
      <c r="I43" s="614" t="s">
        <v>1274</v>
      </c>
      <c r="J43" s="614">
        <f>0.72+0.05*2</f>
        <v>0.82</v>
      </c>
      <c r="K43" s="614" t="s">
        <v>1140</v>
      </c>
      <c r="M43" s="614">
        <f>M42*J50</f>
        <v>12.375299999999999</v>
      </c>
    </row>
    <row r="44" spans="1:14" ht="15.75" hidden="1" customHeight="1"/>
    <row r="45" spans="1:14" ht="15.75" hidden="1" customHeight="1">
      <c r="I45" s="614" t="s">
        <v>1274</v>
      </c>
      <c r="J45" s="614">
        <f>0.3+0.05</f>
        <v>0.35</v>
      </c>
      <c r="K45" s="614" t="s">
        <v>1140</v>
      </c>
    </row>
    <row r="46" spans="1:14" ht="15.75" hidden="1" customHeight="1">
      <c r="I46" s="614" t="s">
        <v>1275</v>
      </c>
      <c r="J46" s="614">
        <v>3</v>
      </c>
    </row>
    <row r="47" spans="1:14" ht="15.75" hidden="1" customHeight="1">
      <c r="I47" s="614" t="s">
        <v>1276</v>
      </c>
      <c r="J47" s="614">
        <v>2</v>
      </c>
    </row>
    <row r="48" spans="1:14" ht="15.75" hidden="1" customHeight="1">
      <c r="I48" s="614" t="s">
        <v>1274</v>
      </c>
      <c r="J48" s="614">
        <f>0.4*4</f>
        <v>1.6</v>
      </c>
      <c r="K48" s="614" t="s">
        <v>1140</v>
      </c>
    </row>
    <row r="49" spans="1:11" ht="15.75" hidden="1" customHeight="1"/>
    <row r="50" spans="1:11" ht="15.75" hidden="1" customHeight="1">
      <c r="I50" s="614" t="s">
        <v>1277</v>
      </c>
      <c r="J50" s="614">
        <f>J42*2*J43+J45*J46+J47*J48</f>
        <v>12.45</v>
      </c>
    </row>
    <row r="51" spans="1:11" ht="15.75" hidden="1" customHeight="1"/>
    <row r="52" spans="1:11" ht="15.75" hidden="1" customHeight="1"/>
    <row r="53" spans="1:11" ht="15.75" hidden="1" customHeight="1"/>
    <row r="54" spans="1:11" ht="15.75" hidden="1" customHeight="1">
      <c r="I54" s="1750" t="s">
        <v>1278</v>
      </c>
      <c r="J54" s="1751"/>
      <c r="K54" s="1751"/>
    </row>
    <row r="55" spans="1:11" ht="15.75" hidden="1" customHeight="1">
      <c r="I55" s="614" t="s">
        <v>1279</v>
      </c>
      <c r="J55" s="614">
        <v>2400</v>
      </c>
      <c r="K55" s="614" t="s">
        <v>1280</v>
      </c>
    </row>
    <row r="56" spans="1:11" ht="15.75" hidden="1" customHeight="1">
      <c r="I56" s="614" t="s">
        <v>1281</v>
      </c>
      <c r="J56" s="614" t="e">
        <f>J55*#REF!</f>
        <v>#REF!</v>
      </c>
      <c r="K56" s="614" t="s">
        <v>1147</v>
      </c>
    </row>
    <row r="57" spans="1:11" ht="15.75" hidden="1" customHeight="1">
      <c r="I57" s="614" t="s">
        <v>1282</v>
      </c>
      <c r="J57" s="614">
        <v>88</v>
      </c>
      <c r="K57" s="614" t="s">
        <v>1147</v>
      </c>
    </row>
    <row r="58" spans="1:11" ht="15.75" hidden="1" customHeight="1">
      <c r="I58" s="614" t="s">
        <v>1283</v>
      </c>
      <c r="J58" s="614" t="e">
        <f>#REF!</f>
        <v>#REF!</v>
      </c>
      <c r="K58" s="614" t="s">
        <v>1147</v>
      </c>
    </row>
    <row r="59" spans="1:11" ht="15.75" hidden="1" customHeight="1"/>
    <row r="60" spans="1:11" ht="15.75" hidden="1" customHeight="1"/>
    <row r="61" spans="1:11" ht="15.75" hidden="1" customHeight="1"/>
    <row r="62" spans="1:11" ht="15.75" hidden="1" customHeight="1"/>
    <row r="63" spans="1:11" ht="34.5" customHeight="1">
      <c r="A63" s="642"/>
      <c r="B63" s="642"/>
    </row>
    <row r="64" spans="1:11" ht="15.75" customHeight="1">
      <c r="A64"/>
      <c r="B64" s="5"/>
    </row>
    <row r="65" spans="1:2" ht="15.75" customHeight="1">
      <c r="A65" s="441"/>
      <c r="B65"/>
    </row>
    <row r="66" spans="1:2" ht="53.15" customHeight="1">
      <c r="B66" s="1027" t="s">
        <v>1235</v>
      </c>
    </row>
    <row r="67" spans="1:2" ht="15.75" customHeight="1"/>
    <row r="68" spans="1:2" ht="15.75" customHeight="1"/>
    <row r="69" spans="1:2" ht="15.75" customHeight="1"/>
    <row r="70" spans="1:2" ht="15.75" customHeight="1"/>
    <row r="71" spans="1:2" ht="15.75" customHeight="1"/>
    <row r="72" spans="1:2" ht="15.75" customHeight="1"/>
    <row r="73" spans="1:2" ht="15.75" customHeight="1"/>
    <row r="74" spans="1:2" ht="15.75" customHeight="1"/>
    <row r="75" spans="1:2" ht="15.75" customHeight="1"/>
    <row r="76" spans="1:2" ht="15.75" customHeight="1"/>
    <row r="77" spans="1:2" ht="15.75" customHeight="1"/>
    <row r="78" spans="1:2" ht="15.75" customHeight="1"/>
    <row r="79" spans="1:2" ht="15.75" customHeight="1"/>
    <row r="80" spans="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15">
    <mergeCell ref="I41:J41"/>
    <mergeCell ref="I54:K54"/>
    <mergeCell ref="B28:E28"/>
    <mergeCell ref="A29:F29"/>
    <mergeCell ref="B33:E33"/>
    <mergeCell ref="A34:F34"/>
    <mergeCell ref="B38:E38"/>
    <mergeCell ref="B39:E39"/>
    <mergeCell ref="A1:G1"/>
    <mergeCell ref="A25:F25"/>
    <mergeCell ref="B2:D2"/>
    <mergeCell ref="B3:D3"/>
    <mergeCell ref="B4:D4"/>
    <mergeCell ref="A5:F5"/>
    <mergeCell ref="B24:E24"/>
  </mergeCells>
  <pageMargins left="0.7" right="0.7" top="0.75" bottom="0.75" header="0" footer="0"/>
  <pageSetup scale="63" orientation="landscape"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59999389629810485"/>
    <pageSetUpPr fitToPage="1"/>
  </sheetPr>
  <dimension ref="A1:I37"/>
  <sheetViews>
    <sheetView view="pageBreakPreview" zoomScale="70" zoomScaleNormal="100" zoomScaleSheetLayoutView="70" workbookViewId="0">
      <selection activeCell="D43" sqref="D4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8" ht="33"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8" ht="12.75" customHeight="1">
      <c r="B3" s="1727" t="str">
        <f>CONCATENATE("ITEM:  ",'PRES. SISFV 2010 W B200'!A16)</f>
        <v>ITEM:  1.2.2</v>
      </c>
      <c r="C3" s="1728"/>
      <c r="D3" s="1728"/>
      <c r="E3" s="1728"/>
      <c r="F3" s="1728"/>
      <c r="G3" s="6" t="s">
        <v>1229</v>
      </c>
      <c r="H3" s="7"/>
    </row>
    <row r="4" spans="1:8" ht="53.15" customHeight="1">
      <c r="B4" s="1722" t="str">
        <f>+'PRES. SISFV 2010 W B200'!B16</f>
        <v>Excavación de zanja para acometida principal en zona verde, de 20 cm de ancho x 60 cm de profundidad y hasta 6 m de longitud. Se utilizará para relleno, el mismo material excavado.</v>
      </c>
      <c r="C4" s="1723"/>
      <c r="D4" s="1724"/>
      <c r="E4" s="328"/>
      <c r="G4" s="8" t="str">
        <f>+'PRES. SISFV 2010 W B200'!C16</f>
        <v>UN</v>
      </c>
    </row>
    <row r="5" spans="1:8" ht="13">
      <c r="B5" s="9"/>
      <c r="G5" s="10"/>
    </row>
    <row r="6" spans="1:8" ht="13">
      <c r="B6" s="20" t="s">
        <v>1219</v>
      </c>
    </row>
    <row r="7" spans="1:8" ht="13">
      <c r="A7" s="119" t="s">
        <v>184</v>
      </c>
      <c r="B7" s="120" t="s">
        <v>1</v>
      </c>
      <c r="C7" s="120" t="s">
        <v>185</v>
      </c>
      <c r="D7" s="120" t="s">
        <v>334</v>
      </c>
      <c r="E7" s="120" t="s">
        <v>1230</v>
      </c>
      <c r="F7" s="120" t="s">
        <v>751</v>
      </c>
      <c r="G7" s="120" t="s">
        <v>752</v>
      </c>
    </row>
    <row r="8" spans="1:8" ht="14.5">
      <c r="A8" s="125"/>
      <c r="B8" s="122"/>
      <c r="C8" s="121"/>
      <c r="D8" s="333"/>
      <c r="E8" s="335"/>
      <c r="F8" s="123"/>
      <c r="G8" s="123"/>
    </row>
    <row r="9" spans="1:8" ht="14.5">
      <c r="A9" s="125"/>
      <c r="B9" s="122"/>
      <c r="C9" s="121"/>
      <c r="D9" s="333"/>
      <c r="E9" s="335"/>
      <c r="F9" s="123"/>
      <c r="G9" s="123"/>
    </row>
    <row r="10" spans="1:8" ht="13">
      <c r="D10" s="18"/>
      <c r="E10" s="18"/>
      <c r="F10" s="29" t="s">
        <v>1220</v>
      </c>
      <c r="G10" s="42">
        <f>SUM(G8:G9)</f>
        <v>0</v>
      </c>
    </row>
    <row r="12" spans="1:8" ht="13">
      <c r="B12" s="20" t="s">
        <v>1221</v>
      </c>
      <c r="G12" s="39"/>
    </row>
    <row r="13" spans="1:8" ht="13">
      <c r="A13" s="119" t="s">
        <v>184</v>
      </c>
      <c r="B13" s="120" t="s">
        <v>1</v>
      </c>
      <c r="C13" s="13" t="s">
        <v>1231</v>
      </c>
      <c r="D13" s="13" t="s">
        <v>1222</v>
      </c>
      <c r="E13" s="13"/>
      <c r="F13" s="13" t="s">
        <v>307</v>
      </c>
      <c r="G13" s="13" t="s">
        <v>752</v>
      </c>
    </row>
    <row r="14" spans="1:8" ht="14.5">
      <c r="A14" s="125">
        <v>1</v>
      </c>
      <c r="B14" s="122" t="str">
        <f>VLOOKUP(A14,Equip.Herram[],2,FALSE)</f>
        <v>Herramienta menor</v>
      </c>
      <c r="C14" s="15" t="str">
        <f>VLOOKUP(A14,Equip.Herram[],3,FALSE)</f>
        <v>UN</v>
      </c>
      <c r="D14" s="36">
        <f>VLOOKUP(A14,Equip.Herram[],4,FALSE)</f>
        <v>24840</v>
      </c>
      <c r="E14" s="36"/>
      <c r="F14" s="16">
        <f>+RENDIMIENTOS!$C$14</f>
        <v>3</v>
      </c>
      <c r="G14" s="36">
        <f t="shared" ref="G14:G15" si="0">ROUND(D14/F14,0)</f>
        <v>8280</v>
      </c>
    </row>
    <row r="15" spans="1:8" ht="14.5">
      <c r="A15" s="125">
        <v>14</v>
      </c>
      <c r="B15" s="122" t="str">
        <f>VLOOKUP(A15,Equip.Herram[],2,FALSE)</f>
        <v>Herramienta para hoyar</v>
      </c>
      <c r="C15" s="15" t="str">
        <f>VLOOKUP(A15,Equip.Herram[],3,FALSE)</f>
        <v>HORA</v>
      </c>
      <c r="D15" s="36">
        <f>VLOOKUP(A15,Equip.Herram[],4,FALSE)</f>
        <v>19044</v>
      </c>
      <c r="E15" s="36"/>
      <c r="F15" s="16">
        <f>+RENDIMIENTOS!$C$14</f>
        <v>3</v>
      </c>
      <c r="G15" s="36">
        <f t="shared" si="0"/>
        <v>6348</v>
      </c>
    </row>
    <row r="16" spans="1:8" ht="13">
      <c r="D16" s="18"/>
      <c r="E16" s="18"/>
      <c r="F16" s="19" t="s">
        <v>1220</v>
      </c>
      <c r="G16" s="37">
        <f>SUM(G14:G15)</f>
        <v>14628</v>
      </c>
    </row>
    <row r="17" spans="1:9" ht="13">
      <c r="D17" s="18"/>
      <c r="E17" s="18"/>
      <c r="F17" s="18"/>
      <c r="G17" s="23"/>
    </row>
    <row r="18" spans="1:9" ht="13">
      <c r="B18" s="11" t="s">
        <v>1223</v>
      </c>
      <c r="G18" s="24"/>
    </row>
    <row r="19" spans="1:9" ht="13">
      <c r="A19" s="119" t="s">
        <v>184</v>
      </c>
      <c r="B19" s="12" t="s">
        <v>1</v>
      </c>
      <c r="C19" s="13" t="s">
        <v>185</v>
      </c>
      <c r="D19" s="13" t="s">
        <v>1230</v>
      </c>
      <c r="E19" s="13"/>
      <c r="F19" s="13" t="s">
        <v>1233</v>
      </c>
      <c r="G19" s="25" t="s">
        <v>752</v>
      </c>
      <c r="I19" s="39"/>
    </row>
    <row r="20" spans="1:9" ht="26.5" customHeight="1">
      <c r="A20" s="125">
        <v>1</v>
      </c>
      <c r="B20" s="122" t="str">
        <f>VLOOKUP(A20,Transporte[],2,FALSE)</f>
        <v>Carga terrestre Bogotá - Teorama</v>
      </c>
      <c r="C20" s="27" t="s">
        <v>1234</v>
      </c>
      <c r="D20" s="118">
        <f>+SUM(E8:E9)</f>
        <v>0</v>
      </c>
      <c r="E20" s="118"/>
      <c r="F20" s="142">
        <f>VLOOKUP(A20,Transporte[],7,FALSE)</f>
        <v>214.17955999999998</v>
      </c>
      <c r="G20" s="35">
        <f>D20*F20</f>
        <v>0</v>
      </c>
    </row>
    <row r="21" spans="1:9" ht="13.4" customHeight="1">
      <c r="A21" s="125">
        <v>3</v>
      </c>
      <c r="B21" s="122" t="str">
        <f>VLOOKUP(A21,Transporte[],2,FALSE)</f>
        <v>Carga terrestre Teorama - Comunidades</v>
      </c>
      <c r="C21" s="27" t="s">
        <v>1234</v>
      </c>
      <c r="D21" s="118">
        <f>+SUM(E8:E9)</f>
        <v>0</v>
      </c>
      <c r="E21" s="118"/>
      <c r="F21" s="142">
        <f>VLOOKUP(A21,Transporte[],7,FALSE)</f>
        <v>1491</v>
      </c>
      <c r="G21" s="35">
        <f>D21*F21</f>
        <v>0</v>
      </c>
    </row>
    <row r="22" spans="1:9" ht="13.4" customHeight="1">
      <c r="B22" s="26"/>
      <c r="C22" s="27"/>
      <c r="D22" s="28"/>
      <c r="E22" s="28"/>
      <c r="F22" s="35"/>
      <c r="G22" s="35"/>
    </row>
    <row r="23" spans="1:9" ht="13">
      <c r="D23" s="18"/>
      <c r="E23" s="18"/>
      <c r="F23" s="29" t="s">
        <v>1220</v>
      </c>
      <c r="G23" s="37">
        <f>SUM(G20:G22)</f>
        <v>0</v>
      </c>
    </row>
    <row r="24" spans="1:9" ht="13">
      <c r="D24" s="18"/>
      <c r="E24" s="18"/>
      <c r="G24" s="23"/>
    </row>
    <row r="25" spans="1:9" ht="13">
      <c r="B25" s="11" t="s">
        <v>1225</v>
      </c>
      <c r="D25" s="30"/>
      <c r="E25" s="30"/>
      <c r="F25" s="31"/>
      <c r="G25" s="24"/>
    </row>
    <row r="26" spans="1:9" s="18" customFormat="1" ht="13">
      <c r="A26" s="119" t="s">
        <v>184</v>
      </c>
      <c r="B26" s="12" t="s">
        <v>1</v>
      </c>
      <c r="C26" s="13" t="s">
        <v>1226</v>
      </c>
      <c r="D26" s="13" t="s">
        <v>1227</v>
      </c>
      <c r="E26" s="13"/>
      <c r="F26" s="13" t="s">
        <v>307</v>
      </c>
      <c r="G26" s="25" t="s">
        <v>752</v>
      </c>
    </row>
    <row r="27" spans="1:9" s="18" customFormat="1" ht="14.5">
      <c r="A27" s="125">
        <v>0</v>
      </c>
      <c r="B27" s="122"/>
      <c r="C27" s="40"/>
      <c r="D27" s="22"/>
      <c r="E27" s="22"/>
      <c r="F27" s="22"/>
      <c r="G27" s="36"/>
    </row>
    <row r="28" spans="1:9" ht="14.5">
      <c r="A28" s="125">
        <v>2</v>
      </c>
      <c r="B28" s="122" t="str">
        <f>VLOOKUP(A28,ManoObra[],2,FALSE)</f>
        <v>Ayudante</v>
      </c>
      <c r="C28" s="40">
        <f>VLOOKUP(A28,ManoObra[],7,FALSE)</f>
        <v>66050</v>
      </c>
      <c r="D28" s="22">
        <f>FP!$B$28</f>
        <v>1.61</v>
      </c>
      <c r="E28" s="22"/>
      <c r="F28" s="22">
        <v>5</v>
      </c>
      <c r="G28" s="36">
        <f>ROUND(C28*D28/F28,0)</f>
        <v>21268</v>
      </c>
    </row>
    <row r="29" spans="1:9" ht="13">
      <c r="D29" s="18"/>
      <c r="E29" s="18"/>
      <c r="F29" s="29" t="s">
        <v>1220</v>
      </c>
      <c r="G29" s="42">
        <f>SUM(G28:G28)</f>
        <v>21268</v>
      </c>
    </row>
    <row r="30" spans="1:9" ht="12.75" customHeight="1">
      <c r="D30" s="18"/>
      <c r="E30" s="18"/>
      <c r="G30" s="24"/>
    </row>
    <row r="31" spans="1:9" ht="13">
      <c r="A31"/>
      <c r="B31"/>
      <c r="D31" s="1725" t="s">
        <v>1228</v>
      </c>
      <c r="E31" s="1730"/>
      <c r="F31" s="1726"/>
      <c r="G31" s="38">
        <f>G10+G16+G23+G29</f>
        <v>35896</v>
      </c>
    </row>
    <row r="32" spans="1:9" ht="13">
      <c r="A32" s="441"/>
      <c r="D32" s="18"/>
      <c r="E32" s="18"/>
      <c r="F32" s="10"/>
      <c r="G32" s="41"/>
    </row>
    <row r="33" spans="1:2" ht="13">
      <c r="A33" s="442"/>
      <c r="B33"/>
    </row>
    <row r="34" spans="1:2">
      <c r="B34" s="441"/>
    </row>
    <row r="35" spans="1:2">
      <c r="B35" s="441"/>
    </row>
    <row r="36" spans="1:2" ht="14">
      <c r="B36" s="840"/>
    </row>
    <row r="37" spans="1:2" ht="46.5">
      <c r="B37" s="1027" t="s">
        <v>1235</v>
      </c>
    </row>
  </sheetData>
  <mergeCells count="4">
    <mergeCell ref="B3:F3"/>
    <mergeCell ref="B4:D4"/>
    <mergeCell ref="D31:F31"/>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59999389629810485"/>
    <pageSetUpPr fitToPage="1"/>
  </sheetPr>
  <dimension ref="A1:I48"/>
  <sheetViews>
    <sheetView view="pageBreakPreview" topLeftCell="A7" zoomScale="70" zoomScaleNormal="100" zoomScaleSheetLayoutView="70" workbookViewId="0">
      <selection activeCell="D43" sqref="D4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2.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SISFV 2010 W B200'!A18)</f>
        <v>ITEM:  1.3.1</v>
      </c>
      <c r="C3" s="1728"/>
      <c r="D3" s="1728"/>
      <c r="E3" s="1728"/>
      <c r="F3" s="1728"/>
      <c r="G3" s="6" t="s">
        <v>1229</v>
      </c>
      <c r="H3" s="7"/>
    </row>
    <row r="4" spans="1:9" ht="31.4" customHeight="1">
      <c r="B4" s="1722" t="str">
        <f>+'PRES. SISFV 2010 W B200'!B18</f>
        <v xml:space="preserve">Medidor de energía monofásico bifilar 5 (80) A, 120 V, calibrado. Incluye sistema de  gestión </v>
      </c>
      <c r="C4" s="1723"/>
      <c r="D4" s="1724"/>
      <c r="E4" s="328"/>
      <c r="G4" s="8" t="str">
        <f>+'PRES. SISFV 2010 W B200'!C18</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342</v>
      </c>
      <c r="B8" s="122" t="str">
        <f>VLOOKUP(A8,Materiales[],3,FALSE)</f>
        <v>Medidor Prepago 120V 5-80A</v>
      </c>
      <c r="C8" s="121" t="str">
        <f>VLOOKUP(A8,Materiales[],4,FALSE)</f>
        <v>UN</v>
      </c>
      <c r="D8" s="118">
        <v>1</v>
      </c>
      <c r="E8" s="335">
        <f>VLOOKUP(A8,Materiales[],5,FALSE)*D8</f>
        <v>1</v>
      </c>
      <c r="F8" s="123">
        <f>VLOOKUP(A8,Materiales[],6,FALSE)</f>
        <v>399602</v>
      </c>
      <c r="G8" s="123">
        <f>ROUND(D8*F8,0)</f>
        <v>399602</v>
      </c>
    </row>
    <row r="9" spans="1:9" ht="14.5">
      <c r="A9" s="125">
        <v>343</v>
      </c>
      <c r="B9" s="122" t="str">
        <f>VLOOKUP(A9,Materiales[],3,FALSE)</f>
        <v>Caja medidor pequeña con interruptor magnetico</v>
      </c>
      <c r="C9" s="121" t="str">
        <f>VLOOKUP(A9,Materiales[],4,FALSE)</f>
        <v>UN</v>
      </c>
      <c r="D9" s="118">
        <v>1</v>
      </c>
      <c r="E9" s="335">
        <f>VLOOKUP(A9,Materiales[],5,FALSE)*D9</f>
        <v>1</v>
      </c>
      <c r="F9" s="123">
        <f>VLOOKUP(A9,Materiales[],6,FALSE)</f>
        <v>112217</v>
      </c>
      <c r="G9" s="123">
        <f t="shared" ref="G9:G17" si="0">ROUND(D9*F9,0)</f>
        <v>112217</v>
      </c>
    </row>
    <row r="10" spans="1:9" ht="14.5">
      <c r="A10" s="125">
        <v>344</v>
      </c>
      <c r="B10" s="122" t="str">
        <f>VLOOKUP(A10,Materiales[],3,FALSE)</f>
        <v>Datasol Light (Captura Informacion)</v>
      </c>
      <c r="C10" s="121" t="str">
        <f>VLOOKUP(A10,Materiales[],4,FALSE)</f>
        <v>UN</v>
      </c>
      <c r="D10" s="118">
        <v>1</v>
      </c>
      <c r="E10" s="335">
        <f>VLOOKUP(A10,Materiales[],5,FALSE)*D10</f>
        <v>0.2</v>
      </c>
      <c r="F10" s="123">
        <f>VLOOKUP(A10,Materiales[],6,FALSE)</f>
        <v>218960</v>
      </c>
      <c r="G10" s="123">
        <f t="shared" ref="G10:G15" si="1">ROUND(D10*F10,0)</f>
        <v>218960</v>
      </c>
    </row>
    <row r="11" spans="1:9" ht="14.15" customHeight="1">
      <c r="A11" s="125">
        <v>345</v>
      </c>
      <c r="B11" s="122" t="str">
        <f>VLOOKUP(A11,Materiales[],3,FALSE)</f>
        <v>Aplicativo servidor de captura datalogger</v>
      </c>
      <c r="C11" s="121" t="str">
        <f>VLOOKUP(A11,Materiales[],4,FALSE)</f>
        <v>UN</v>
      </c>
      <c r="D11" s="118">
        <v>1</v>
      </c>
      <c r="E11" s="335">
        <f>VLOOKUP(A11,Materiales[],5,FALSE)*D11</f>
        <v>0</v>
      </c>
      <c r="F11" s="123">
        <f>VLOOKUP(A11,Materiales[],6,FALSE)/Tabla1[[#Totals],[INDIVIDUALES]]</f>
        <v>387311.32075471699</v>
      </c>
      <c r="G11" s="123">
        <f t="shared" si="1"/>
        <v>387311</v>
      </c>
      <c r="I11" s="5">
        <f>+MATERIALES!F342/53</f>
        <v>192106.41509433961</v>
      </c>
    </row>
    <row r="12" spans="1:9" ht="25">
      <c r="A12" s="125">
        <v>346</v>
      </c>
      <c r="B12" s="122" t="str">
        <f>VLOOKUP(A12,Materiales[],3,FALSE)</f>
        <v>App Software Android Lectura informacion medidores (Hasta 10 Dispositivos)</v>
      </c>
      <c r="C12" s="121" t="str">
        <f>VLOOKUP(A12,Materiales[],4,FALSE)</f>
        <v>UN</v>
      </c>
      <c r="D12" s="118">
        <v>1</v>
      </c>
      <c r="E12" s="335">
        <f>VLOOKUP(A12,Materiales[],5,FALSE)*D12</f>
        <v>0</v>
      </c>
      <c r="F12" s="123">
        <f>VLOOKUP(A12,Materiales[],6,FALSE)/Tabla1[[#Totals],[INDIVIDUALES]]</f>
        <v>258207.54716981133</v>
      </c>
      <c r="G12" s="123">
        <f t="shared" si="1"/>
        <v>258208</v>
      </c>
    </row>
    <row r="13" spans="1:9" ht="14.5">
      <c r="A13" s="125">
        <v>347</v>
      </c>
      <c r="B13" s="122" t="str">
        <f>VLOOKUP(A13,Materiales[],3,FALSE)</f>
        <v xml:space="preserve">Plataforma de Recaudo </v>
      </c>
      <c r="C13" s="121" t="str">
        <f>VLOOKUP(A13,Materiales[],4,FALSE)</f>
        <v>UN</v>
      </c>
      <c r="D13" s="118">
        <v>1</v>
      </c>
      <c r="E13" s="335">
        <f>VLOOKUP(A13,Materiales[],5,FALSE)*D13</f>
        <v>0</v>
      </c>
      <c r="F13" s="123">
        <f>VLOOKUP(A13,Materiales[],6,FALSE)/Tabla1[[#Totals],[USUARIOS]]</f>
        <v>139642.85714285713</v>
      </c>
      <c r="G13" s="123">
        <f t="shared" si="1"/>
        <v>139643</v>
      </c>
    </row>
    <row r="14" spans="1:9" ht="14.5">
      <c r="A14" s="125">
        <v>348</v>
      </c>
      <c r="B14" s="122" t="str">
        <f>VLOOKUP(A14,Materiales[],3,FALSE)</f>
        <v>Software Datafono Local</v>
      </c>
      <c r="C14" s="121" t="str">
        <f>VLOOKUP(A14,Materiales[],4,FALSE)</f>
        <v>UN</v>
      </c>
      <c r="D14" s="118">
        <v>1</v>
      </c>
      <c r="E14" s="335">
        <f>VLOOKUP(A14,Materiales[],5,FALSE)*D14</f>
        <v>0</v>
      </c>
      <c r="F14" s="123">
        <f>VLOOKUP(A14,Materiales[],6,FALSE)/Tabla1[[#Totals],[USUARIOS]]</f>
        <v>76524.28571428571</v>
      </c>
      <c r="G14" s="123">
        <f t="shared" si="1"/>
        <v>76524</v>
      </c>
    </row>
    <row r="15" spans="1:9" ht="14.5">
      <c r="A15" s="125">
        <v>349</v>
      </c>
      <c r="B15" s="122" t="str">
        <f>VLOOKUP(A15,Materiales[],3,FALSE)</f>
        <v>Datafono Local</v>
      </c>
      <c r="C15" s="121" t="str">
        <f>VLOOKUP(A15,Materiales[],4,FALSE)</f>
        <v>UN</v>
      </c>
      <c r="D15" s="118">
        <v>3</v>
      </c>
      <c r="E15" s="335">
        <f>VLOOKUP(A15,Materiales[],5,FALSE)*D15</f>
        <v>0</v>
      </c>
      <c r="F15" s="123">
        <f>VLOOKUP(A15,Materiales[],6,FALSE)/Tabla1[[#Totals],[USUARIOS]]</f>
        <v>30721.428571428572</v>
      </c>
      <c r="G15" s="123">
        <f t="shared" si="1"/>
        <v>92164</v>
      </c>
    </row>
    <row r="16" spans="1:9" ht="14.5">
      <c r="A16" s="125">
        <v>350</v>
      </c>
      <c r="B16" s="122" t="str">
        <f>VLOOKUP(A16,Materiales[],3,FALSE)</f>
        <v>Software Datafono Viajero</v>
      </c>
      <c r="C16" s="121" t="str">
        <f>VLOOKUP(A16,Materiales[],4,FALSE)</f>
        <v>UN</v>
      </c>
      <c r="D16" s="118">
        <v>1</v>
      </c>
      <c r="E16" s="335">
        <f>VLOOKUP(A16,Materiales[],5,FALSE)*D16</f>
        <v>0</v>
      </c>
      <c r="F16" s="123">
        <f>VLOOKUP(A16,Materiales[],6,FALSE)/Tabla1[[#Totals],[USUARIOS]]</f>
        <v>103894.28571428571</v>
      </c>
      <c r="G16" s="123">
        <f t="shared" si="0"/>
        <v>103894</v>
      </c>
    </row>
    <row r="17" spans="1:9" ht="14.5">
      <c r="A17" s="125">
        <v>351</v>
      </c>
      <c r="B17" s="122" t="str">
        <f>VLOOKUP(A17,Materiales[],3,FALSE)</f>
        <v xml:space="preserve">Datafono viajero </v>
      </c>
      <c r="C17" s="121" t="str">
        <f>VLOOKUP(A17,Materiales[],4,FALSE)</f>
        <v>UN</v>
      </c>
      <c r="D17" s="118">
        <v>3</v>
      </c>
      <c r="E17" s="335">
        <f>VLOOKUP(A17,Materiales[],5,FALSE)*D17</f>
        <v>0.60000000000000009</v>
      </c>
      <c r="F17" s="123">
        <f>VLOOKUP(A17,Materiales[],6,FALSE)/Tabla1[[#Totals],[USUARIOS]]</f>
        <v>30721.428571428572</v>
      </c>
      <c r="G17" s="123">
        <f t="shared" si="0"/>
        <v>92164</v>
      </c>
    </row>
    <row r="18" spans="1:9" ht="14.5">
      <c r="A18" s="125">
        <v>390</v>
      </c>
      <c r="B18" s="122" t="str">
        <f>VLOOKUP(A18,Materiales[],3,FALSE)</f>
        <v>Servidor (Pantalla-Teclado-Mouse)</v>
      </c>
      <c r="C18" s="121" t="str">
        <f>VLOOKUP(A18,Materiales[],4,FALSE)</f>
        <v>UN</v>
      </c>
      <c r="D18" s="118">
        <v>1</v>
      </c>
      <c r="E18" s="335">
        <f>VLOOKUP(A18,Materiales[],5,FALSE)*D18</f>
        <v>0</v>
      </c>
      <c r="F18" s="123">
        <f>VLOOKUP(A18,Materiales[],6,FALSE)/Tabla1[[#Totals],[USUARIOS]]</f>
        <v>139642.85714285713</v>
      </c>
      <c r="G18" s="123">
        <f t="shared" ref="G18:G20" si="2">ROUND(D18*F18,0)</f>
        <v>139643</v>
      </c>
    </row>
    <row r="19" spans="1:9" ht="14.5">
      <c r="A19" s="125">
        <v>391</v>
      </c>
      <c r="B19" s="122" t="str">
        <f>VLOOKUP(A19,Materiales[],3,FALSE)</f>
        <v>UPS  Servidor</v>
      </c>
      <c r="C19" s="121" t="str">
        <f>VLOOKUP(A19,Materiales[],4,FALSE)</f>
        <v>UN</v>
      </c>
      <c r="D19" s="118">
        <v>1</v>
      </c>
      <c r="E19" s="335">
        <f>VLOOKUP(A19,Materiales[],5,FALSE)*D19</f>
        <v>10</v>
      </c>
      <c r="F19" s="123">
        <f>VLOOKUP(A19,Materiales[],6,FALSE)/Tabla1[[#Totals],[USUARIOS]]</f>
        <v>13964.285714285714</v>
      </c>
      <c r="G19" s="123">
        <f t="shared" si="2"/>
        <v>13964</v>
      </c>
    </row>
    <row r="20" spans="1:9" ht="36" customHeight="1">
      <c r="A20" s="125">
        <v>392</v>
      </c>
      <c r="B20" s="122" t="str">
        <f>VLOOKUP(A20,Materiales[],3,FALSE)</f>
        <v>Capacitación en el manejo de software de operación del sistema de medición - virtual por 3 días</v>
      </c>
      <c r="C20" s="121" t="str">
        <f>VLOOKUP(A20,Materiales[],4,FALSE)</f>
        <v>UN</v>
      </c>
      <c r="D20" s="118">
        <v>5</v>
      </c>
      <c r="E20" s="335">
        <f>VLOOKUP(A20,Materiales[],5,FALSE)*D20</f>
        <v>0</v>
      </c>
      <c r="F20" s="123">
        <f>VLOOKUP(A20,Materiales[],6,FALSE)/Tabla1[[#Totals],[USUARIOS]]</f>
        <v>12567.857142857143</v>
      </c>
      <c r="G20" s="123">
        <f t="shared" si="2"/>
        <v>62839</v>
      </c>
    </row>
    <row r="21" spans="1:9" ht="25">
      <c r="A21" s="125">
        <v>394</v>
      </c>
      <c r="B21" s="122" t="str">
        <f>VLOOKUP(A21,Materiales[],3,FALSE)</f>
        <v>Capacitación en el manejo de software aplicativo movil lectura medidor - virtual por 3 días</v>
      </c>
      <c r="C21" s="121" t="str">
        <f>VLOOKUP(A21,Materiales[],4,FALSE)</f>
        <v>UN</v>
      </c>
      <c r="D21" s="118">
        <v>5</v>
      </c>
      <c r="E21" s="335">
        <f>VLOOKUP(A21,Materiales[],5,FALSE)*D21</f>
        <v>0</v>
      </c>
      <c r="F21" s="123">
        <f>VLOOKUP(A21,Materiales[],6,FALSE)/Tabla1[[#Totals],[USUARIOS]]</f>
        <v>12567.857142857143</v>
      </c>
      <c r="G21" s="123">
        <f t="shared" ref="G21" si="3">ROUND(D21*F21,0)</f>
        <v>62839</v>
      </c>
    </row>
    <row r="22" spans="1:9" ht="13">
      <c r="D22" s="18"/>
      <c r="E22" s="18"/>
      <c r="F22" s="29" t="s">
        <v>1220</v>
      </c>
      <c r="G22" s="42">
        <f>SUM(G8:G21)</f>
        <v>2159972</v>
      </c>
    </row>
    <row r="24" spans="1:9" ht="13">
      <c r="B24" s="20" t="s">
        <v>1221</v>
      </c>
      <c r="G24" s="39"/>
    </row>
    <row r="25" spans="1:9" ht="13">
      <c r="A25" s="119" t="s">
        <v>184</v>
      </c>
      <c r="B25" s="120" t="s">
        <v>1</v>
      </c>
      <c r="C25" s="13" t="s">
        <v>1231</v>
      </c>
      <c r="D25" s="13" t="s">
        <v>1222</v>
      </c>
      <c r="E25" s="13"/>
      <c r="F25" s="13" t="s">
        <v>307</v>
      </c>
      <c r="G25" s="13" t="s">
        <v>752</v>
      </c>
    </row>
    <row r="26" spans="1:9" ht="14.5">
      <c r="A26" s="125">
        <v>1</v>
      </c>
      <c r="B26" s="122" t="str">
        <f>VLOOKUP(A26,Equip.Herram[],2,FALSE)</f>
        <v>Herramienta menor</v>
      </c>
      <c r="C26" s="15" t="str">
        <f>VLOOKUP(A26,Equip.Herram[],3,FALSE)</f>
        <v>UN</v>
      </c>
      <c r="D26" s="36">
        <f>VLOOKUP(A26,Equip.Herram[],4,FALSE)</f>
        <v>24840</v>
      </c>
      <c r="E26" s="36"/>
      <c r="F26" s="16">
        <v>1</v>
      </c>
      <c r="G26" s="36">
        <f t="shared" ref="G26" si="4">ROUND(D26/F26,0)</f>
        <v>24840</v>
      </c>
    </row>
    <row r="27" spans="1:9" ht="13">
      <c r="D27" s="18"/>
      <c r="E27" s="18"/>
      <c r="F27" s="19" t="s">
        <v>1220</v>
      </c>
      <c r="G27" s="37">
        <f>SUM(G26:G26)</f>
        <v>24840</v>
      </c>
    </row>
    <row r="28" spans="1:9" ht="13">
      <c r="D28" s="18"/>
      <c r="E28" s="18"/>
      <c r="F28" s="18"/>
      <c r="G28" s="23"/>
    </row>
    <row r="29" spans="1:9" ht="13">
      <c r="B29" s="11" t="s">
        <v>1223</v>
      </c>
      <c r="G29" s="24"/>
    </row>
    <row r="30" spans="1:9" ht="13">
      <c r="A30" s="119" t="s">
        <v>184</v>
      </c>
      <c r="B30" s="12" t="s">
        <v>1</v>
      </c>
      <c r="C30" s="13" t="s">
        <v>185</v>
      </c>
      <c r="D30" s="13" t="s">
        <v>1230</v>
      </c>
      <c r="E30" s="13"/>
      <c r="F30" s="13" t="s">
        <v>1233</v>
      </c>
      <c r="G30" s="25" t="s">
        <v>752</v>
      </c>
      <c r="I30" s="39"/>
    </row>
    <row r="31" spans="1:9" ht="26.5" customHeight="1">
      <c r="A31" s="125">
        <v>1</v>
      </c>
      <c r="B31" s="122" t="str">
        <f>VLOOKUP(A31,Transporte[],2,FALSE)</f>
        <v>Carga terrestre Bogotá - Teorama</v>
      </c>
      <c r="C31" s="27" t="s">
        <v>1234</v>
      </c>
      <c r="D31" s="118">
        <f>+SUM(E8:E21)</f>
        <v>12.8</v>
      </c>
      <c r="E31" s="118"/>
      <c r="F31" s="142">
        <f>VLOOKUP(A31,Transporte[],7,FALSE)</f>
        <v>214.17955999999998</v>
      </c>
      <c r="G31" s="35">
        <f>D31*F31</f>
        <v>2741.498368</v>
      </c>
    </row>
    <row r="32" spans="1:9" ht="13.4" customHeight="1">
      <c r="A32" s="125">
        <v>3</v>
      </c>
      <c r="B32" s="122" t="str">
        <f>VLOOKUP(A32,Transporte[],2,FALSE)</f>
        <v>Carga terrestre Teorama - Comunidades</v>
      </c>
      <c r="C32" s="27" t="s">
        <v>1234</v>
      </c>
      <c r="D32" s="118">
        <f>+SUM(E8:E21)</f>
        <v>12.8</v>
      </c>
      <c r="E32" s="118"/>
      <c r="F32" s="142">
        <f>VLOOKUP(A32,Transporte[],7,FALSE)</f>
        <v>1491</v>
      </c>
      <c r="G32" s="35">
        <f>D32*F32</f>
        <v>19084.8</v>
      </c>
    </row>
    <row r="33" spans="1:9" ht="13.4" customHeight="1">
      <c r="B33" s="26"/>
      <c r="C33" s="27"/>
      <c r="D33" s="28"/>
      <c r="E33" s="28"/>
      <c r="F33" s="35"/>
      <c r="G33" s="35"/>
    </row>
    <row r="34" spans="1:9" ht="13">
      <c r="D34" s="18"/>
      <c r="E34" s="18"/>
      <c r="F34" s="29" t="s">
        <v>1220</v>
      </c>
      <c r="G34" s="37">
        <f>SUM(G31:G33)</f>
        <v>21826.298368</v>
      </c>
    </row>
    <row r="35" spans="1:9" ht="13">
      <c r="D35" s="18"/>
      <c r="E35" s="18"/>
      <c r="G35" s="23"/>
    </row>
    <row r="36" spans="1:9" ht="13">
      <c r="B36" s="11" t="s">
        <v>1225</v>
      </c>
      <c r="D36" s="30"/>
      <c r="E36" s="30"/>
      <c r="F36" s="31"/>
      <c r="G36" s="24"/>
    </row>
    <row r="37" spans="1:9" s="18" customFormat="1" ht="13">
      <c r="A37" s="119" t="s">
        <v>184</v>
      </c>
      <c r="B37" s="12" t="s">
        <v>1</v>
      </c>
      <c r="C37" s="13" t="s">
        <v>1226</v>
      </c>
      <c r="D37" s="13" t="s">
        <v>1227</v>
      </c>
      <c r="E37" s="13"/>
      <c r="F37" s="13" t="s">
        <v>307</v>
      </c>
      <c r="G37" s="25" t="s">
        <v>752</v>
      </c>
    </row>
    <row r="38" spans="1:9" ht="14.5">
      <c r="A38" s="125">
        <v>1</v>
      </c>
      <c r="B38" s="122" t="str">
        <f>VLOOKUP(A38,ManoObra[],2,FALSE)</f>
        <v>Electricista</v>
      </c>
      <c r="C38" s="40">
        <f>VLOOKUP(A38,ManoObra[],7,FALSE)</f>
        <v>71863</v>
      </c>
      <c r="D38" s="22">
        <f>FP!$B$28</f>
        <v>1.61</v>
      </c>
      <c r="E38" s="22"/>
      <c r="F38" s="16">
        <v>4</v>
      </c>
      <c r="G38" s="36">
        <f>ROUND(C38*D38/F38,0)</f>
        <v>28925</v>
      </c>
      <c r="I38" s="81"/>
    </row>
    <row r="39" spans="1:9" ht="14.5">
      <c r="A39" s="125">
        <v>2</v>
      </c>
      <c r="B39" s="122" t="str">
        <f>VLOOKUP(A39,ManoObra[],2,FALSE)</f>
        <v>Ayudante</v>
      </c>
      <c r="C39" s="40">
        <f>VLOOKUP(A39,ManoObra[],7,FALSE)</f>
        <v>66050</v>
      </c>
      <c r="D39" s="22">
        <f>FP!$B$28</f>
        <v>1.61</v>
      </c>
      <c r="E39" s="22"/>
      <c r="F39" s="16">
        <f>+F38</f>
        <v>4</v>
      </c>
      <c r="G39" s="36">
        <f>ROUND(C39*D39/F39,0)</f>
        <v>26585</v>
      </c>
      <c r="I39" s="81"/>
    </row>
    <row r="40" spans="1:9" ht="13">
      <c r="D40" s="18"/>
      <c r="E40" s="18"/>
      <c r="F40" s="29" t="s">
        <v>1220</v>
      </c>
      <c r="G40" s="42">
        <f>SUM(G38:G39)</f>
        <v>55510</v>
      </c>
    </row>
    <row r="41" spans="1:9" ht="13">
      <c r="D41" s="18"/>
      <c r="E41" s="18"/>
      <c r="G41" s="24"/>
    </row>
    <row r="42" spans="1:9" ht="12.75" customHeight="1">
      <c r="A42"/>
      <c r="B42"/>
      <c r="D42" s="1725" t="s">
        <v>1228</v>
      </c>
      <c r="E42" s="1730"/>
      <c r="F42" s="1726"/>
      <c r="G42" s="38">
        <f>G22+G27+G34+G40</f>
        <v>2262148.298368</v>
      </c>
    </row>
    <row r="43" spans="1:9" ht="13">
      <c r="A43" s="441"/>
      <c r="D43" s="18"/>
      <c r="E43" s="18"/>
      <c r="F43" s="10"/>
      <c r="G43" s="41"/>
    </row>
    <row r="44" spans="1:9" ht="13">
      <c r="A44" s="442"/>
      <c r="B44"/>
    </row>
    <row r="45" spans="1:9">
      <c r="B45" s="441"/>
    </row>
    <row r="46" spans="1:9">
      <c r="B46" s="441"/>
    </row>
    <row r="47" spans="1:9" ht="14">
      <c r="B47" s="840"/>
    </row>
    <row r="48" spans="1:9" ht="46.5">
      <c r="B48" s="1027" t="s">
        <v>1235</v>
      </c>
    </row>
  </sheetData>
  <mergeCells count="4">
    <mergeCell ref="B3:F3"/>
    <mergeCell ref="B4:D4"/>
    <mergeCell ref="D42:F42"/>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A7F0A-9E19-4C84-A93C-023AEF4080D2}">
  <sheetPr>
    <tabColor theme="9" tint="0.59999389629810485"/>
    <pageSetUpPr fitToPage="1"/>
  </sheetPr>
  <dimension ref="A1:I39"/>
  <sheetViews>
    <sheetView view="pageBreakPreview" zoomScale="80" zoomScaleNormal="100" zoomScaleSheetLayoutView="80" workbookViewId="0">
      <selection activeCell="D43" sqref="D4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2.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KW'!A6,", ",'PRES MR 10 KW'!A6,", ",'PRES MR 15 KW'!A6)</f>
        <v>ITEM:  2.1.1, 3.1.1, 4.1.1</v>
      </c>
      <c r="C3" s="1728"/>
      <c r="D3" s="1728"/>
      <c r="E3" s="1728"/>
      <c r="F3" s="1728"/>
      <c r="G3" s="6" t="s">
        <v>1229</v>
      </c>
      <c r="H3" s="7"/>
    </row>
    <row r="4" spans="1:9" ht="87.65" customHeight="1">
      <c r="B4" s="1722" t="str">
        <f>+'PRES MR 5 KW'!B6</f>
        <v>Suministro, transporte e instalación de Panel Solar de 670 W Mono PERC incluido en TIER-1 incluye, cable solar XLPE 6mm2, par de conectores MC4 y caja de conexión IP68 con diodos de paso con las siguientes características: ƞ ≥ 20%; tolerancia +3% condiciones STC. Garantía de producción a 12 años ≥ 90% y ≥ 80% a 25 años, temperatura de trabajo de -40ºC +80ºC, IEC61205. Certificación de conformidad de producto RETIE</v>
      </c>
      <c r="C4" s="1723"/>
      <c r="D4" s="1724"/>
      <c r="E4" s="328"/>
      <c r="G4" s="8" t="str">
        <f>+'PRES MR 5 KW'!C6</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25">
      <c r="A8" s="125">
        <v>360</v>
      </c>
      <c r="B8" s="122" t="str">
        <f>VLOOKUP(A8,Materiales[],3,FALSE)</f>
        <v>Módulo solar fotovoltaico monocristalino tipo PERC "Half Cell" TIER 1 de 670 Wp</v>
      </c>
      <c r="C8" s="121" t="str">
        <f>VLOOKUP(A8,Materiales[],4,FALSE)</f>
        <v>UN</v>
      </c>
      <c r="D8" s="118">
        <v>1</v>
      </c>
      <c r="E8" s="329">
        <f>VLOOKUP(A8,Materiales[],5,FALSE)*D8</f>
        <v>38.5</v>
      </c>
      <c r="F8" s="123">
        <f>VLOOKUP(A8,Materiales[],6,FALSE)</f>
        <v>867147</v>
      </c>
      <c r="G8" s="123">
        <f>ROUND(D8*F8,0)</f>
        <v>867147</v>
      </c>
      <c r="I8" s="33"/>
    </row>
    <row r="9" spans="1:9" ht="14.5">
      <c r="A9" s="117">
        <v>234</v>
      </c>
      <c r="B9" s="122" t="str">
        <f>VLOOKUP(A9,Materiales[],3,FALSE)</f>
        <v>Cable Cu solar XLPE 6mm 1kV 120 °C</v>
      </c>
      <c r="C9" s="121" t="str">
        <f>VLOOKUP(A9,Materiales[],4,FALSE)</f>
        <v>ML</v>
      </c>
      <c r="D9" s="331">
        <f>0.7*1.05*2</f>
        <v>1.47</v>
      </c>
      <c r="E9" s="329">
        <f>VLOOKUP(A9,Materiales[],5,FALSE)*D9</f>
        <v>9.5843999999999985E-2</v>
      </c>
      <c r="F9" s="123">
        <f>VLOOKUP(A9,Materiales[],6,FALSE)</f>
        <v>7623</v>
      </c>
      <c r="G9" s="123">
        <f t="shared" ref="G9:G10" si="0">ROUND(D9*F9,0)</f>
        <v>11206</v>
      </c>
    </row>
    <row r="10" spans="1:9" ht="25">
      <c r="A10" s="117">
        <v>3</v>
      </c>
      <c r="B10" s="122" t="str">
        <f>VLOOKUP(A10,Materiales[],3,FALSE)</f>
        <v>Conector hembra o macho MC4, 100V para cable de 6mm2</v>
      </c>
      <c r="C10" s="121" t="str">
        <f>VLOOKUP(A10,Materiales[],4,FALSE)</f>
        <v>UN</v>
      </c>
      <c r="D10" s="118">
        <v>2</v>
      </c>
      <c r="E10" s="329">
        <f>VLOOKUP(A10,Materiales[],5,FALSE)*D10</f>
        <v>0.2</v>
      </c>
      <c r="F10" s="123">
        <f>VLOOKUP(A10,Materiales[],6,FALSE)</f>
        <v>11284</v>
      </c>
      <c r="G10" s="123">
        <f t="shared" si="0"/>
        <v>22568</v>
      </c>
    </row>
    <row r="11" spans="1:9" ht="13">
      <c r="D11" s="18"/>
      <c r="E11" s="18"/>
      <c r="F11" s="29" t="s">
        <v>1220</v>
      </c>
      <c r="G11" s="42">
        <f>SUM(G8:G10)</f>
        <v>900921</v>
      </c>
    </row>
    <row r="13" spans="1:9" ht="13">
      <c r="B13" s="20" t="s">
        <v>1221</v>
      </c>
      <c r="G13" s="39"/>
    </row>
    <row r="14" spans="1:9" ht="13">
      <c r="A14" s="119" t="s">
        <v>184</v>
      </c>
      <c r="B14" s="120" t="s">
        <v>1</v>
      </c>
      <c r="C14" s="13" t="s">
        <v>1231</v>
      </c>
      <c r="D14" s="13" t="s">
        <v>1222</v>
      </c>
      <c r="E14" s="13"/>
      <c r="F14" s="13" t="s">
        <v>307</v>
      </c>
      <c r="G14" s="13" t="s">
        <v>752</v>
      </c>
    </row>
    <row r="15" spans="1:9" ht="14.5">
      <c r="A15" s="125">
        <v>1</v>
      </c>
      <c r="B15" s="122" t="str">
        <f>VLOOKUP(A15,Equip.Herram[],2,FALSE)</f>
        <v>Herramienta menor</v>
      </c>
      <c r="C15" s="15" t="str">
        <f>VLOOKUP(A15,Equip.Herram[],3,FALSE)</f>
        <v>UN</v>
      </c>
      <c r="D15" s="36">
        <f>VLOOKUP(A15,Equip.Herram[],4,FALSE)</f>
        <v>24840</v>
      </c>
      <c r="E15" s="36"/>
      <c r="F15" s="16">
        <f>+RENDIMIENTOS!C30</f>
        <v>6</v>
      </c>
      <c r="G15" s="36">
        <f>ROUND(D15/F15,0)</f>
        <v>4140</v>
      </c>
    </row>
    <row r="16" spans="1:9">
      <c r="B16" s="14"/>
      <c r="C16" s="15"/>
      <c r="D16" s="17"/>
      <c r="E16" s="17"/>
      <c r="F16" s="22"/>
      <c r="G16" s="21"/>
    </row>
    <row r="17" spans="1:9">
      <c r="B17" s="14"/>
      <c r="C17" s="15"/>
      <c r="D17" s="17"/>
      <c r="E17" s="17"/>
      <c r="F17" s="22"/>
      <c r="G17" s="21"/>
    </row>
    <row r="18" spans="1:9" ht="13">
      <c r="D18" s="18"/>
      <c r="E18" s="18"/>
      <c r="F18" s="19" t="s">
        <v>1220</v>
      </c>
      <c r="G18" s="37">
        <f>SUM(G15:G17)</f>
        <v>4140</v>
      </c>
    </row>
    <row r="19" spans="1:9" ht="13">
      <c r="D19" s="18"/>
      <c r="E19" s="18"/>
      <c r="F19" s="18"/>
      <c r="G19" s="23"/>
    </row>
    <row r="20" spans="1:9" ht="13">
      <c r="B20" s="11" t="s">
        <v>1223</v>
      </c>
      <c r="G20" s="24"/>
    </row>
    <row r="21" spans="1:9" ht="13">
      <c r="A21" s="119" t="s">
        <v>184</v>
      </c>
      <c r="B21" s="12" t="s">
        <v>1</v>
      </c>
      <c r="C21" s="13" t="s">
        <v>185</v>
      </c>
      <c r="D21" s="13" t="s">
        <v>1230</v>
      </c>
      <c r="E21" s="13"/>
      <c r="F21" s="13" t="s">
        <v>1233</v>
      </c>
      <c r="G21" s="25" t="s">
        <v>752</v>
      </c>
      <c r="I21" s="39"/>
    </row>
    <row r="22" spans="1:9" ht="26.5" customHeight="1">
      <c r="A22" s="125">
        <v>1</v>
      </c>
      <c r="B22" s="122" t="str">
        <f>VLOOKUP(A22,Transporte[],2,FALSE)</f>
        <v>Carga terrestre Bogotá - Teorama</v>
      </c>
      <c r="C22" s="27" t="s">
        <v>1234</v>
      </c>
      <c r="D22" s="118">
        <f>+SUM(E8:E10)</f>
        <v>38.795844000000002</v>
      </c>
      <c r="E22" s="118"/>
      <c r="F22" s="142">
        <f>VLOOKUP(A22,Transporte[],7,FALSE)</f>
        <v>214.17955999999998</v>
      </c>
      <c r="G22" s="35">
        <f>D22*F22</f>
        <v>8309.2767977486401</v>
      </c>
    </row>
    <row r="23" spans="1:9" ht="13.4" customHeight="1">
      <c r="A23" s="125">
        <v>3</v>
      </c>
      <c r="B23" s="122" t="str">
        <f>VLOOKUP(A23,Transporte[],2,FALSE)</f>
        <v>Carga terrestre Teorama - Comunidades</v>
      </c>
      <c r="C23" s="27" t="s">
        <v>1234</v>
      </c>
      <c r="D23" s="118">
        <f>+SUM(E8:E10)</f>
        <v>38.795844000000002</v>
      </c>
      <c r="E23" s="118"/>
      <c r="F23" s="142">
        <f>VLOOKUP(A23,Transporte[],7,FALSE)</f>
        <v>1491</v>
      </c>
      <c r="G23" s="35">
        <f>D23*F23</f>
        <v>57844.603404000001</v>
      </c>
    </row>
    <row r="24" spans="1:9" ht="13.4" customHeight="1">
      <c r="B24" s="26"/>
      <c r="C24" s="27"/>
      <c r="D24" s="28"/>
      <c r="E24" s="28"/>
      <c r="F24" s="35"/>
      <c r="G24" s="35"/>
    </row>
    <row r="25" spans="1:9" ht="13">
      <c r="D25" s="18"/>
      <c r="E25" s="18"/>
      <c r="F25" s="29" t="s">
        <v>1220</v>
      </c>
      <c r="G25" s="37">
        <f>SUM(G22:G24)</f>
        <v>66153.880201748645</v>
      </c>
    </row>
    <row r="26" spans="1:9" ht="13">
      <c r="D26" s="18"/>
      <c r="E26" s="18"/>
      <c r="G26" s="23"/>
    </row>
    <row r="27" spans="1:9" ht="13">
      <c r="B27" s="11" t="s">
        <v>1225</v>
      </c>
      <c r="D27" s="30"/>
      <c r="E27" s="30"/>
      <c r="F27" s="31"/>
      <c r="G27" s="24"/>
    </row>
    <row r="28" spans="1:9" s="18" customFormat="1" ht="13">
      <c r="A28" s="119" t="s">
        <v>184</v>
      </c>
      <c r="B28" s="12" t="s">
        <v>1</v>
      </c>
      <c r="C28" s="13" t="s">
        <v>1226</v>
      </c>
      <c r="D28" s="13" t="s">
        <v>1227</v>
      </c>
      <c r="E28" s="13"/>
      <c r="F28" s="13" t="s">
        <v>307</v>
      </c>
      <c r="G28" s="25" t="s">
        <v>752</v>
      </c>
    </row>
    <row r="29" spans="1:9" ht="14.5">
      <c r="A29" s="125">
        <v>1</v>
      </c>
      <c r="B29" s="122" t="str">
        <f>VLOOKUP(A29,ManoObra[],2,FALSE)</f>
        <v>Electricista</v>
      </c>
      <c r="C29" s="40">
        <f>VLOOKUP(A29,ManoObra[],7,FALSE)</f>
        <v>71863</v>
      </c>
      <c r="D29" s="22">
        <f>FP!$B$28</f>
        <v>1.61</v>
      </c>
      <c r="E29" s="22"/>
      <c r="F29" s="16">
        <f>+RENDIMIENTOS!$C$30</f>
        <v>6</v>
      </c>
      <c r="G29" s="36">
        <f>ROUND(C29*D29/F29,0)</f>
        <v>19283</v>
      </c>
      <c r="I29" s="81"/>
    </row>
    <row r="30" spans="1:9" ht="14.5">
      <c r="A30" s="125">
        <v>2</v>
      </c>
      <c r="B30" s="122" t="str">
        <f>VLOOKUP(A30,ManoObra[],2,FALSE)</f>
        <v>Ayudante</v>
      </c>
      <c r="C30" s="40">
        <f>VLOOKUP(A30,ManoObra[],7,FALSE)</f>
        <v>66050</v>
      </c>
      <c r="D30" s="22">
        <f>FP!$B$28</f>
        <v>1.61</v>
      </c>
      <c r="E30" s="22"/>
      <c r="F30" s="16">
        <f>+RENDIMIENTOS!$C$30</f>
        <v>6</v>
      </c>
      <c r="G30" s="36">
        <f>ROUND(C30*D30/F30,0)</f>
        <v>17723</v>
      </c>
      <c r="I30" s="81"/>
    </row>
    <row r="31" spans="1:9" ht="13">
      <c r="D31" s="18"/>
      <c r="E31" s="18"/>
      <c r="F31" s="29" t="s">
        <v>1220</v>
      </c>
      <c r="G31" s="42">
        <f>SUM(G29:G30)</f>
        <v>37006</v>
      </c>
    </row>
    <row r="32" spans="1:9" ht="13">
      <c r="D32" s="18"/>
      <c r="E32" s="18"/>
      <c r="G32" s="24"/>
    </row>
    <row r="33" spans="1:7" ht="12.75" customHeight="1">
      <c r="A33"/>
      <c r="B33"/>
      <c r="D33" s="1725" t="s">
        <v>1228</v>
      </c>
      <c r="E33" s="1730"/>
      <c r="F33" s="1726"/>
      <c r="G33" s="38">
        <f>G11+G18+G25+G31</f>
        <v>1008220.8802017487</v>
      </c>
    </row>
    <row r="34" spans="1:7" ht="13">
      <c r="A34" s="441"/>
      <c r="D34" s="18"/>
      <c r="E34" s="18"/>
      <c r="F34" s="10"/>
      <c r="G34" s="41"/>
    </row>
    <row r="35" spans="1:7" ht="13">
      <c r="A35" s="442"/>
      <c r="B35"/>
    </row>
    <row r="36" spans="1:7">
      <c r="B36" s="441"/>
    </row>
    <row r="37" spans="1:7">
      <c r="B37" s="441"/>
    </row>
    <row r="38" spans="1:7" ht="14">
      <c r="B38" s="840"/>
    </row>
    <row r="39" spans="1:7" ht="46.5">
      <c r="B39" s="1027" t="s">
        <v>1235</v>
      </c>
    </row>
  </sheetData>
  <mergeCells count="4">
    <mergeCell ref="B3:F3"/>
    <mergeCell ref="B4:D4"/>
    <mergeCell ref="D33:F33"/>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BCA0E-C142-4A5E-9625-7B3FE816FD3F}">
  <sheetPr>
    <tabColor theme="8" tint="0.59999389629810485"/>
    <pageSetUpPr fitToPage="1"/>
  </sheetPr>
  <dimension ref="A1:I42"/>
  <sheetViews>
    <sheetView view="pageBreakPreview" zoomScale="70" zoomScaleNormal="100" zoomScaleSheetLayoutView="70" workbookViewId="0">
      <selection activeCell="D43" sqref="D4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0.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KW'!A7)</f>
        <v>ITEM:  2.1.2</v>
      </c>
      <c r="C3" s="1728"/>
      <c r="D3" s="1728"/>
      <c r="E3" s="1728"/>
      <c r="F3" s="1728"/>
      <c r="G3" s="6" t="s">
        <v>1229</v>
      </c>
      <c r="H3" s="7"/>
    </row>
    <row r="4" spans="1:9" ht="72" customHeight="1">
      <c r="B4" s="1722" t="str">
        <f>+'PRES MR 5 KW'!B7</f>
        <v>Suministro, transporte e instalación de acometida solar para 4 lazos fotovoltaicos. Incluye cable bajante de los lazos fotovoltaicos Cu solar FV calibre 10 AWG hasta la caja combinadora FV y tubería LiquidTight para ingreso al envolvente, con accesorios.</v>
      </c>
      <c r="C4" s="1723"/>
      <c r="D4" s="1724"/>
      <c r="E4" s="328"/>
      <c r="G4" s="8" t="str">
        <f>+'PRES MR 5 KW'!C7</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131</v>
      </c>
      <c r="B8" s="122" t="str">
        <f>VLOOKUP(A8,Materiales[],3,FALSE)</f>
        <v>Cable Cu solar XLPE 10 AWG 1kV 120 °C</v>
      </c>
      <c r="C8" s="121" t="str">
        <f>VLOOKUP(A8,Materiales[],4,FALSE)</f>
        <v>ML</v>
      </c>
      <c r="D8" s="118">
        <f>50.4/3*4</f>
        <v>67.2</v>
      </c>
      <c r="E8" s="329">
        <f>VLOOKUP(A8,Materiales[],5,FALSE)*D8</f>
        <v>3.9110400000000003</v>
      </c>
      <c r="F8" s="123">
        <f>VLOOKUP(A8,Materiales[],6,FALSE)</f>
        <v>5775</v>
      </c>
      <c r="G8" s="123">
        <f>ROUND(D8*F8,0)</f>
        <v>388080</v>
      </c>
      <c r="I8" s="33"/>
    </row>
    <row r="9" spans="1:9" ht="14.5">
      <c r="A9" s="117">
        <v>153</v>
      </c>
      <c r="B9" s="122" t="str">
        <f>VLOOKUP(A9,Materiales[],3,FALSE)</f>
        <v>Coraza flexible Liquid Tight 1"</v>
      </c>
      <c r="C9" s="121" t="str">
        <f>VLOOKUP(A9,Materiales[],4,FALSE)</f>
        <v>ML</v>
      </c>
      <c r="D9" s="124">
        <v>3</v>
      </c>
      <c r="E9" s="329">
        <f>VLOOKUP(A9,Materiales[],5,FALSE)*D9</f>
        <v>1.5</v>
      </c>
      <c r="F9" s="123">
        <f>VLOOKUP(A9,Materiales[],6,FALSE)</f>
        <v>10695</v>
      </c>
      <c r="G9" s="123">
        <f t="shared" ref="G9:G13" si="0">ROUND(D9*F9,0)</f>
        <v>32085</v>
      </c>
    </row>
    <row r="10" spans="1:9" ht="14.5">
      <c r="A10" s="117">
        <v>155</v>
      </c>
      <c r="B10" s="122" t="str">
        <f>VLOOKUP(A10,Materiales[],3,FALSE)</f>
        <v>Conector recto coraza Liquid Tight 1"</v>
      </c>
      <c r="C10" s="121" t="str">
        <f>VLOOKUP(A10,Materiales[],4,FALSE)</f>
        <v>UN</v>
      </c>
      <c r="D10" s="124">
        <v>2</v>
      </c>
      <c r="E10" s="329">
        <f>VLOOKUP(A10,Materiales[],5,FALSE)*D10</f>
        <v>0.38</v>
      </c>
      <c r="F10" s="123">
        <f>VLOOKUP(A10,Materiales[],6,FALSE)</f>
        <v>5923</v>
      </c>
      <c r="G10" s="123">
        <f t="shared" si="0"/>
        <v>11846</v>
      </c>
    </row>
    <row r="11" spans="1:9" ht="14.5">
      <c r="A11" s="117">
        <v>388</v>
      </c>
      <c r="B11" s="122" t="str">
        <f>VLOOKUP(A11,Materiales[],3,FALSE)</f>
        <v>Fusible DC 25 A</v>
      </c>
      <c r="C11" s="121" t="str">
        <f>VLOOKUP(A11,Materiales[],4,FALSE)</f>
        <v>UN</v>
      </c>
      <c r="D11" s="124">
        <v>4</v>
      </c>
      <c r="E11" s="329">
        <f>VLOOKUP(A11,Materiales[],5,FALSE)*D11</f>
        <v>0.4</v>
      </c>
      <c r="F11" s="123">
        <f>VLOOKUP(A11,Materiales[],6,FALSE)</f>
        <v>15619</v>
      </c>
      <c r="G11" s="123">
        <f t="shared" ref="G11" si="1">ROUND(D11*F11,0)</f>
        <v>62476</v>
      </c>
    </row>
    <row r="12" spans="1:9" ht="14.5">
      <c r="A12" s="117">
        <v>411</v>
      </c>
      <c r="B12" s="122" t="str">
        <f>VLOOKUP(A12,Materiales[],3,FALSE)</f>
        <v xml:space="preserve">Portafusibles 1P 1000VDC </v>
      </c>
      <c r="C12" s="121" t="str">
        <f>VLOOKUP(A12,Materiales[],4,FALSE)</f>
        <v>UN</v>
      </c>
      <c r="D12" s="124">
        <v>4</v>
      </c>
      <c r="E12" s="329">
        <f>VLOOKUP(A12,Materiales[],5,FALSE)*D12</f>
        <v>1</v>
      </c>
      <c r="F12" s="123">
        <f>VLOOKUP(A12,Materiales[],6,FALSE)</f>
        <v>23496</v>
      </c>
      <c r="G12" s="123">
        <f t="shared" ref="G12" si="2">ROUND(D12*F12,0)</f>
        <v>93984</v>
      </c>
    </row>
    <row r="13" spans="1:9" ht="14.5">
      <c r="A13" s="117">
        <v>154</v>
      </c>
      <c r="B13" s="122" t="str">
        <f>VLOOKUP(A13,Materiales[],3,FALSE)</f>
        <v>Abrazadera metálica doble ala 1"</v>
      </c>
      <c r="C13" s="121" t="str">
        <f>VLOOKUP(A13,Materiales[],4,FALSE)</f>
        <v>UN</v>
      </c>
      <c r="D13" s="124">
        <v>5</v>
      </c>
      <c r="E13" s="329">
        <f>VLOOKUP(A13,Materiales[],5,FALSE)*D13</f>
        <v>0.5</v>
      </c>
      <c r="F13" s="123">
        <f>VLOOKUP(A13,Materiales[],6,FALSE)</f>
        <v>483</v>
      </c>
      <c r="G13" s="123">
        <f t="shared" si="0"/>
        <v>2415</v>
      </c>
    </row>
    <row r="14" spans="1:9" ht="13">
      <c r="D14" s="18"/>
      <c r="E14" s="18"/>
      <c r="F14" s="29" t="s">
        <v>1220</v>
      </c>
      <c r="G14" s="42">
        <f>SUM(G8:G13)</f>
        <v>590886</v>
      </c>
    </row>
    <row r="16" spans="1:9" ht="13">
      <c r="B16" s="20" t="s">
        <v>1221</v>
      </c>
      <c r="G16" s="39"/>
    </row>
    <row r="17" spans="1:9" ht="13">
      <c r="A17" s="119" t="s">
        <v>184</v>
      </c>
      <c r="B17" s="120" t="s">
        <v>1</v>
      </c>
      <c r="C17" s="13" t="s">
        <v>1231</v>
      </c>
      <c r="D17" s="13" t="s">
        <v>1222</v>
      </c>
      <c r="E17" s="13"/>
      <c r="F17" s="13" t="s">
        <v>307</v>
      </c>
      <c r="G17" s="13" t="s">
        <v>752</v>
      </c>
    </row>
    <row r="18" spans="1:9" ht="14.5">
      <c r="A18" s="125">
        <v>1</v>
      </c>
      <c r="B18" s="122" t="str">
        <f>VLOOKUP(A18,Equip.Herram[],2,FALSE)</f>
        <v>Herramienta menor</v>
      </c>
      <c r="C18" s="15" t="str">
        <f>VLOOKUP(A18,Equip.Herram[],3,FALSE)</f>
        <v>UN</v>
      </c>
      <c r="D18" s="36">
        <f>VLOOKUP(A18,Equip.Herram[],4,FALSE)</f>
        <v>24840</v>
      </c>
      <c r="E18" s="36"/>
      <c r="F18" s="16">
        <f>+RENDIMIENTOS!C30</f>
        <v>6</v>
      </c>
      <c r="G18" s="36">
        <f>ROUND(D18/F18,0)</f>
        <v>4140</v>
      </c>
    </row>
    <row r="19" spans="1:9">
      <c r="B19" s="14"/>
      <c r="C19" s="15"/>
      <c r="D19" s="17"/>
      <c r="E19" s="17"/>
      <c r="F19" s="22"/>
      <c r="G19" s="21"/>
    </row>
    <row r="20" spans="1:9">
      <c r="B20" s="14"/>
      <c r="C20" s="15"/>
      <c r="D20" s="17"/>
      <c r="E20" s="17"/>
      <c r="F20" s="22"/>
      <c r="G20" s="21"/>
    </row>
    <row r="21" spans="1:9" ht="13">
      <c r="D21" s="18"/>
      <c r="E21" s="18"/>
      <c r="F21" s="19" t="s">
        <v>1220</v>
      </c>
      <c r="G21" s="37">
        <f>SUM(G18:G20)</f>
        <v>4140</v>
      </c>
    </row>
    <row r="22" spans="1:9" ht="13">
      <c r="D22" s="18"/>
      <c r="E22" s="18"/>
      <c r="F22" s="18"/>
      <c r="G22" s="23"/>
    </row>
    <row r="23" spans="1:9" ht="13">
      <c r="B23" s="11" t="s">
        <v>1223</v>
      </c>
      <c r="G23" s="24"/>
    </row>
    <row r="24" spans="1:9" ht="13">
      <c r="A24" s="119" t="s">
        <v>184</v>
      </c>
      <c r="B24" s="12" t="s">
        <v>1</v>
      </c>
      <c r="C24" s="13" t="s">
        <v>185</v>
      </c>
      <c r="D24" s="13" t="s">
        <v>1230</v>
      </c>
      <c r="E24" s="13"/>
      <c r="F24" s="13" t="s">
        <v>1233</v>
      </c>
      <c r="G24" s="25" t="s">
        <v>752</v>
      </c>
      <c r="I24" s="39"/>
    </row>
    <row r="25" spans="1:9" ht="26.5" customHeight="1">
      <c r="A25" s="125">
        <v>1</v>
      </c>
      <c r="B25" s="122" t="str">
        <f>VLOOKUP(A25,Transporte[],2,FALSE)</f>
        <v>Carga terrestre Bogotá - Teorama</v>
      </c>
      <c r="C25" s="27" t="s">
        <v>1234</v>
      </c>
      <c r="D25" s="118">
        <f>+SUM(E8:E13)</f>
        <v>7.6910400000000001</v>
      </c>
      <c r="E25" s="118"/>
      <c r="F25" s="142">
        <f>VLOOKUP(A25,Transporte[],7,FALSE)</f>
        <v>214.17955999999998</v>
      </c>
      <c r="G25" s="35">
        <f>D25*F25</f>
        <v>1647.2635631423998</v>
      </c>
    </row>
    <row r="26" spans="1:9" ht="13.4" customHeight="1">
      <c r="A26" s="125">
        <v>3</v>
      </c>
      <c r="B26" s="122" t="str">
        <f>VLOOKUP(A26,Transporte[],2,FALSE)</f>
        <v>Carga terrestre Teorama - Comunidades</v>
      </c>
      <c r="C26" s="27" t="s">
        <v>1234</v>
      </c>
      <c r="D26" s="118">
        <f>+SUM(E8:E13)</f>
        <v>7.6910400000000001</v>
      </c>
      <c r="E26" s="118"/>
      <c r="F26" s="142">
        <f>VLOOKUP(A26,Transporte[],7,FALSE)</f>
        <v>1491</v>
      </c>
      <c r="G26" s="35">
        <f>D26*F26</f>
        <v>11467.34064</v>
      </c>
    </row>
    <row r="27" spans="1:9" ht="13.4" customHeight="1">
      <c r="B27" s="26"/>
      <c r="C27" s="27"/>
      <c r="D27" s="28"/>
      <c r="E27" s="28"/>
      <c r="F27" s="35"/>
      <c r="G27" s="35"/>
    </row>
    <row r="28" spans="1:9" ht="13">
      <c r="D28" s="18"/>
      <c r="E28" s="18"/>
      <c r="F28" s="29" t="s">
        <v>1220</v>
      </c>
      <c r="G28" s="37">
        <f>SUM(G25:G27)</f>
        <v>13114.6042031424</v>
      </c>
    </row>
    <row r="29" spans="1:9" ht="13">
      <c r="D29" s="18"/>
      <c r="E29" s="18"/>
      <c r="G29" s="23"/>
    </row>
    <row r="30" spans="1:9" ht="13">
      <c r="B30" s="11" t="s">
        <v>1225</v>
      </c>
      <c r="D30" s="30"/>
      <c r="E30" s="30"/>
      <c r="F30" s="31"/>
      <c r="G30" s="24"/>
    </row>
    <row r="31" spans="1:9" s="18" customFormat="1" ht="13">
      <c r="A31" s="119" t="s">
        <v>184</v>
      </c>
      <c r="B31" s="12" t="s">
        <v>1</v>
      </c>
      <c r="C31" s="13" t="s">
        <v>1226</v>
      </c>
      <c r="D31" s="13" t="s">
        <v>1227</v>
      </c>
      <c r="E31" s="13"/>
      <c r="F31" s="13" t="s">
        <v>307</v>
      </c>
      <c r="G31" s="25" t="s">
        <v>752</v>
      </c>
    </row>
    <row r="32" spans="1:9" ht="14.5">
      <c r="A32" s="125">
        <v>1</v>
      </c>
      <c r="B32" s="122" t="str">
        <f>VLOOKUP(A32,ManoObra[],2,FALSE)</f>
        <v>Electricista</v>
      </c>
      <c r="C32" s="40">
        <f>VLOOKUP(A32,ManoObra[],7,FALSE)</f>
        <v>71863</v>
      </c>
      <c r="D32" s="22">
        <f>FP!$B$28</f>
        <v>1.61</v>
      </c>
      <c r="E32" s="22"/>
      <c r="F32" s="16">
        <f>+RENDIMIENTOS!$C$31</f>
        <v>6</v>
      </c>
      <c r="G32" s="36">
        <f>ROUND(C32*D32/F32,0)</f>
        <v>19283</v>
      </c>
      <c r="I32" s="81"/>
    </row>
    <row r="33" spans="1:9" ht="14.5">
      <c r="A33" s="125">
        <v>2</v>
      </c>
      <c r="B33" s="122" t="str">
        <f>VLOOKUP(A33,ManoObra[],2,FALSE)</f>
        <v>Ayudante</v>
      </c>
      <c r="C33" s="40">
        <f>VLOOKUP(A33,ManoObra[],7,FALSE)</f>
        <v>66050</v>
      </c>
      <c r="D33" s="22">
        <f>FP!$B$28</f>
        <v>1.61</v>
      </c>
      <c r="E33" s="22"/>
      <c r="F33" s="16">
        <f>+RENDIMIENTOS!$C$31</f>
        <v>6</v>
      </c>
      <c r="G33" s="36">
        <f>ROUND(C33*D33/F33,0)</f>
        <v>17723</v>
      </c>
      <c r="I33" s="81"/>
    </row>
    <row r="34" spans="1:9" ht="13">
      <c r="D34" s="18"/>
      <c r="E34" s="18"/>
      <c r="F34" s="29" t="s">
        <v>1220</v>
      </c>
      <c r="G34" s="42">
        <f>SUM(G32:G33)</f>
        <v>37006</v>
      </c>
    </row>
    <row r="35" spans="1:9" ht="13">
      <c r="D35" s="18"/>
      <c r="E35" s="18"/>
      <c r="G35" s="24"/>
    </row>
    <row r="36" spans="1:9" ht="12.75" customHeight="1">
      <c r="A36"/>
      <c r="B36"/>
      <c r="D36" s="1725" t="s">
        <v>1228</v>
      </c>
      <c r="E36" s="1730"/>
      <c r="F36" s="1726"/>
      <c r="G36" s="38">
        <f>G14+G21+G28+G34</f>
        <v>645146.60420314246</v>
      </c>
    </row>
    <row r="37" spans="1:9" ht="13">
      <c r="A37" s="441"/>
      <c r="D37" s="18"/>
      <c r="E37" s="18"/>
      <c r="F37" s="10"/>
      <c r="G37" s="41"/>
    </row>
    <row r="38" spans="1:9" ht="13">
      <c r="A38" s="442"/>
      <c r="B38"/>
    </row>
    <row r="39" spans="1:9">
      <c r="B39" s="441"/>
    </row>
    <row r="40" spans="1:9">
      <c r="B40" s="441"/>
    </row>
    <row r="41" spans="1:9" ht="14">
      <c r="B41" s="840"/>
    </row>
    <row r="42" spans="1:9" ht="46.5">
      <c r="B42" s="1027" t="s">
        <v>1235</v>
      </c>
    </row>
  </sheetData>
  <mergeCells count="4">
    <mergeCell ref="B3:F3"/>
    <mergeCell ref="B4:D4"/>
    <mergeCell ref="D36:F36"/>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26162-B9AE-47C1-A298-993E29754E1B}">
  <sheetPr>
    <tabColor theme="8" tint="0.59999389629810485"/>
    <pageSetUpPr fitToPage="1"/>
  </sheetPr>
  <dimension ref="A1:I48"/>
  <sheetViews>
    <sheetView view="pageBreakPreview" zoomScale="85" zoomScaleNormal="100" zoomScaleSheetLayoutView="85"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1.4"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KW'!A8,", ",'PRES MR 10 KW'!A8,", ",'PRES MR 15 KW'!A8)</f>
        <v>ITEM:  2.1.3, 3.1.3, 4.1.3</v>
      </c>
      <c r="C3" s="1728"/>
      <c r="D3" s="1728"/>
      <c r="E3" s="1728"/>
      <c r="F3" s="1728"/>
      <c r="G3" s="6" t="s">
        <v>1229</v>
      </c>
      <c r="H3" s="7"/>
    </row>
    <row r="4" spans="1:9" ht="53.25" customHeight="1">
      <c r="B4" s="1722" t="str">
        <f>+'PRES MR 5 KW'!B8</f>
        <v>Suministro, transporte e instalación de caja combinadora FV. Incluye gabinete eléctrico con cumplimiento RETIE y tapa traslucida, de dimensiones 630x530x180 mm; protecciones, barrajes y DPS Tipo 1+2.</v>
      </c>
      <c r="C4" s="1723"/>
      <c r="D4" s="1724"/>
      <c r="E4" s="328"/>
      <c r="G4" s="8" t="str">
        <f>+'PRES MR 5 KW'!C8</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25">
      <c r="A8" s="125">
        <v>8</v>
      </c>
      <c r="B8" s="122" t="str">
        <f>VLOOKUP(A8,Materiales[],3,FALSE)</f>
        <v>Gabinete eléctrico con tapa traslucida, doble fondo y cumplimiento RETIE, dimensiones 630x530x180 mm</v>
      </c>
      <c r="C8" s="121" t="str">
        <f>VLOOKUP(A8,Materiales[],4,FALSE)</f>
        <v>UN</v>
      </c>
      <c r="D8" s="118">
        <v>1</v>
      </c>
      <c r="E8" s="329">
        <f>VLOOKUP(A8,Materiales[],5,FALSE)*D8</f>
        <v>13</v>
      </c>
      <c r="F8" s="123">
        <f>VLOOKUP(A8,Materiales[],6,FALSE)</f>
        <v>724444</v>
      </c>
      <c r="G8" s="123">
        <f>ROUND(D8*F8,0)</f>
        <v>724444</v>
      </c>
      <c r="I8" s="33"/>
    </row>
    <row r="9" spans="1:9" ht="25">
      <c r="A9" s="117">
        <v>158</v>
      </c>
      <c r="B9" s="122" t="str">
        <f>VLOOKUP(A9,Materiales[],3,FALSE)</f>
        <v>Barraje de cobre tropicalizado de 100 A para 16 conexiones</v>
      </c>
      <c r="C9" s="121" t="str">
        <f>VLOOKUP(A9,Materiales[],4,FALSE)</f>
        <v>UN</v>
      </c>
      <c r="D9" s="118">
        <v>4</v>
      </c>
      <c r="E9" s="329">
        <f>VLOOKUP(A9,Materiales[],5,FALSE)*D9</f>
        <v>2</v>
      </c>
      <c r="F9" s="123">
        <f>VLOOKUP(A9,Materiales[],6,FALSE)</f>
        <v>34422</v>
      </c>
      <c r="G9" s="123">
        <f t="shared" ref="G9:G18" si="0">ROUND(D9*F9,0)</f>
        <v>137688</v>
      </c>
    </row>
    <row r="10" spans="1:9" ht="14.5">
      <c r="A10" s="117">
        <v>10</v>
      </c>
      <c r="B10" s="122" t="str">
        <f>VLOOKUP(A10,Materiales[],3,FALSE)</f>
        <v>Riel DIN 35 mm x 7.5 mm</v>
      </c>
      <c r="C10" s="121" t="str">
        <f>VLOOKUP(A10,Materiales[],4,FALSE)</f>
        <v>ML</v>
      </c>
      <c r="D10" s="124">
        <v>1</v>
      </c>
      <c r="E10" s="329">
        <f>VLOOKUP(A10,Materiales[],5,FALSE)*D10</f>
        <v>0.3</v>
      </c>
      <c r="F10" s="123">
        <f>VLOOKUP(A10,Materiales[],6,FALSE)</f>
        <v>10732</v>
      </c>
      <c r="G10" s="123">
        <f t="shared" si="0"/>
        <v>10732</v>
      </c>
    </row>
    <row r="11" spans="1:9" ht="14.5">
      <c r="A11" s="117">
        <v>383</v>
      </c>
      <c r="B11" s="122" t="str">
        <f>VLOOKUP(A11,Materiales[],3,FALSE)</f>
        <v xml:space="preserve">Interruptor termomagnético 30A 2P 500 VDC 6 Ka </v>
      </c>
      <c r="C11" s="121" t="str">
        <f>VLOOKUP(A11,Materiales[],4,FALSE)</f>
        <v>UN</v>
      </c>
      <c r="D11" s="124">
        <v>8</v>
      </c>
      <c r="E11" s="329">
        <f>VLOOKUP(A11,Materiales[],5,FALSE)*D11</f>
        <v>1.92</v>
      </c>
      <c r="F11" s="123">
        <f>VLOOKUP(A11,Materiales[],6,FALSE)</f>
        <v>115000</v>
      </c>
      <c r="G11" s="123">
        <f t="shared" si="0"/>
        <v>920000</v>
      </c>
    </row>
    <row r="12" spans="1:9" ht="14.5">
      <c r="A12" s="117">
        <v>11</v>
      </c>
      <c r="B12" s="122" t="str">
        <f>VLOOKUP(A12,Materiales[],3,FALSE)</f>
        <v xml:space="preserve">Interruptor termomagnético 50A 2P 500 VDC 6 Ka </v>
      </c>
      <c r="C12" s="121" t="str">
        <f>VLOOKUP(A12,Materiales[],4,FALSE)</f>
        <v>UN</v>
      </c>
      <c r="D12" s="124">
        <v>1</v>
      </c>
      <c r="E12" s="329">
        <f>VLOOKUP(A12,Materiales[],5,FALSE)*D12</f>
        <v>0.24</v>
      </c>
      <c r="F12" s="123">
        <f>VLOOKUP(A12,Materiales[],6,FALSE)</f>
        <v>98625</v>
      </c>
      <c r="G12" s="123">
        <f t="shared" si="0"/>
        <v>98625</v>
      </c>
    </row>
    <row r="13" spans="1:9" ht="14.5">
      <c r="A13" s="117">
        <v>384</v>
      </c>
      <c r="B13" s="122" t="str">
        <f>VLOOKUP(A13,Materiales[],3,FALSE)</f>
        <v xml:space="preserve">Interruptor termomagnético 90A 2P 500 VDC 6 Ka </v>
      </c>
      <c r="C13" s="121" t="str">
        <f>VLOOKUP(A13,Materiales[],4,FALSE)</f>
        <v>UN</v>
      </c>
      <c r="D13" s="124">
        <v>1</v>
      </c>
      <c r="E13" s="329">
        <f>VLOOKUP(A13,Materiales[],5,FALSE)*D13</f>
        <v>0.3</v>
      </c>
      <c r="F13" s="123">
        <f>VLOOKUP(A13,Materiales[],6,FALSE)</f>
        <v>207000</v>
      </c>
      <c r="G13" s="123">
        <f t="shared" si="0"/>
        <v>207000</v>
      </c>
    </row>
    <row r="14" spans="1:9" ht="14.5">
      <c r="A14" s="117">
        <v>236</v>
      </c>
      <c r="B14" s="122" t="str">
        <f>VLOOKUP(A14,Materiales[],3,FALSE)</f>
        <v>DPS Tipo 1+2 500 Uc Up 2,5 kV 18-40 kA</v>
      </c>
      <c r="C14" s="121" t="str">
        <f>VLOOKUP(A14,Materiales[],4,FALSE)</f>
        <v>UN</v>
      </c>
      <c r="D14" s="124">
        <v>1</v>
      </c>
      <c r="E14" s="329">
        <f>VLOOKUP(A14,Materiales[],5,FALSE)*D14</f>
        <v>0.24</v>
      </c>
      <c r="F14" s="123">
        <f>VLOOKUP(A14,Materiales[],6,FALSE)</f>
        <v>383180</v>
      </c>
      <c r="G14" s="123">
        <f t="shared" si="0"/>
        <v>383180</v>
      </c>
    </row>
    <row r="15" spans="1:9" ht="14.5">
      <c r="A15" s="117">
        <v>24</v>
      </c>
      <c r="B15" s="122" t="str">
        <f>VLOOKUP(A15,Materiales[],3,FALSE)</f>
        <v>Borna para ponchar varios calibres y terminales</v>
      </c>
      <c r="C15" s="121" t="str">
        <f>VLOOKUP(A15,Materiales[],4,FALSE)</f>
        <v>UN</v>
      </c>
      <c r="D15" s="124">
        <v>22</v>
      </c>
      <c r="E15" s="329">
        <f>VLOOKUP(A15,Materiales[],5,FALSE)*D15</f>
        <v>0.17599999999999999</v>
      </c>
      <c r="F15" s="123">
        <f>VLOOKUP(A15,Materiales[],6,FALSE)</f>
        <v>2111</v>
      </c>
      <c r="G15" s="123">
        <f t="shared" si="0"/>
        <v>46442</v>
      </c>
    </row>
    <row r="16" spans="1:9" ht="25">
      <c r="A16" s="117">
        <v>25</v>
      </c>
      <c r="B16" s="122" t="str">
        <f>VLOOKUP(A16,Materiales[],3,FALSE)</f>
        <v>Tubo termoencogible. Distintos calibres, distintos colores</v>
      </c>
      <c r="C16" s="121" t="str">
        <f>VLOOKUP(A16,Materiales[],4,FALSE)</f>
        <v>UN</v>
      </c>
      <c r="D16" s="124">
        <v>22</v>
      </c>
      <c r="E16" s="329">
        <f>VLOOKUP(A16,Materiales[],5,FALSE)*D16</f>
        <v>0.17599999999999999</v>
      </c>
      <c r="F16" s="123">
        <f>VLOOKUP(A16,Materiales[],6,FALSE)</f>
        <v>3680</v>
      </c>
      <c r="G16" s="123">
        <f t="shared" si="0"/>
        <v>80960</v>
      </c>
    </row>
    <row r="17" spans="1:9" ht="14.5">
      <c r="A17" s="117">
        <v>237</v>
      </c>
      <c r="B17" s="122" t="str">
        <f>VLOOKUP(A17,Materiales[],3,FALSE)</f>
        <v>Cable Cu THHN 4 AWG</v>
      </c>
      <c r="C17" s="121" t="str">
        <f>VLOOKUP(A17,Materiales[],4,FALSE)</f>
        <v>ML</v>
      </c>
      <c r="D17" s="126">
        <f>0.67*3</f>
        <v>2.0100000000000002</v>
      </c>
      <c r="E17" s="329">
        <f>VLOOKUP(A17,Materiales[],5,FALSE)*D17</f>
        <v>0.47235000000000005</v>
      </c>
      <c r="F17" s="123">
        <f>VLOOKUP(A17,Materiales[],6,FALSE)</f>
        <v>18272</v>
      </c>
      <c r="G17" s="123">
        <f t="shared" ref="G17" si="1">ROUND(D17*F17,0)</f>
        <v>36727</v>
      </c>
    </row>
    <row r="18" spans="1:9" ht="14.5">
      <c r="A18" s="117">
        <v>238</v>
      </c>
      <c r="B18" s="122" t="str">
        <f>VLOOKUP(A18,Materiales[],3,FALSE)</f>
        <v>Cable Cu THHN 2 AWG</v>
      </c>
      <c r="C18" s="121" t="str">
        <f>VLOOKUP(A18,Materiales[],4,FALSE)</f>
        <v>ML</v>
      </c>
      <c r="D18" s="126">
        <f>2.1+0.21</f>
        <v>2.31</v>
      </c>
      <c r="E18" s="329">
        <f>VLOOKUP(A18,Materiales[],5,FALSE)*D18</f>
        <v>0.8085</v>
      </c>
      <c r="F18" s="123">
        <f>VLOOKUP(A18,Materiales[],6,FALSE)</f>
        <v>27478</v>
      </c>
      <c r="G18" s="123">
        <f t="shared" si="0"/>
        <v>63474</v>
      </c>
    </row>
    <row r="19" spans="1:9" ht="14.5">
      <c r="A19" s="117">
        <v>246</v>
      </c>
      <c r="B19" s="122" t="str">
        <f>VLOOKUP(A19,Materiales[],3,FALSE)</f>
        <v>Cable Cu THHN 8 AWG</v>
      </c>
      <c r="C19" s="121" t="str">
        <f>VLOOKUP(A19,Materiales[],4,FALSE)</f>
        <v>ML</v>
      </c>
      <c r="D19" s="126">
        <f>(2.1+0.21)/2</f>
        <v>1.155</v>
      </c>
      <c r="E19" s="329">
        <f>VLOOKUP(A19,Materiales[],5,FALSE)*D19</f>
        <v>0.11122649999999999</v>
      </c>
      <c r="F19" s="123">
        <f>VLOOKUP(A19,Materiales[],6,FALSE)</f>
        <v>7081</v>
      </c>
      <c r="G19" s="123">
        <f t="shared" ref="G19" si="2">ROUND(D19*F19,0)</f>
        <v>8179</v>
      </c>
    </row>
    <row r="20" spans="1:9" ht="14.5">
      <c r="A20" s="117">
        <v>85</v>
      </c>
      <c r="B20" s="122" t="str">
        <f>VLOOKUP(A20,Materiales[],3,FALSE)</f>
        <v>Cable Cu Desnudo 8 AWG</v>
      </c>
      <c r="C20" s="121" t="str">
        <f>VLOOKUP(A20,Materiales[],4,FALSE)</f>
        <v>ML</v>
      </c>
      <c r="D20" s="126">
        <v>1</v>
      </c>
      <c r="E20" s="329">
        <f>VLOOKUP(A20,Materiales[],5,FALSE)*D20</f>
        <v>7.4999999999999997E-2</v>
      </c>
      <c r="F20" s="123">
        <f>VLOOKUP(A20,Materiales[],6,FALSE)</f>
        <v>6325</v>
      </c>
      <c r="G20" s="123">
        <f t="shared" ref="G20" si="3">ROUND(D20*F20,0)</f>
        <v>6325</v>
      </c>
    </row>
    <row r="21" spans="1:9" ht="13">
      <c r="D21" s="18"/>
      <c r="E21" s="18"/>
      <c r="F21" s="29" t="s">
        <v>1220</v>
      </c>
      <c r="G21" s="42">
        <f>SUM(G8:G20)</f>
        <v>2723776</v>
      </c>
    </row>
    <row r="23" spans="1:9" ht="13">
      <c r="B23" s="20" t="s">
        <v>1221</v>
      </c>
      <c r="G23" s="39"/>
    </row>
    <row r="24" spans="1:9" ht="13">
      <c r="A24" s="119" t="s">
        <v>184</v>
      </c>
      <c r="B24" s="120" t="s">
        <v>1</v>
      </c>
      <c r="C24" s="13" t="s">
        <v>1231</v>
      </c>
      <c r="D24" s="13" t="s">
        <v>1222</v>
      </c>
      <c r="E24" s="13"/>
      <c r="F24" s="13" t="s">
        <v>307</v>
      </c>
      <c r="G24" s="13" t="s">
        <v>752</v>
      </c>
    </row>
    <row r="25" spans="1:9" ht="14.5">
      <c r="A25" s="125">
        <v>1</v>
      </c>
      <c r="B25" s="122" t="str">
        <f>VLOOKUP(A25,Equip.Herram[],2,FALSE)</f>
        <v>Herramienta menor</v>
      </c>
      <c r="C25" s="15" t="str">
        <f>VLOOKUP(A25,Equip.Herram[],3,FALSE)</f>
        <v>UN</v>
      </c>
      <c r="D25" s="36">
        <f>VLOOKUP(A25,Equip.Herram[],4,FALSE)</f>
        <v>24840</v>
      </c>
      <c r="E25" s="36"/>
      <c r="F25" s="16">
        <f>+RENDIMIENTOS!C32</f>
        <v>2</v>
      </c>
      <c r="G25" s="36">
        <f>ROUND(D25/F25,0)</f>
        <v>12420</v>
      </c>
    </row>
    <row r="26" spans="1:9">
      <c r="B26" s="14"/>
      <c r="C26" s="15"/>
      <c r="D26" s="17"/>
      <c r="E26" s="17"/>
      <c r="F26" s="22"/>
      <c r="G26" s="21"/>
    </row>
    <row r="27" spans="1:9">
      <c r="B27" s="14"/>
      <c r="C27" s="15"/>
      <c r="D27" s="17"/>
      <c r="E27" s="17"/>
      <c r="F27" s="22"/>
      <c r="G27" s="21"/>
    </row>
    <row r="28" spans="1:9" ht="13">
      <c r="D28" s="18"/>
      <c r="E28" s="18"/>
      <c r="F28" s="19" t="s">
        <v>1220</v>
      </c>
      <c r="G28" s="37">
        <f>SUM(G25:G27)</f>
        <v>12420</v>
      </c>
    </row>
    <row r="29" spans="1:9" ht="13">
      <c r="D29" s="18"/>
      <c r="E29" s="18"/>
      <c r="F29" s="18"/>
      <c r="G29" s="23"/>
    </row>
    <row r="30" spans="1:9" ht="13">
      <c r="B30" s="11" t="s">
        <v>1223</v>
      </c>
      <c r="G30" s="24"/>
    </row>
    <row r="31" spans="1:9" ht="13">
      <c r="A31" s="119" t="s">
        <v>184</v>
      </c>
      <c r="B31" s="12" t="s">
        <v>1</v>
      </c>
      <c r="C31" s="13" t="s">
        <v>185</v>
      </c>
      <c r="D31" s="13" t="s">
        <v>1230</v>
      </c>
      <c r="E31" s="13"/>
      <c r="F31" s="13" t="s">
        <v>1233</v>
      </c>
      <c r="G31" s="25" t="s">
        <v>752</v>
      </c>
      <c r="I31" s="39"/>
    </row>
    <row r="32" spans="1:9" ht="26.5" customHeight="1">
      <c r="A32" s="125">
        <v>1</v>
      </c>
      <c r="B32" s="122" t="str">
        <f>VLOOKUP(A32,Transporte[],2,FALSE)</f>
        <v>Carga terrestre Bogotá - Teorama</v>
      </c>
      <c r="C32" s="27" t="s">
        <v>1234</v>
      </c>
      <c r="D32" s="118">
        <f>+SUM(E8:E18)</f>
        <v>19.632849999999991</v>
      </c>
      <c r="E32" s="118"/>
      <c r="F32" s="142">
        <f>VLOOKUP(A32,Transporte[],7,FALSE)</f>
        <v>214.17955999999998</v>
      </c>
      <c r="G32" s="35">
        <f>D32*F32</f>
        <v>4204.9551745459976</v>
      </c>
    </row>
    <row r="33" spans="1:9" ht="13.4" customHeight="1">
      <c r="A33" s="125">
        <v>3</v>
      </c>
      <c r="B33" s="122" t="str">
        <f>VLOOKUP(A33,Transporte[],2,FALSE)</f>
        <v>Carga terrestre Teorama - Comunidades</v>
      </c>
      <c r="C33" s="27" t="s">
        <v>1234</v>
      </c>
      <c r="D33" s="118">
        <f>+SUM(E8:E18)</f>
        <v>19.632849999999991</v>
      </c>
      <c r="E33" s="118"/>
      <c r="F33" s="142">
        <f>VLOOKUP(A33,Transporte[],7,FALSE)</f>
        <v>1491</v>
      </c>
      <c r="G33" s="35">
        <f>D33*F33</f>
        <v>29272.579349999985</v>
      </c>
    </row>
    <row r="34" spans="1:9" ht="13.4" customHeight="1">
      <c r="B34" s="26"/>
      <c r="C34" s="27"/>
      <c r="D34" s="28"/>
      <c r="E34" s="28"/>
      <c r="F34" s="35"/>
      <c r="G34" s="35"/>
    </row>
    <row r="35" spans="1:9" ht="13">
      <c r="D35" s="18"/>
      <c r="E35" s="18"/>
      <c r="F35" s="29" t="s">
        <v>1220</v>
      </c>
      <c r="G35" s="37">
        <f>SUM(G32:G34)</f>
        <v>33477.534524545983</v>
      </c>
    </row>
    <row r="36" spans="1:9" ht="13">
      <c r="D36" s="18"/>
      <c r="E36" s="18"/>
      <c r="G36" s="23"/>
    </row>
    <row r="37" spans="1:9" ht="13">
      <c r="B37" s="11" t="s">
        <v>1225</v>
      </c>
      <c r="D37" s="30"/>
      <c r="E37" s="30"/>
      <c r="F37" s="31"/>
      <c r="G37" s="24"/>
    </row>
    <row r="38" spans="1:9" s="18" customFormat="1" ht="13">
      <c r="A38" s="119" t="s">
        <v>184</v>
      </c>
      <c r="B38" s="12" t="s">
        <v>1</v>
      </c>
      <c r="C38" s="13" t="s">
        <v>1226</v>
      </c>
      <c r="D38" s="13" t="s">
        <v>1227</v>
      </c>
      <c r="E38" s="13"/>
      <c r="F38" s="13" t="s">
        <v>307</v>
      </c>
      <c r="G38" s="25" t="s">
        <v>752</v>
      </c>
    </row>
    <row r="39" spans="1:9" ht="14.5">
      <c r="A39" s="125">
        <v>1</v>
      </c>
      <c r="B39" s="122" t="str">
        <f>VLOOKUP(A39,ManoObra[],2,FALSE)</f>
        <v>Electricista</v>
      </c>
      <c r="C39" s="40">
        <f>VLOOKUP(A39,ManoObra[],7,FALSE)</f>
        <v>71863</v>
      </c>
      <c r="D39" s="22">
        <f>FP!$B$28</f>
        <v>1.61</v>
      </c>
      <c r="E39" s="22"/>
      <c r="F39" s="16">
        <f>RENDIMIENTOS!$C$32</f>
        <v>2</v>
      </c>
      <c r="G39" s="36">
        <f>ROUND(C39*D39/F39,0)</f>
        <v>57850</v>
      </c>
      <c r="I39" s="81"/>
    </row>
    <row r="40" spans="1:9" ht="14.5">
      <c r="A40" s="125">
        <v>2</v>
      </c>
      <c r="B40" s="122" t="str">
        <f>VLOOKUP(A40,ManoObra[],2,FALSE)</f>
        <v>Ayudante</v>
      </c>
      <c r="C40" s="40">
        <f>VLOOKUP(A40,ManoObra[],7,FALSE)</f>
        <v>66050</v>
      </c>
      <c r="D40" s="22">
        <f>FP!$B$28</f>
        <v>1.61</v>
      </c>
      <c r="E40" s="22"/>
      <c r="F40" s="16">
        <f>RENDIMIENTOS!$C$32</f>
        <v>2</v>
      </c>
      <c r="G40" s="36">
        <f>ROUND(C40*D40/F40,0)</f>
        <v>53170</v>
      </c>
      <c r="I40" s="81"/>
    </row>
    <row r="41" spans="1:9" ht="13">
      <c r="D41" s="18"/>
      <c r="E41" s="18"/>
      <c r="F41" s="29" t="s">
        <v>1220</v>
      </c>
      <c r="G41" s="42">
        <f>SUM(G39:G40)</f>
        <v>111020</v>
      </c>
    </row>
    <row r="42" spans="1:9" ht="13">
      <c r="D42" s="18"/>
      <c r="E42" s="18"/>
      <c r="G42" s="24"/>
    </row>
    <row r="43" spans="1:9" ht="12.75" customHeight="1">
      <c r="A43"/>
      <c r="D43" s="1725" t="s">
        <v>1228</v>
      </c>
      <c r="E43" s="1730"/>
      <c r="F43" s="1726"/>
      <c r="G43" s="38">
        <f>G21+G28+G35+G41</f>
        <v>2880693.534524546</v>
      </c>
    </row>
    <row r="44" spans="1:9" ht="13">
      <c r="A44" s="441"/>
      <c r="B44"/>
      <c r="D44" s="18"/>
      <c r="E44" s="18"/>
      <c r="F44" s="10"/>
      <c r="G44" s="41"/>
    </row>
    <row r="45" spans="1:9" ht="13">
      <c r="A45" s="442"/>
      <c r="B45" s="441"/>
    </row>
    <row r="46" spans="1:9">
      <c r="B46" s="441"/>
    </row>
    <row r="47" spans="1:9" ht="14">
      <c r="B47" s="840"/>
    </row>
    <row r="48" spans="1:9" ht="46.5">
      <c r="B48" s="1027" t="s">
        <v>1235</v>
      </c>
    </row>
  </sheetData>
  <mergeCells count="4">
    <mergeCell ref="B3:F3"/>
    <mergeCell ref="B4:D4"/>
    <mergeCell ref="D43:F43"/>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1787F-AD83-44FB-B2A5-5A139FA6627A}">
  <sheetPr>
    <tabColor theme="9" tint="0.59999389629810485"/>
    <pageSetUpPr fitToPage="1"/>
  </sheetPr>
  <dimension ref="A1:I43"/>
  <sheetViews>
    <sheetView view="pageBreakPreview" zoomScale="80" zoomScaleNormal="100" zoomScaleSheetLayoutView="80"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3"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KW'!A9,", ",'PRES MR 10 KW'!A9,", ",'PRES MR 15 KW'!A9)</f>
        <v>ITEM:  2.1.4, 3.1.4, 4.1.4</v>
      </c>
      <c r="C3" s="1728"/>
      <c r="D3" s="1728"/>
      <c r="E3" s="1728"/>
      <c r="F3" s="1728"/>
      <c r="G3" s="6" t="s">
        <v>1229</v>
      </c>
      <c r="H3" s="7"/>
    </row>
    <row r="4" spans="1:9" ht="78.75" customHeight="1">
      <c r="B4" s="1722" t="str">
        <f>+'PRES MR 5 KW'!B9</f>
        <v>Suministro, transporte e instalación de controlador MPPT 250/70A, tensiones de trabajo a 48V, con bluetooth y VE.CAN incorporado para configuración y monitorización de historico, eficiencia de conversión 99%, función de trabajo en paralelo. Incluye cableado de entrada en calibre 10 AWG, cableado de salida en 2 AWG y cableado de comnunicaciones VE.CAN</v>
      </c>
      <c r="C4" s="1723"/>
      <c r="D4" s="1724"/>
      <c r="E4" s="328"/>
      <c r="G4" s="8" t="str">
        <f>+'PRES MR 5 KW'!C9</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50">
      <c r="A8" s="125">
        <v>15</v>
      </c>
      <c r="B8" s="122" t="str">
        <f>VLOOKUP(A8,Materiales[],3,FALSE)</f>
        <v>Controlador MPPT 250/70A, tensiones de trabajo a 24V-48V, con conexión bluetoot y VE.CAN para configuración y monitorización de historico, eficiencia de conversión 99%, función de trabajo en paralelo</v>
      </c>
      <c r="C8" s="121" t="str">
        <f>VLOOKUP(A8,Materiales[],4,FALSE)</f>
        <v>UN</v>
      </c>
      <c r="D8" s="118">
        <v>1</v>
      </c>
      <c r="E8" s="329">
        <f>VLOOKUP(A8,Materiales[],5,FALSE)*D8</f>
        <v>3</v>
      </c>
      <c r="F8" s="123">
        <f>VLOOKUP(A8,Materiales[],6,FALSE)</f>
        <v>3920455</v>
      </c>
      <c r="G8" s="123">
        <f>ROUND(D8*F8,0)</f>
        <v>3920455</v>
      </c>
      <c r="I8" s="33"/>
    </row>
    <row r="9" spans="1:9" ht="14.5">
      <c r="A9" s="125">
        <v>24</v>
      </c>
      <c r="B9" s="122" t="str">
        <f>VLOOKUP(A9,Materiales[],3,FALSE)</f>
        <v>Borna para ponchar varios calibres y terminales</v>
      </c>
      <c r="C9" s="121" t="str">
        <f>VLOOKUP(A9,Materiales[],4,FALSE)</f>
        <v>UN</v>
      </c>
      <c r="D9" s="118">
        <v>2</v>
      </c>
      <c r="E9" s="329">
        <f>VLOOKUP(A9,Materiales[],5,FALSE)*D9</f>
        <v>1.6E-2</v>
      </c>
      <c r="F9" s="123">
        <f>VLOOKUP(A9,Materiales[],6,FALSE)</f>
        <v>2111</v>
      </c>
      <c r="G9" s="123">
        <f t="shared" ref="G9:G15" si="0">ROUND(D9*F9,0)</f>
        <v>4222</v>
      </c>
      <c r="I9" s="33"/>
    </row>
    <row r="10" spans="1:9" ht="25">
      <c r="A10" s="125">
        <v>25</v>
      </c>
      <c r="B10" s="122" t="str">
        <f>VLOOKUP(A10,Materiales[],3,FALSE)</f>
        <v>Tubo termoencogible. Distintos calibres, distintos colores</v>
      </c>
      <c r="C10" s="121" t="str">
        <f>VLOOKUP(A10,Materiales[],4,FALSE)</f>
        <v>UN</v>
      </c>
      <c r="D10" s="118">
        <v>2</v>
      </c>
      <c r="E10" s="329">
        <f>VLOOKUP(A10,Materiales[],5,FALSE)*D10</f>
        <v>1.6E-2</v>
      </c>
      <c r="F10" s="123">
        <f>VLOOKUP(A10,Materiales[],6,FALSE)</f>
        <v>3680</v>
      </c>
      <c r="G10" s="123">
        <f t="shared" si="0"/>
        <v>7360</v>
      </c>
      <c r="I10" s="33"/>
    </row>
    <row r="11" spans="1:9" ht="14.5">
      <c r="A11" s="125">
        <v>62</v>
      </c>
      <c r="B11" s="122" t="str">
        <f>VLOOKUP(A11,Materiales[],3,FALSE)</f>
        <v>Cable VE.Direct / VE.Can 1.8m</v>
      </c>
      <c r="C11" s="121" t="str">
        <f>VLOOKUP(A11,Materiales[],4,FALSE)</f>
        <v>UN</v>
      </c>
      <c r="D11" s="118">
        <v>1</v>
      </c>
      <c r="E11" s="329">
        <f>VLOOKUP(A11,Materiales[],5,FALSE)*D11</f>
        <v>3.5000000000000003E-2</v>
      </c>
      <c r="F11" s="123">
        <f>VLOOKUP(A11,Materiales[],6,FALSE)</f>
        <v>104939</v>
      </c>
      <c r="G11" s="123">
        <f t="shared" si="0"/>
        <v>104939</v>
      </c>
      <c r="I11" s="33"/>
    </row>
    <row r="12" spans="1:9" ht="14.5">
      <c r="A12" s="117">
        <v>132</v>
      </c>
      <c r="B12" s="122" t="str">
        <f>VLOOKUP(A12,Materiales[],3,FALSE)</f>
        <v>Cable Cu THHN 10 AWG</v>
      </c>
      <c r="C12" s="121" t="str">
        <f>VLOOKUP(A12,Materiales[],4,FALSE)</f>
        <v>ML</v>
      </c>
      <c r="D12" s="333">
        <f>1.5*4*1.05</f>
        <v>6.3000000000000007</v>
      </c>
      <c r="E12" s="329">
        <f>VLOOKUP(A12,Materiales[],5,FALSE)*D12</f>
        <v>0.37170000000000009</v>
      </c>
      <c r="F12" s="123">
        <f>VLOOKUP(A12,Materiales[],6,FALSE)</f>
        <v>4633</v>
      </c>
      <c r="G12" s="123">
        <f t="shared" si="0"/>
        <v>29188</v>
      </c>
    </row>
    <row r="13" spans="1:9" ht="14.5">
      <c r="A13" s="117">
        <v>386</v>
      </c>
      <c r="B13" s="122" t="str">
        <f>VLOOKUP(A13,Materiales[],3,FALSE)</f>
        <v>Cable Cu THHN 12 AWG verde</v>
      </c>
      <c r="C13" s="121" t="str">
        <f>VLOOKUP(A13,Materiales[],4,FALSE)</f>
        <v>ML</v>
      </c>
      <c r="D13" s="333">
        <f>1.5*2*1.05</f>
        <v>3.1500000000000004</v>
      </c>
      <c r="E13" s="329">
        <f>VLOOKUP(A13,Materiales[],5,FALSE)*D13</f>
        <v>0.10710000000000001</v>
      </c>
      <c r="F13" s="123">
        <f>VLOOKUP(A13,Materiales[],6,FALSE)</f>
        <v>3260</v>
      </c>
      <c r="G13" s="123">
        <f t="shared" ref="G13" si="1">ROUND(D13*F13,0)</f>
        <v>10269</v>
      </c>
    </row>
    <row r="14" spans="1:9" ht="14.5">
      <c r="A14" s="117">
        <v>238</v>
      </c>
      <c r="B14" s="122" t="str">
        <f>VLOOKUP(A14,Materiales[],3,FALSE)</f>
        <v>Cable Cu THHN 2 AWG</v>
      </c>
      <c r="C14" s="121" t="str">
        <f>VLOOKUP(A14,Materiales[],4,FALSE)</f>
        <v>ML</v>
      </c>
      <c r="D14" s="331">
        <f>1.5*4*1.05</f>
        <v>6.3000000000000007</v>
      </c>
      <c r="E14" s="329">
        <f>VLOOKUP(A14,Materiales[],5,FALSE)*D14</f>
        <v>2.2050000000000001</v>
      </c>
      <c r="F14" s="123">
        <f>VLOOKUP(A14,Materiales[],6,FALSE)</f>
        <v>27478</v>
      </c>
      <c r="G14" s="123">
        <f t="shared" ref="G14" si="2">ROUND(D14*F14,0)</f>
        <v>173111</v>
      </c>
    </row>
    <row r="15" spans="1:9" ht="14.5">
      <c r="A15" s="117">
        <v>385</v>
      </c>
      <c r="B15" s="122" t="str">
        <f>VLOOKUP(A15,Materiales[],3,FALSE)</f>
        <v>Cable Cu THHN 10 AWG verde</v>
      </c>
      <c r="C15" s="121" t="str">
        <f>VLOOKUP(A15,Materiales[],4,FALSE)</f>
        <v>ML</v>
      </c>
      <c r="D15" s="331">
        <f>1.5*2*1.05</f>
        <v>3.1500000000000004</v>
      </c>
      <c r="E15" s="329">
        <f>VLOOKUP(A15,Materiales[],5,FALSE)*D15</f>
        <v>0.18585000000000004</v>
      </c>
      <c r="F15" s="123">
        <f>VLOOKUP(A15,Materiales[],6,FALSE)</f>
        <v>4633</v>
      </c>
      <c r="G15" s="123">
        <f t="shared" si="0"/>
        <v>14594</v>
      </c>
    </row>
    <row r="16" spans="1:9" ht="13">
      <c r="D16" s="18"/>
      <c r="E16" s="18"/>
      <c r="F16" s="29" t="s">
        <v>1220</v>
      </c>
      <c r="G16" s="42">
        <f>SUM(G8:G15)</f>
        <v>4264138</v>
      </c>
    </row>
    <row r="18" spans="1:9" ht="13">
      <c r="B18" s="20" t="s">
        <v>1221</v>
      </c>
      <c r="G18" s="39"/>
    </row>
    <row r="19" spans="1:9" ht="13">
      <c r="A19" s="119" t="s">
        <v>184</v>
      </c>
      <c r="B19" s="120" t="s">
        <v>1</v>
      </c>
      <c r="C19" s="13" t="s">
        <v>1231</v>
      </c>
      <c r="D19" s="13" t="s">
        <v>1222</v>
      </c>
      <c r="E19" s="13"/>
      <c r="F19" s="13" t="s">
        <v>307</v>
      </c>
      <c r="G19" s="13" t="s">
        <v>752</v>
      </c>
    </row>
    <row r="20" spans="1:9" ht="14.5">
      <c r="A20" s="125">
        <v>1</v>
      </c>
      <c r="B20" s="122" t="str">
        <f>VLOOKUP(A20,Equip.Herram[],2,FALSE)</f>
        <v>Herramienta menor</v>
      </c>
      <c r="C20" s="15" t="str">
        <f>VLOOKUP(A20,Equip.Herram[],3,FALSE)</f>
        <v>UN</v>
      </c>
      <c r="D20" s="36">
        <f>VLOOKUP(A20,Equip.Herram[],4,FALSE)</f>
        <v>24840</v>
      </c>
      <c r="E20" s="36"/>
      <c r="F20" s="16">
        <f>+RENDIMIENTOS!C33</f>
        <v>5</v>
      </c>
      <c r="G20" s="36">
        <f>ROUND(D20/F20,0)</f>
        <v>4968</v>
      </c>
    </row>
    <row r="21" spans="1:9">
      <c r="B21" s="14"/>
      <c r="C21" s="15"/>
      <c r="D21" s="17"/>
      <c r="E21" s="17"/>
      <c r="F21" s="22"/>
      <c r="G21" s="21"/>
    </row>
    <row r="22" spans="1:9">
      <c r="B22" s="14"/>
      <c r="C22" s="15"/>
      <c r="D22" s="17"/>
      <c r="E22" s="17"/>
      <c r="F22" s="22"/>
      <c r="G22" s="21"/>
    </row>
    <row r="23" spans="1:9" ht="13">
      <c r="D23" s="18"/>
      <c r="E23" s="18"/>
      <c r="F23" s="19" t="s">
        <v>1220</v>
      </c>
      <c r="G23" s="37">
        <f>SUM(G20:G22)</f>
        <v>4968</v>
      </c>
    </row>
    <row r="24" spans="1:9" ht="13">
      <c r="D24" s="18"/>
      <c r="E24" s="18"/>
      <c r="F24" s="18"/>
      <c r="G24" s="23"/>
    </row>
    <row r="25" spans="1:9" ht="13">
      <c r="B25" s="11" t="s">
        <v>1223</v>
      </c>
      <c r="G25" s="24"/>
    </row>
    <row r="26" spans="1:9" ht="13">
      <c r="A26" s="119" t="s">
        <v>184</v>
      </c>
      <c r="B26" s="12" t="s">
        <v>1</v>
      </c>
      <c r="C26" s="13" t="s">
        <v>185</v>
      </c>
      <c r="D26" s="13" t="s">
        <v>1230</v>
      </c>
      <c r="E26" s="13"/>
      <c r="F26" s="13" t="s">
        <v>1233</v>
      </c>
      <c r="G26" s="25" t="s">
        <v>752</v>
      </c>
      <c r="I26" s="39"/>
    </row>
    <row r="27" spans="1:9" ht="26.5" customHeight="1">
      <c r="A27" s="125">
        <v>1</v>
      </c>
      <c r="B27" s="122" t="str">
        <f>VLOOKUP(A27,Transporte[],2,FALSE)</f>
        <v>Carga terrestre Bogotá - Teorama</v>
      </c>
      <c r="C27" s="27" t="s">
        <v>1234</v>
      </c>
      <c r="D27" s="118">
        <f>+SUM(E8:E15)</f>
        <v>5.9366500000000002</v>
      </c>
      <c r="E27" s="118"/>
      <c r="F27" s="142">
        <f>VLOOKUP(A27,Transporte[],7,FALSE)</f>
        <v>214.17955999999998</v>
      </c>
      <c r="G27" s="35">
        <f>D27*F27</f>
        <v>1271.5090848739999</v>
      </c>
    </row>
    <row r="28" spans="1:9" ht="13.4" customHeight="1">
      <c r="A28" s="125">
        <v>3</v>
      </c>
      <c r="B28" s="122" t="str">
        <f>VLOOKUP(A28,Transporte[],2,FALSE)</f>
        <v>Carga terrestre Teorama - Comunidades</v>
      </c>
      <c r="C28" s="27" t="s">
        <v>1234</v>
      </c>
      <c r="D28" s="118">
        <f>+SUM(E8:E15)</f>
        <v>5.9366500000000002</v>
      </c>
      <c r="E28" s="118"/>
      <c r="F28" s="142">
        <f>VLOOKUP(A28,Transporte[],7,FALSE)</f>
        <v>1491</v>
      </c>
      <c r="G28" s="35">
        <f>D28*F28</f>
        <v>8851.5451499999999</v>
      </c>
    </row>
    <row r="29" spans="1:9" ht="13.4" customHeight="1">
      <c r="B29" s="26"/>
      <c r="C29" s="27"/>
      <c r="D29" s="28"/>
      <c r="E29" s="28"/>
      <c r="F29" s="35"/>
      <c r="G29" s="35"/>
    </row>
    <row r="30" spans="1:9" ht="13">
      <c r="D30" s="18"/>
      <c r="E30" s="18"/>
      <c r="F30" s="29" t="s">
        <v>1220</v>
      </c>
      <c r="G30" s="37">
        <f>SUM(G27:G29)</f>
        <v>10123.054234874</v>
      </c>
    </row>
    <row r="31" spans="1:9" ht="13">
      <c r="D31" s="18"/>
      <c r="E31" s="18"/>
      <c r="G31" s="23"/>
    </row>
    <row r="32" spans="1:9" ht="13">
      <c r="B32" s="11" t="s">
        <v>1225</v>
      </c>
      <c r="D32" s="30"/>
      <c r="E32" s="30"/>
      <c r="F32" s="31"/>
      <c r="G32" s="24"/>
    </row>
    <row r="33" spans="1:9" s="18" customFormat="1" ht="13">
      <c r="A33" s="119" t="s">
        <v>184</v>
      </c>
      <c r="B33" s="12" t="s">
        <v>1</v>
      </c>
      <c r="C33" s="13" t="s">
        <v>1226</v>
      </c>
      <c r="D33" s="13" t="s">
        <v>1227</v>
      </c>
      <c r="E33" s="13"/>
      <c r="F33" s="13" t="s">
        <v>307</v>
      </c>
      <c r="G33" s="25" t="s">
        <v>752</v>
      </c>
    </row>
    <row r="34" spans="1:9" ht="14.5">
      <c r="A34" s="125">
        <v>1</v>
      </c>
      <c r="B34" s="122" t="str">
        <f>VLOOKUP(A34,ManoObra[],2,FALSE)</f>
        <v>Electricista</v>
      </c>
      <c r="C34" s="40">
        <f>VLOOKUP(A34,ManoObra[],7,FALSE)</f>
        <v>71863</v>
      </c>
      <c r="D34" s="22">
        <f>FP!$B$28</f>
        <v>1.61</v>
      </c>
      <c r="E34" s="22"/>
      <c r="F34" s="16">
        <f>+RENDIMIENTOS!$C$33</f>
        <v>5</v>
      </c>
      <c r="G34" s="36">
        <f>ROUND(C34*D34/F34,0)</f>
        <v>23140</v>
      </c>
      <c r="I34" s="81"/>
    </row>
    <row r="35" spans="1:9" ht="14.5">
      <c r="A35" s="125">
        <v>2</v>
      </c>
      <c r="B35" s="122" t="str">
        <f>VLOOKUP(A35,ManoObra[],2,FALSE)</f>
        <v>Ayudante</v>
      </c>
      <c r="C35" s="40">
        <f>VLOOKUP(A35,ManoObra[],7,FALSE)</f>
        <v>66050</v>
      </c>
      <c r="D35" s="22">
        <f>FP!$B$28</f>
        <v>1.61</v>
      </c>
      <c r="E35" s="22"/>
      <c r="F35" s="16">
        <f>+RENDIMIENTOS!$C$33</f>
        <v>5</v>
      </c>
      <c r="G35" s="36">
        <f>ROUND(C35*D35/F35,0)</f>
        <v>21268</v>
      </c>
      <c r="I35" s="81"/>
    </row>
    <row r="36" spans="1:9" ht="13">
      <c r="D36" s="18"/>
      <c r="E36" s="18"/>
      <c r="F36" s="29" t="s">
        <v>1220</v>
      </c>
      <c r="G36" s="42">
        <f>SUM(G34:G35)</f>
        <v>44408</v>
      </c>
    </row>
    <row r="37" spans="1:9" ht="13">
      <c r="D37" s="18"/>
      <c r="E37" s="18"/>
      <c r="G37" s="24"/>
    </row>
    <row r="38" spans="1:9" ht="12.75" customHeight="1">
      <c r="A38"/>
      <c r="D38" s="1725" t="s">
        <v>1228</v>
      </c>
      <c r="E38" s="1730"/>
      <c r="F38" s="1726"/>
      <c r="G38" s="38">
        <f>G16+G23+G30+G36</f>
        <v>4323637.0542348744</v>
      </c>
    </row>
    <row r="39" spans="1:9" ht="13">
      <c r="A39" s="441"/>
      <c r="B39"/>
      <c r="D39" s="18"/>
      <c r="E39" s="18"/>
      <c r="F39" s="10"/>
      <c r="G39" s="41"/>
    </row>
    <row r="40" spans="1:9" ht="13">
      <c r="A40" s="442"/>
      <c r="B40" s="441"/>
    </row>
    <row r="41" spans="1:9">
      <c r="B41" s="441"/>
    </row>
    <row r="42" spans="1:9" ht="14">
      <c r="B42" s="840"/>
    </row>
    <row r="43" spans="1:9" ht="46.5">
      <c r="B43" s="1027" t="s">
        <v>1235</v>
      </c>
    </row>
  </sheetData>
  <mergeCells count="4">
    <mergeCell ref="B3:F3"/>
    <mergeCell ref="B4:D4"/>
    <mergeCell ref="D38:F38"/>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A0FC7-EB5B-4D83-B04F-FF638E7AEA18}">
  <sheetPr>
    <tabColor theme="8" tint="0.59999389629810485"/>
    <pageSetUpPr fitToPage="1"/>
  </sheetPr>
  <dimension ref="A1:I50"/>
  <sheetViews>
    <sheetView view="pageBreakPreview" zoomScale="90" zoomScaleNormal="100" zoomScaleSheetLayoutView="90"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0.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KW'!A10)</f>
        <v>ITEM:  2.1.5</v>
      </c>
      <c r="C3" s="1728"/>
      <c r="D3" s="1728"/>
      <c r="E3" s="1728"/>
      <c r="F3" s="1728"/>
      <c r="G3" s="6" t="s">
        <v>1229</v>
      </c>
      <c r="H3" s="7"/>
    </row>
    <row r="4" spans="1:9" ht="78.75" customHeight="1">
      <c r="B4" s="1722" t="str">
        <f>+'PRES MR 5 KW'!B10</f>
        <v>Suministro, transporte e instalación de tablero principal en DC con cumplimiento RETIE, dimensiones 820x620x300, incluye barrajes de 200 A, protecciones de 80, 100 y 160 A 500VDC y cableado hacia arreglos de baterías e inversores.</v>
      </c>
      <c r="C4" s="1723"/>
      <c r="D4" s="1724"/>
      <c r="E4" s="328"/>
      <c r="G4" s="8" t="str">
        <f>+'PRES MR 5 KW'!C10</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37.5">
      <c r="A8" s="125">
        <v>18</v>
      </c>
      <c r="B8" s="122" t="str">
        <f>VLOOKUP(A8,Materiales[],3,FALSE)</f>
        <v>Gabinete eléctrico metálico con revestimiento eléctrostatico de dimensiones 820x620x300 IP66 Doble fondo.</v>
      </c>
      <c r="C8" s="121" t="str">
        <f>VLOOKUP(A8,Materiales[],4,FALSE)</f>
        <v>UN</v>
      </c>
      <c r="D8" s="118">
        <v>1</v>
      </c>
      <c r="E8" s="329">
        <f>VLOOKUP(A8,Materiales[],5,FALSE)*D8</f>
        <v>20</v>
      </c>
      <c r="F8" s="123">
        <f>VLOOKUP(A8,Materiales[],6,FALSE)</f>
        <v>1619860</v>
      </c>
      <c r="G8" s="123">
        <f>ROUND(D8*F8,0)</f>
        <v>1619860</v>
      </c>
      <c r="I8" s="33"/>
    </row>
    <row r="9" spans="1:9" ht="25">
      <c r="A9" s="125">
        <v>156</v>
      </c>
      <c r="B9" s="122" t="str">
        <f>VLOOKUP(A9,Materiales[],3,FALSE)</f>
        <v>Barraje de cobre tropicalizado de 200 A para 16 conexiones</v>
      </c>
      <c r="C9" s="121" t="str">
        <f>VLOOKUP(A9,Materiales[],4,FALSE)</f>
        <v>UN</v>
      </c>
      <c r="D9" s="118">
        <v>2</v>
      </c>
      <c r="E9" s="329">
        <f>VLOOKUP(A9,Materiales[],5,FALSE)*D9</f>
        <v>2.4</v>
      </c>
      <c r="F9" s="123">
        <f>VLOOKUP(A9,Materiales[],6,FALSE)</f>
        <v>68845</v>
      </c>
      <c r="G9" s="123">
        <f t="shared" ref="G9:G16" si="0">ROUND(D9*F9,0)</f>
        <v>137690</v>
      </c>
      <c r="I9" s="33"/>
    </row>
    <row r="10" spans="1:9" ht="14.5">
      <c r="A10" s="125">
        <v>143</v>
      </c>
      <c r="B10" s="122" t="str">
        <f>VLOOKUP(A10,Materiales[],3,FALSE)</f>
        <v xml:space="preserve">Interruptor termomagnético 80A 2P 500 VDC 6 Ka </v>
      </c>
      <c r="C10" s="121" t="str">
        <f>VLOOKUP(A10,Materiales[],4,FALSE)</f>
        <v>UN</v>
      </c>
      <c r="D10" s="118">
        <v>2</v>
      </c>
      <c r="E10" s="329">
        <f>VLOOKUP(A10,Materiales[],5,FALSE)*D10</f>
        <v>0.6</v>
      </c>
      <c r="F10" s="123">
        <f>VLOOKUP(A10,Materiales[],6,FALSE)</f>
        <v>146970</v>
      </c>
      <c r="G10" s="123">
        <f t="shared" si="0"/>
        <v>293940</v>
      </c>
      <c r="I10" s="33"/>
    </row>
    <row r="11" spans="1:9" ht="14.5">
      <c r="A11" s="125">
        <v>20</v>
      </c>
      <c r="B11" s="122" t="str">
        <f>VLOOKUP(A11,Materiales[],3,FALSE)</f>
        <v xml:space="preserve">Interruptor termomagnético 100A 2P 500 VDC 6 Ka </v>
      </c>
      <c r="C11" s="121" t="str">
        <f>VLOOKUP(A11,Materiales[],4,FALSE)</f>
        <v>UN</v>
      </c>
      <c r="D11" s="118">
        <v>1</v>
      </c>
      <c r="E11" s="329">
        <f>VLOOKUP(A11,Materiales[],5,FALSE)*D11</f>
        <v>0.4</v>
      </c>
      <c r="F11" s="123">
        <f>VLOOKUP(A11,Materiales[],6,FALSE)</f>
        <v>191201</v>
      </c>
      <c r="G11" s="123">
        <f t="shared" si="0"/>
        <v>191201</v>
      </c>
      <c r="I11" s="33"/>
    </row>
    <row r="12" spans="1:9" ht="29.25" customHeight="1">
      <c r="A12" s="125">
        <v>181</v>
      </c>
      <c r="B12" s="122" t="str">
        <f>VLOOKUP(A12,Materiales[],3,FALSE)</f>
        <v xml:space="preserve">Interruptor termomagnético 160A 2P 500 VDC 6 Ka </v>
      </c>
      <c r="C12" s="121" t="str">
        <f>VLOOKUP(A12,Materiales[],4,FALSE)</f>
        <v>UN</v>
      </c>
      <c r="D12" s="118">
        <v>1</v>
      </c>
      <c r="E12" s="329">
        <f>VLOOKUP(A12,Materiales[],5,FALSE)*D12</f>
        <v>0.4</v>
      </c>
      <c r="F12" s="123">
        <f>VLOOKUP(A12,Materiales[],6,FALSE)</f>
        <v>276000</v>
      </c>
      <c r="G12" s="123">
        <f t="shared" si="0"/>
        <v>276000</v>
      </c>
      <c r="I12" s="33"/>
    </row>
    <row r="13" spans="1:9" ht="14.5">
      <c r="A13" s="125">
        <v>24</v>
      </c>
      <c r="B13" s="122" t="str">
        <f>VLOOKUP(A13,Materiales[],3,FALSE)</f>
        <v>Borna para ponchar varios calibres y terminales</v>
      </c>
      <c r="C13" s="121" t="str">
        <f>VLOOKUP(A13,Materiales[],4,FALSE)</f>
        <v>UN</v>
      </c>
      <c r="D13" s="118">
        <v>16</v>
      </c>
      <c r="E13" s="329">
        <f>VLOOKUP(A13,Materiales[],5,FALSE)*D13</f>
        <v>0.128</v>
      </c>
      <c r="F13" s="123">
        <f>VLOOKUP(A13,Materiales[],6,FALSE)</f>
        <v>2111</v>
      </c>
      <c r="G13" s="123">
        <f t="shared" si="0"/>
        <v>33776</v>
      </c>
      <c r="I13" s="33"/>
    </row>
    <row r="14" spans="1:9" ht="25">
      <c r="A14" s="125">
        <v>25</v>
      </c>
      <c r="B14" s="122" t="str">
        <f>VLOOKUP(A14,Materiales[],3,FALSE)</f>
        <v>Tubo termoencogible. Distintos calibres, distintos colores</v>
      </c>
      <c r="C14" s="121" t="str">
        <f>VLOOKUP(A14,Materiales[],4,FALSE)</f>
        <v>UN</v>
      </c>
      <c r="D14" s="118">
        <v>16</v>
      </c>
      <c r="E14" s="329">
        <f>VLOOKUP(A14,Materiales[],5,FALSE)*D14</f>
        <v>0.128</v>
      </c>
      <c r="F14" s="123">
        <f>VLOOKUP(A14,Materiales[],6,FALSE)</f>
        <v>3680</v>
      </c>
      <c r="G14" s="123">
        <f t="shared" si="0"/>
        <v>58880</v>
      </c>
      <c r="I14" s="33"/>
    </row>
    <row r="15" spans="1:9" ht="14.5">
      <c r="A15" s="125">
        <v>140</v>
      </c>
      <c r="B15" s="122" t="str">
        <f>VLOOKUP(A15,Materiales[],3,FALSE)</f>
        <v>Marcador tipo anillo ar2 (+, -, L, N,T) x 20 Piezas</v>
      </c>
      <c r="C15" s="121" t="str">
        <f>VLOOKUP(A15,Materiales[],4,FALSE)</f>
        <v>JG</v>
      </c>
      <c r="D15" s="118">
        <v>2</v>
      </c>
      <c r="E15" s="329">
        <f>VLOOKUP(A15,Materiales[],5,FALSE)*D15</f>
        <v>0.02</v>
      </c>
      <c r="F15" s="123">
        <f>VLOOKUP(A15,Materiales[],6,FALSE)</f>
        <v>10810</v>
      </c>
      <c r="G15" s="123">
        <f t="shared" si="0"/>
        <v>21620</v>
      </c>
      <c r="I15" s="33"/>
    </row>
    <row r="16" spans="1:9" ht="14.5">
      <c r="A16" s="125">
        <v>10</v>
      </c>
      <c r="B16" s="122" t="str">
        <f>VLOOKUP(A16,Materiales[],3,FALSE)</f>
        <v>Riel DIN 35 mm x 7.5 mm</v>
      </c>
      <c r="C16" s="121" t="str">
        <f>VLOOKUP(A16,Materiales[],4,FALSE)</f>
        <v>ML</v>
      </c>
      <c r="D16" s="332">
        <v>1</v>
      </c>
      <c r="E16" s="329">
        <f>VLOOKUP(A16,Materiales[],5,FALSE)*D16</f>
        <v>0.3</v>
      </c>
      <c r="F16" s="123">
        <f>VLOOKUP(A16,Materiales[],6,FALSE)</f>
        <v>10732</v>
      </c>
      <c r="G16" s="123">
        <f t="shared" si="0"/>
        <v>10732</v>
      </c>
      <c r="I16" s="33"/>
    </row>
    <row r="17" spans="1:9" ht="14.5">
      <c r="A17" s="125">
        <v>239</v>
      </c>
      <c r="B17" s="122" t="str">
        <f>VLOOKUP(A17,Materiales[],3,FALSE)</f>
        <v>Cable Cu THHN 1/0 AWG</v>
      </c>
      <c r="C17" s="121" t="str">
        <f>VLOOKUP(A17,Materiales[],4,FALSE)</f>
        <v>ML</v>
      </c>
      <c r="D17" s="333">
        <f>(3.15+1.47)*1</f>
        <v>4.62</v>
      </c>
      <c r="E17" s="329">
        <f>VLOOKUP(A17,Materiales[],5,FALSE)*D17</f>
        <v>2.5317600000000002</v>
      </c>
      <c r="F17" s="123">
        <f>VLOOKUP(A17,Materiales[],6,FALSE)</f>
        <v>45423</v>
      </c>
      <c r="G17" s="123">
        <f t="shared" ref="G17:G21" si="1">ROUND(D17*F17,0)</f>
        <v>209854</v>
      </c>
      <c r="I17" s="33"/>
    </row>
    <row r="18" spans="1:9" ht="14.5">
      <c r="A18" s="125">
        <v>240</v>
      </c>
      <c r="B18" s="122" t="str">
        <f>VLOOKUP(A18,Materiales[],3,FALSE)</f>
        <v>Cable Cu THHN 2/0 AWG</v>
      </c>
      <c r="C18" s="121" t="str">
        <f>VLOOKUP(A18,Materiales[],4,FALSE)</f>
        <v>ML</v>
      </c>
      <c r="D18" s="333">
        <f>3.15+1.47</f>
        <v>4.62</v>
      </c>
      <c r="E18" s="329">
        <f>VLOOKUP(A18,Materiales[],5,FALSE)*D18</f>
        <v>3.1323600000000003</v>
      </c>
      <c r="F18" s="123">
        <f>VLOOKUP(A18,Materiales[],6,FALSE)</f>
        <v>59929</v>
      </c>
      <c r="G18" s="123">
        <f t="shared" si="1"/>
        <v>276872</v>
      </c>
      <c r="I18" s="33"/>
    </row>
    <row r="19" spans="1:9" ht="14.5">
      <c r="A19" s="125">
        <v>85</v>
      </c>
      <c r="B19" s="122" t="str">
        <f>VLOOKUP(A19,Materiales[],3,FALSE)</f>
        <v>Cable Cu Desnudo 8 AWG</v>
      </c>
      <c r="C19" s="121" t="str">
        <f>VLOOKUP(A19,Materiales[],4,FALSE)</f>
        <v>ML</v>
      </c>
      <c r="D19" s="332">
        <v>1</v>
      </c>
      <c r="E19" s="329">
        <f>VLOOKUP(A19,Materiales[],5,FALSE)*D19</f>
        <v>7.4999999999999997E-2</v>
      </c>
      <c r="F19" s="123">
        <f>VLOOKUP(A19,Materiales[],6,FALSE)</f>
        <v>6325</v>
      </c>
      <c r="G19" s="123">
        <f t="shared" si="1"/>
        <v>6325</v>
      </c>
      <c r="I19" s="33"/>
    </row>
    <row r="20" spans="1:9" ht="14.5">
      <c r="A20" s="125">
        <v>397</v>
      </c>
      <c r="B20" s="122" t="str">
        <f>VLOOKUP(A20,Materiales[],3,FALSE)</f>
        <v>Cable Cu THHN 8 AWG verde</v>
      </c>
      <c r="C20" s="121" t="str">
        <f>VLOOKUP(A20,Materiales[],4,FALSE)</f>
        <v>ML</v>
      </c>
      <c r="D20" s="332">
        <f>+D17/2</f>
        <v>2.31</v>
      </c>
      <c r="E20" s="329">
        <f>VLOOKUP(A20,Materiales[],5,FALSE)*D20</f>
        <v>0.8085</v>
      </c>
      <c r="F20" s="123">
        <f>VLOOKUP(A20,Materiales[],6,FALSE)</f>
        <v>7081</v>
      </c>
      <c r="G20" s="123">
        <f t="shared" ref="G20" si="2">ROUND(D20*F20,0)</f>
        <v>16357</v>
      </c>
      <c r="I20" s="33"/>
    </row>
    <row r="21" spans="1:9" ht="14.5">
      <c r="A21" s="125">
        <v>387</v>
      </c>
      <c r="B21" s="122" t="str">
        <f>VLOOKUP(A21,Materiales[],3,FALSE)</f>
        <v>Cable Cu THHN 6 AWG verde</v>
      </c>
      <c r="C21" s="121" t="str">
        <f>VLOOKUP(A21,Materiales[],4,FALSE)</f>
        <v>ML</v>
      </c>
      <c r="D21" s="332">
        <f>+D18/2</f>
        <v>2.31</v>
      </c>
      <c r="E21" s="329">
        <f>VLOOKUP(A21,Materiales[],5,FALSE)*D21</f>
        <v>0.8085</v>
      </c>
      <c r="F21" s="123">
        <f>VLOOKUP(A21,Materiales[],6,FALSE)</f>
        <v>10868</v>
      </c>
      <c r="G21" s="123">
        <f t="shared" si="1"/>
        <v>25105</v>
      </c>
      <c r="I21" s="33"/>
    </row>
    <row r="22" spans="1:9" ht="13">
      <c r="D22" s="18"/>
      <c r="E22" s="18"/>
      <c r="F22" s="29" t="s">
        <v>1220</v>
      </c>
      <c r="G22" s="42">
        <f>SUM(G8:G21)</f>
        <v>3178212</v>
      </c>
    </row>
    <row r="24" spans="1:9" ht="13">
      <c r="B24" s="20" t="s">
        <v>1221</v>
      </c>
      <c r="G24" s="39"/>
    </row>
    <row r="25" spans="1:9" ht="13">
      <c r="A25" s="119" t="s">
        <v>184</v>
      </c>
      <c r="B25" s="120" t="s">
        <v>1</v>
      </c>
      <c r="C25" s="13" t="s">
        <v>1231</v>
      </c>
      <c r="D25" s="13" t="s">
        <v>1222</v>
      </c>
      <c r="E25" s="13"/>
      <c r="F25" s="13" t="s">
        <v>307</v>
      </c>
      <c r="G25" s="13" t="s">
        <v>752</v>
      </c>
    </row>
    <row r="26" spans="1:9" ht="14.5">
      <c r="A26" s="125">
        <v>1</v>
      </c>
      <c r="B26" s="122" t="str">
        <f>VLOOKUP(A26,Equip.Herram[],2,FALSE)</f>
        <v>Herramienta menor</v>
      </c>
      <c r="C26" s="15" t="str">
        <f>VLOOKUP(A26,Equip.Herram[],3,FALSE)</f>
        <v>UN</v>
      </c>
      <c r="D26" s="36">
        <f>VLOOKUP(A26,Equip.Herram[],4,FALSE)</f>
        <v>24840</v>
      </c>
      <c r="E26" s="36"/>
      <c r="F26" s="16">
        <f>+RENDIMIENTOS!C34</f>
        <v>1</v>
      </c>
      <c r="G26" s="36">
        <f>ROUND(D26/F26,0)</f>
        <v>24840</v>
      </c>
    </row>
    <row r="27" spans="1:9">
      <c r="B27" s="14"/>
      <c r="C27" s="15"/>
      <c r="D27" s="17"/>
      <c r="E27" s="17"/>
      <c r="F27" s="22"/>
      <c r="G27" s="21"/>
    </row>
    <row r="28" spans="1:9">
      <c r="B28" s="14"/>
      <c r="C28" s="15"/>
      <c r="D28" s="17"/>
      <c r="E28" s="17"/>
      <c r="F28" s="22"/>
      <c r="G28" s="21"/>
    </row>
    <row r="29" spans="1:9" ht="13">
      <c r="D29" s="18"/>
      <c r="E29" s="18"/>
      <c r="F29" s="19" t="s">
        <v>1220</v>
      </c>
      <c r="G29" s="37">
        <f>SUM(G26:G28)</f>
        <v>24840</v>
      </c>
    </row>
    <row r="30" spans="1:9" ht="13">
      <c r="D30" s="18"/>
      <c r="E30" s="18"/>
      <c r="F30" s="18"/>
      <c r="G30" s="23"/>
    </row>
    <row r="31" spans="1:9" ht="13">
      <c r="B31" s="11" t="s">
        <v>1223</v>
      </c>
      <c r="G31" s="24"/>
    </row>
    <row r="32" spans="1:9" ht="13">
      <c r="A32" s="119" t="s">
        <v>184</v>
      </c>
      <c r="B32" s="12" t="s">
        <v>1</v>
      </c>
      <c r="C32" s="13" t="s">
        <v>185</v>
      </c>
      <c r="D32" s="13" t="s">
        <v>1230</v>
      </c>
      <c r="E32" s="13"/>
      <c r="F32" s="13" t="s">
        <v>1233</v>
      </c>
      <c r="G32" s="25" t="s">
        <v>752</v>
      </c>
      <c r="I32" s="39"/>
    </row>
    <row r="33" spans="1:9" ht="26.5" customHeight="1">
      <c r="A33" s="125">
        <v>1</v>
      </c>
      <c r="B33" s="122" t="str">
        <f>VLOOKUP(A33,Transporte[],2,FALSE)</f>
        <v>Carga terrestre Bogotá - Teorama</v>
      </c>
      <c r="C33" s="27" t="s">
        <v>1234</v>
      </c>
      <c r="D33" s="118">
        <f>+SUM(E8:E16)</f>
        <v>24.375999999999998</v>
      </c>
      <c r="E33" s="118"/>
      <c r="F33" s="142">
        <f>VLOOKUP(A33,Transporte[],7,FALSE)</f>
        <v>214.17955999999998</v>
      </c>
      <c r="G33" s="35">
        <f>D33*F33</f>
        <v>5220.8409545599989</v>
      </c>
    </row>
    <row r="34" spans="1:9" ht="13.4" customHeight="1">
      <c r="A34" s="125">
        <v>3</v>
      </c>
      <c r="B34" s="122" t="str">
        <f>VLOOKUP(A34,Transporte[],2,FALSE)</f>
        <v>Carga terrestre Teorama - Comunidades</v>
      </c>
      <c r="C34" s="27" t="s">
        <v>1234</v>
      </c>
      <c r="D34" s="118">
        <f>+SUM(E8:E16)</f>
        <v>24.375999999999998</v>
      </c>
      <c r="E34" s="118"/>
      <c r="F34" s="142">
        <f>VLOOKUP(A34,Transporte[],7,FALSE)</f>
        <v>1491</v>
      </c>
      <c r="G34" s="35">
        <f>D34*F34</f>
        <v>36344.615999999995</v>
      </c>
    </row>
    <row r="35" spans="1:9" ht="13.4" customHeight="1">
      <c r="B35" s="26"/>
      <c r="C35" s="27"/>
      <c r="D35" s="28"/>
      <c r="E35" s="28"/>
      <c r="F35" s="35"/>
      <c r="G35" s="35"/>
    </row>
    <row r="36" spans="1:9" ht="13">
      <c r="D36" s="18"/>
      <c r="E36" s="18"/>
      <c r="F36" s="29" t="s">
        <v>1220</v>
      </c>
      <c r="G36" s="37">
        <f>SUM(G33:G35)</f>
        <v>41565.456954559995</v>
      </c>
    </row>
    <row r="37" spans="1:9" ht="13">
      <c r="D37" s="18"/>
      <c r="E37" s="18"/>
      <c r="G37" s="23"/>
    </row>
    <row r="38" spans="1:9" ht="13">
      <c r="B38" s="11" t="s">
        <v>1225</v>
      </c>
      <c r="D38" s="30"/>
      <c r="E38" s="30"/>
      <c r="F38" s="31"/>
      <c r="G38" s="24"/>
    </row>
    <row r="39" spans="1:9" s="18" customFormat="1" ht="13">
      <c r="A39" s="119" t="s">
        <v>184</v>
      </c>
      <c r="B39" s="12" t="s">
        <v>1</v>
      </c>
      <c r="C39" s="13" t="s">
        <v>1226</v>
      </c>
      <c r="D39" s="13" t="s">
        <v>1227</v>
      </c>
      <c r="E39" s="13"/>
      <c r="F39" s="13" t="s">
        <v>307</v>
      </c>
      <c r="G39" s="25" t="s">
        <v>752</v>
      </c>
    </row>
    <row r="40" spans="1:9" ht="14.5">
      <c r="A40" s="125">
        <v>1</v>
      </c>
      <c r="B40" s="122" t="str">
        <f>VLOOKUP(A40,ManoObra[],2,FALSE)</f>
        <v>Electricista</v>
      </c>
      <c r="C40" s="40">
        <f>VLOOKUP(A40,ManoObra[],7,FALSE)</f>
        <v>71863</v>
      </c>
      <c r="D40" s="22">
        <f>FP!$B$28</f>
        <v>1.61</v>
      </c>
      <c r="E40" s="22"/>
      <c r="F40" s="16">
        <f>+RENDIMIENTOS!$C$34</f>
        <v>1</v>
      </c>
      <c r="G40" s="36">
        <f>ROUND(C40*D40/F40,0)</f>
        <v>115699</v>
      </c>
      <c r="I40" s="81"/>
    </row>
    <row r="41" spans="1:9" ht="14.5">
      <c r="A41" s="125">
        <v>2</v>
      </c>
      <c r="B41" s="122" t="str">
        <f>VLOOKUP(A41,ManoObra[],2,FALSE)</f>
        <v>Ayudante</v>
      </c>
      <c r="C41" s="40">
        <f>VLOOKUP(A41,ManoObra[],7,FALSE)</f>
        <v>66050</v>
      </c>
      <c r="D41" s="22">
        <f>FP!$B$28</f>
        <v>1.61</v>
      </c>
      <c r="E41" s="22"/>
      <c r="F41" s="16">
        <f>+RENDIMIENTOS!$C$34</f>
        <v>1</v>
      </c>
      <c r="G41" s="36">
        <f>ROUND(C41*D41/F41,0)</f>
        <v>106341</v>
      </c>
      <c r="I41" s="81"/>
    </row>
    <row r="42" spans="1:9" ht="13">
      <c r="D42" s="18"/>
      <c r="E42" s="18"/>
      <c r="F42" s="29" t="s">
        <v>1220</v>
      </c>
      <c r="G42" s="42">
        <f>SUM(G40:G41)</f>
        <v>222040</v>
      </c>
    </row>
    <row r="43" spans="1:9" ht="13">
      <c r="D43" s="18"/>
      <c r="E43" s="18"/>
      <c r="G43" s="24"/>
    </row>
    <row r="44" spans="1:9" ht="12.75" customHeight="1">
      <c r="A44"/>
      <c r="D44" s="1725" t="s">
        <v>1228</v>
      </c>
      <c r="E44" s="1730"/>
      <c r="F44" s="1726"/>
      <c r="G44" s="38">
        <f>G22+G29+G36+G42</f>
        <v>3466657.4569545598</v>
      </c>
    </row>
    <row r="45" spans="1:9" ht="13">
      <c r="A45" s="441"/>
      <c r="D45" s="18"/>
      <c r="E45" s="18"/>
      <c r="F45" s="10"/>
      <c r="G45" s="41"/>
    </row>
    <row r="46" spans="1:9" ht="13">
      <c r="A46" s="442"/>
      <c r="B46"/>
    </row>
    <row r="47" spans="1:9">
      <c r="B47" s="441"/>
    </row>
    <row r="48" spans="1:9">
      <c r="B48" s="441"/>
    </row>
    <row r="49" spans="2:2" ht="14">
      <c r="B49" s="840"/>
    </row>
    <row r="50" spans="2:2" ht="46.5">
      <c r="B50" s="1027" t="s">
        <v>1235</v>
      </c>
    </row>
  </sheetData>
  <mergeCells count="4">
    <mergeCell ref="B3:F3"/>
    <mergeCell ref="B4:D4"/>
    <mergeCell ref="D44:F44"/>
    <mergeCell ref="A1:G1"/>
  </mergeCells>
  <printOptions horizontalCentered="1"/>
  <pageMargins left="0.70866141732283472" right="0.70866141732283472" top="1.5748031496062993" bottom="0.98425196850393704" header="0.98425196850393704" footer="0.51181102362204722"/>
  <pageSetup scale="71" orientation="portrait" r:id="rId1"/>
  <headerFooter alignWithMargins="0">
    <oddHeader xml:space="preserve">&amp;C&amp;"Arial,Negrita"&amp;12ANÁLISIS DE PRECIOS UNITARIOS
</oddHead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5ED65-5284-47EB-AC25-78DB4D112269}">
  <sheetPr>
    <tabColor theme="8" tint="0.59999389629810485"/>
    <pageSetUpPr fitToPage="1"/>
  </sheetPr>
  <dimension ref="A1:I43"/>
  <sheetViews>
    <sheetView view="pageBreakPreview" zoomScale="80" zoomScaleNormal="100" zoomScaleSheetLayoutView="80"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7" style="5" bestFit="1" customWidth="1"/>
    <col min="8" max="8" width="6.453125" style="5" customWidth="1"/>
    <col min="9" max="9" width="11.453125" style="5"/>
    <col min="10" max="10" width="11.54296875" style="5" bestFit="1" customWidth="1"/>
    <col min="11" max="16384" width="11.453125" style="5"/>
  </cols>
  <sheetData>
    <row r="1" spans="1:9" ht="31.4"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KW'!A11,", ",'PRES MR 10 KW'!A11,", ",'PRES MR 15 KW'!A11)</f>
        <v>ITEM:  2.1.6, 3.1.6, 4.1.6</v>
      </c>
      <c r="C3" s="1728"/>
      <c r="D3" s="1728"/>
      <c r="E3" s="1728"/>
      <c r="F3" s="1728"/>
      <c r="G3" s="6" t="s">
        <v>1229</v>
      </c>
      <c r="H3" s="7"/>
    </row>
    <row r="4" spans="1:9" ht="78.75" customHeight="1">
      <c r="B4" s="1722" t="str">
        <f>+'PRES MR 5 KW'!B11</f>
        <v>Suministro, transporte e instalación de banco de baterías de 24576 Wh a 51,2 V. Incluye rack de baterías, cables de interconexión y conexión al sistema de moniteoreo mediante protocolo CAN-BUS.las baterías de ion - litio tipo fosfato de hierro (LiFePO4) de ciclo profundo de 120 Ah - 51,2 VDC -  6.000 ciclos hasta el 80% DOD, libre de mantenimiento. Con BMS, puertos de comunicaciones,  vida útil mín de 15 años y 10 años de garantia.</v>
      </c>
      <c r="C4" s="1723"/>
      <c r="D4" s="1724"/>
      <c r="E4" s="328"/>
      <c r="G4" s="8" t="str">
        <f>+'PRES MR 5 KW'!C11</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25">
      <c r="A8" s="439">
        <v>337</v>
      </c>
      <c r="B8" s="122" t="str">
        <f>VLOOKUP(A8,Materiales[],3,FALSE)</f>
        <v>Batería de ión - litio tipo fosfato de hierro (LiFePO4) de ciclo profundo de 120 Ah - 51,2 VDC</v>
      </c>
      <c r="C8" s="121" t="str">
        <f>VLOOKUP(A8,Materiales[],4,FALSE)</f>
        <v>UN</v>
      </c>
      <c r="D8" s="440">
        <v>4</v>
      </c>
      <c r="E8" s="329">
        <f>VLOOKUP(A8,Materiales[],5,FALSE)*D8</f>
        <v>228</v>
      </c>
      <c r="F8" s="123">
        <f>VLOOKUP(A8,Materiales[],6,FALSE)</f>
        <v>10512974</v>
      </c>
      <c r="G8" s="123">
        <f>ROUND(D8*F8,0)</f>
        <v>42051896</v>
      </c>
      <c r="I8" s="33">
        <f>6100*4</f>
        <v>24400</v>
      </c>
    </row>
    <row r="9" spans="1:9" ht="25">
      <c r="A9" s="125">
        <v>27</v>
      </c>
      <c r="B9" s="122" t="str">
        <f>VLOOKUP(A9,Materiales[],3,FALSE)</f>
        <v>Gabinete de Piso 40U (Ancho: 710 mm • Fondo: 990 mm)</v>
      </c>
      <c r="C9" s="121" t="str">
        <f>VLOOKUP(A9,Materiales[],4,FALSE)</f>
        <v>UN</v>
      </c>
      <c r="D9" s="118">
        <v>1</v>
      </c>
      <c r="E9" s="329">
        <f>VLOOKUP(A9,Materiales[],5,FALSE)*D9</f>
        <v>25</v>
      </c>
      <c r="F9" s="123">
        <f>VLOOKUP(A9,Materiales[],6,FALSE)</f>
        <v>2975622</v>
      </c>
      <c r="G9" s="123">
        <f t="shared" ref="G9:G14" si="0">ROUND(D9*F9,0)</f>
        <v>2975622</v>
      </c>
      <c r="I9" s="33">
        <f>120*6</f>
        <v>720</v>
      </c>
    </row>
    <row r="10" spans="1:9" ht="14.5">
      <c r="A10" s="125">
        <v>166</v>
      </c>
      <c r="B10" s="122" t="str">
        <f>VLOOKUP(A10,Materiales[],3,FALSE)</f>
        <v>Cable Cu SGT 4 AWG</v>
      </c>
      <c r="C10" s="121" t="str">
        <f>VLOOKUP(A10,Materiales[],4,FALSE)</f>
        <v>ML</v>
      </c>
      <c r="D10" s="333">
        <f>0.63*4</f>
        <v>2.52</v>
      </c>
      <c r="E10" s="329">
        <f>VLOOKUP(A10,Materiales[],5,FALSE)*D10</f>
        <v>0.59219999999999995</v>
      </c>
      <c r="F10" s="123">
        <f>VLOOKUP(A10,Materiales[],6,FALSE)</f>
        <v>39137</v>
      </c>
      <c r="G10" s="123">
        <f t="shared" si="0"/>
        <v>98625</v>
      </c>
      <c r="I10" s="33"/>
    </row>
    <row r="11" spans="1:9" ht="14.5">
      <c r="A11" s="125">
        <v>52</v>
      </c>
      <c r="B11" s="122" t="str">
        <f>VLOOKUP(A11,Materiales[],3,FALSE)</f>
        <v>Desconectador de baterías 600 A</v>
      </c>
      <c r="C11" s="121" t="str">
        <f>VLOOKUP(A11,Materiales[],4,FALSE)</f>
        <v>UN</v>
      </c>
      <c r="D11" s="118">
        <v>1</v>
      </c>
      <c r="E11" s="329">
        <f>VLOOKUP(A11,Materiales[],5,FALSE)*D11</f>
        <v>0.35</v>
      </c>
      <c r="F11" s="123">
        <f>VLOOKUP(A11,Materiales[],6,FALSE)</f>
        <v>283017</v>
      </c>
      <c r="G11" s="123">
        <f t="shared" si="0"/>
        <v>283017</v>
      </c>
      <c r="I11" s="33"/>
    </row>
    <row r="12" spans="1:9" ht="14.5">
      <c r="A12" s="125">
        <v>56</v>
      </c>
      <c r="B12" s="122" t="str">
        <f>VLOOKUP(A12,Materiales[],3,FALSE)</f>
        <v>Cable UTP Cat6</v>
      </c>
      <c r="C12" s="121" t="str">
        <f>VLOOKUP(A12,Materiales[],4,FALSE)</f>
        <v>ML</v>
      </c>
      <c r="D12" s="118">
        <v>8</v>
      </c>
      <c r="E12" s="329">
        <f>VLOOKUP(A12,Materiales[],5,FALSE)*D12</f>
        <v>0.25600000000000001</v>
      </c>
      <c r="F12" s="123">
        <f>VLOOKUP(A12,Materiales[],6,FALSE)</f>
        <v>3144</v>
      </c>
      <c r="G12" s="123">
        <f t="shared" si="0"/>
        <v>25152</v>
      </c>
      <c r="I12" s="33"/>
    </row>
    <row r="13" spans="1:9" ht="14.5">
      <c r="A13" s="125">
        <v>57</v>
      </c>
      <c r="B13" s="122" t="str">
        <f>VLOOKUP(A13,Materiales[],3,FALSE)</f>
        <v>Conector RJ45</v>
      </c>
      <c r="C13" s="121" t="str">
        <f>VLOOKUP(A13,Materiales[],4,FALSE)</f>
        <v>UN</v>
      </c>
      <c r="D13" s="118">
        <f>+D8</f>
        <v>4</v>
      </c>
      <c r="E13" s="329">
        <f>VLOOKUP(A13,Materiales[],5,FALSE)*D13</f>
        <v>0.04</v>
      </c>
      <c r="F13" s="123">
        <f>VLOOKUP(A13,Materiales[],6,FALSE)</f>
        <v>3429</v>
      </c>
      <c r="G13" s="123">
        <f t="shared" si="0"/>
        <v>13716</v>
      </c>
      <c r="I13" s="33"/>
    </row>
    <row r="14" spans="1:9" ht="14.5">
      <c r="A14" s="125">
        <v>29</v>
      </c>
      <c r="B14" s="122" t="str">
        <f>VLOOKUP(A14,Materiales[],3,FALSE)</f>
        <v>Terminales para batería. Par</v>
      </c>
      <c r="C14" s="121" t="str">
        <f>VLOOKUP(A14,Materiales[],4,FALSE)</f>
        <v>JG</v>
      </c>
      <c r="D14" s="118">
        <f>+D8</f>
        <v>4</v>
      </c>
      <c r="E14" s="329">
        <f>VLOOKUP(A14,Materiales[],5,FALSE)*D14</f>
        <v>0.08</v>
      </c>
      <c r="F14" s="123">
        <f>VLOOKUP(A14,Materiales[],6,FALSE)</f>
        <v>122165</v>
      </c>
      <c r="G14" s="123">
        <f t="shared" si="0"/>
        <v>488660</v>
      </c>
      <c r="I14" s="33"/>
    </row>
    <row r="15" spans="1:9" ht="13">
      <c r="D15" s="18"/>
      <c r="E15" s="18"/>
      <c r="F15" s="29" t="s">
        <v>1220</v>
      </c>
      <c r="G15" s="42">
        <f>SUM(G8:G14)</f>
        <v>45936688</v>
      </c>
    </row>
    <row r="17" spans="1:9" ht="13">
      <c r="B17" s="20" t="s">
        <v>1221</v>
      </c>
      <c r="G17" s="39"/>
    </row>
    <row r="18" spans="1:9" ht="13">
      <c r="A18" s="119" t="s">
        <v>184</v>
      </c>
      <c r="B18" s="120" t="s">
        <v>1</v>
      </c>
      <c r="C18" s="13" t="s">
        <v>1231</v>
      </c>
      <c r="D18" s="13" t="s">
        <v>1222</v>
      </c>
      <c r="E18" s="13"/>
      <c r="F18" s="13" t="s">
        <v>307</v>
      </c>
      <c r="G18" s="13" t="s">
        <v>752</v>
      </c>
    </row>
    <row r="19" spans="1:9" ht="14.5">
      <c r="A19" s="125">
        <v>1</v>
      </c>
      <c r="B19" s="122" t="str">
        <f>VLOOKUP(A19,Equip.Herram[],2,FALSE)</f>
        <v>Herramienta menor</v>
      </c>
      <c r="C19" s="15" t="str">
        <f>VLOOKUP(A19,Equip.Herram[],3,FALSE)</f>
        <v>UN</v>
      </c>
      <c r="D19" s="36">
        <f>VLOOKUP(A19,Equip.Herram[],4,FALSE)</f>
        <v>24840</v>
      </c>
      <c r="E19" s="36"/>
      <c r="F19" s="16">
        <f>+RENDIMIENTOS!$C$35</f>
        <v>1</v>
      </c>
      <c r="G19" s="36">
        <f>ROUND(D19/F19,0)</f>
        <v>24840</v>
      </c>
    </row>
    <row r="20" spans="1:9">
      <c r="B20" s="14"/>
      <c r="C20" s="15"/>
      <c r="D20" s="17"/>
      <c r="E20" s="17"/>
      <c r="F20" s="22"/>
      <c r="G20" s="21"/>
    </row>
    <row r="21" spans="1:9">
      <c r="B21" s="14"/>
      <c r="C21" s="15"/>
      <c r="D21" s="17"/>
      <c r="E21" s="17"/>
      <c r="F21" s="22"/>
      <c r="G21" s="21"/>
    </row>
    <row r="22" spans="1:9" ht="13">
      <c r="D22" s="18"/>
      <c r="E22" s="18"/>
      <c r="F22" s="19" t="s">
        <v>1220</v>
      </c>
      <c r="G22" s="37">
        <f>SUM(G19:G21)</f>
        <v>24840</v>
      </c>
    </row>
    <row r="23" spans="1:9" ht="13">
      <c r="D23" s="18"/>
      <c r="E23" s="18"/>
      <c r="F23" s="18"/>
      <c r="G23" s="23"/>
    </row>
    <row r="24" spans="1:9" ht="13">
      <c r="B24" s="11" t="s">
        <v>1223</v>
      </c>
      <c r="G24" s="24"/>
    </row>
    <row r="25" spans="1:9" ht="13">
      <c r="A25" s="119" t="s">
        <v>184</v>
      </c>
      <c r="B25" s="12" t="s">
        <v>1</v>
      </c>
      <c r="C25" s="13" t="s">
        <v>185</v>
      </c>
      <c r="D25" s="13" t="s">
        <v>1230</v>
      </c>
      <c r="E25" s="13"/>
      <c r="F25" s="13" t="s">
        <v>1233</v>
      </c>
      <c r="G25" s="25" t="s">
        <v>752</v>
      </c>
      <c r="I25" s="39"/>
    </row>
    <row r="26" spans="1:9" ht="26.5" customHeight="1">
      <c r="A26" s="125">
        <v>1</v>
      </c>
      <c r="B26" s="122" t="str">
        <f>VLOOKUP(A26,Transporte[],2,FALSE)</f>
        <v>Carga terrestre Bogotá - Teorama</v>
      </c>
      <c r="C26" s="27" t="s">
        <v>1234</v>
      </c>
      <c r="D26" s="118">
        <f>+SUM(E8:E14)</f>
        <v>254.31819999999999</v>
      </c>
      <c r="E26" s="118"/>
      <c r="F26" s="142">
        <f>VLOOKUP(A26,Transporte[],7,FALSE)</f>
        <v>214.17955999999998</v>
      </c>
      <c r="G26" s="35">
        <f>D26*F26</f>
        <v>54469.760175991993</v>
      </c>
    </row>
    <row r="27" spans="1:9" ht="13.4" customHeight="1">
      <c r="A27" s="125">
        <v>3</v>
      </c>
      <c r="B27" s="122" t="str">
        <f>VLOOKUP(A27,Transporte[],2,FALSE)</f>
        <v>Carga terrestre Teorama - Comunidades</v>
      </c>
      <c r="C27" s="27" t="s">
        <v>1234</v>
      </c>
      <c r="D27" s="118">
        <f>+SUM(E8:E14)</f>
        <v>254.31819999999999</v>
      </c>
      <c r="E27" s="118"/>
      <c r="F27" s="142">
        <f>VLOOKUP(A27,Transporte[],7,FALSE)</f>
        <v>1491</v>
      </c>
      <c r="G27" s="35">
        <f>D27*F27</f>
        <v>379188.4362</v>
      </c>
    </row>
    <row r="28" spans="1:9" ht="13.4" customHeight="1">
      <c r="B28" s="26"/>
      <c r="C28" s="27"/>
      <c r="D28" s="28"/>
      <c r="E28" s="28"/>
      <c r="F28" s="35"/>
      <c r="G28" s="35"/>
    </row>
    <row r="29" spans="1:9" ht="13">
      <c r="D29" s="18"/>
      <c r="E29" s="18"/>
      <c r="F29" s="29" t="s">
        <v>1220</v>
      </c>
      <c r="G29" s="37">
        <f>SUM(G26:G28)</f>
        <v>433658.19637599197</v>
      </c>
    </row>
    <row r="30" spans="1:9" ht="13">
      <c r="D30" s="18"/>
      <c r="E30" s="18"/>
      <c r="G30" s="23"/>
    </row>
    <row r="31" spans="1:9" ht="13">
      <c r="B31" s="11" t="s">
        <v>1225</v>
      </c>
      <c r="D31" s="30"/>
      <c r="E31" s="30"/>
      <c r="F31" s="31"/>
      <c r="G31" s="24"/>
    </row>
    <row r="32" spans="1:9" s="18" customFormat="1" ht="13">
      <c r="A32" s="119" t="s">
        <v>184</v>
      </c>
      <c r="B32" s="12" t="s">
        <v>1</v>
      </c>
      <c r="C32" s="13" t="s">
        <v>1226</v>
      </c>
      <c r="D32" s="13" t="s">
        <v>1227</v>
      </c>
      <c r="E32" s="13"/>
      <c r="F32" s="13" t="s">
        <v>307</v>
      </c>
      <c r="G32" s="25" t="s">
        <v>752</v>
      </c>
    </row>
    <row r="33" spans="1:9" ht="14.5">
      <c r="A33" s="125">
        <v>1</v>
      </c>
      <c r="B33" s="122" t="str">
        <f>VLOOKUP(A33,ManoObra[],2,FALSE)</f>
        <v>Electricista</v>
      </c>
      <c r="C33" s="40">
        <f>VLOOKUP(A33,ManoObra[],7,FALSE)</f>
        <v>71863</v>
      </c>
      <c r="D33" s="22">
        <f>FP!$B$28</f>
        <v>1.61</v>
      </c>
      <c r="E33" s="22"/>
      <c r="F33" s="16">
        <f>+RENDIMIENTOS!$C$35</f>
        <v>1</v>
      </c>
      <c r="G33" s="36">
        <f>ROUND(C33*D33/F33,0)</f>
        <v>115699</v>
      </c>
      <c r="I33" s="81"/>
    </row>
    <row r="34" spans="1:9" ht="14.5">
      <c r="A34" s="125">
        <v>2</v>
      </c>
      <c r="B34" s="122" t="str">
        <f>VLOOKUP(A34,ManoObra[],2,FALSE)</f>
        <v>Ayudante</v>
      </c>
      <c r="C34" s="40">
        <f>VLOOKUP(A34,ManoObra[],7,FALSE)</f>
        <v>66050</v>
      </c>
      <c r="D34" s="22">
        <f>FP!$B$28</f>
        <v>1.61</v>
      </c>
      <c r="E34" s="22"/>
      <c r="F34" s="16">
        <f>+RENDIMIENTOS!$C$35</f>
        <v>1</v>
      </c>
      <c r="G34" s="36">
        <f>ROUND(C34*D34/F34,0)</f>
        <v>106341</v>
      </c>
      <c r="I34" s="81"/>
    </row>
    <row r="35" spans="1:9" ht="13">
      <c r="D35" s="18"/>
      <c r="E35" s="18"/>
      <c r="F35" s="29" t="s">
        <v>1220</v>
      </c>
      <c r="G35" s="42">
        <f>SUM(G33:G34)</f>
        <v>222040</v>
      </c>
      <c r="I35" s="39">
        <f>+G35+G29+G22</f>
        <v>680538.19637599192</v>
      </c>
    </row>
    <row r="36" spans="1:9" ht="13">
      <c r="D36" s="18"/>
      <c r="E36" s="18"/>
      <c r="G36" s="24"/>
      <c r="I36" s="700">
        <f>+I35/D8</f>
        <v>170134.54909399798</v>
      </c>
    </row>
    <row r="37" spans="1:9" ht="12.75" customHeight="1">
      <c r="A37"/>
      <c r="D37" s="1725" t="s">
        <v>1228</v>
      </c>
      <c r="E37" s="1730"/>
      <c r="F37" s="1726"/>
      <c r="G37" s="38">
        <f>G15+G22+G29+G35</f>
        <v>46617226.196375988</v>
      </c>
    </row>
    <row r="38" spans="1:9" ht="13">
      <c r="A38" s="441"/>
      <c r="D38" s="18"/>
      <c r="E38" s="18"/>
      <c r="F38" s="10"/>
      <c r="G38" s="41"/>
    </row>
    <row r="39" spans="1:9" ht="13">
      <c r="A39" s="442"/>
      <c r="B39"/>
    </row>
    <row r="40" spans="1:9">
      <c r="B40" s="441"/>
    </row>
    <row r="41" spans="1:9">
      <c r="B41" s="441"/>
    </row>
    <row r="42" spans="1:9" ht="14">
      <c r="B42" s="840"/>
    </row>
    <row r="43" spans="1:9" ht="46.5">
      <c r="B43" s="1027" t="s">
        <v>1235</v>
      </c>
    </row>
  </sheetData>
  <mergeCells count="4">
    <mergeCell ref="B3:F3"/>
    <mergeCell ref="B4:D4"/>
    <mergeCell ref="D37:F37"/>
    <mergeCell ref="A1:G1"/>
  </mergeCells>
  <printOptions horizontalCentered="1"/>
  <pageMargins left="0.70866141732283472" right="0.70866141732283472" top="1.5748031496062993" bottom="0.98425196850393704" header="0.98425196850393704" footer="0.51181102362204722"/>
  <pageSetup scale="75" orientation="portrait" r:id="rId1"/>
  <headerFooter alignWithMargins="0">
    <oddHeader xml:space="preserve">&amp;C&amp;"Arial,Negrita"&amp;12ANÁLISIS DE PRECIOS UNITARIOS
</oddHeader>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5DCD2-46F7-467C-95A1-F32885012FA3}">
  <sheetPr>
    <tabColor theme="9" tint="0.59999389629810485"/>
    <pageSetUpPr fitToPage="1"/>
  </sheetPr>
  <dimension ref="A1:I41"/>
  <sheetViews>
    <sheetView view="pageBreakPreview" zoomScale="80" zoomScaleNormal="100" zoomScaleSheetLayoutView="80"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1.4"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KW'!A12,", ",'PRES MR 10 KW'!A12,", ",'PRES MR 15 KW'!A12)</f>
        <v>ITEM:  2.1.7, 3.1.7, 4.1.7</v>
      </c>
      <c r="C3" s="1728"/>
      <c r="D3" s="1728"/>
      <c r="E3" s="1728"/>
      <c r="F3" s="1728"/>
      <c r="G3" s="6" t="s">
        <v>1229</v>
      </c>
      <c r="H3" s="7"/>
    </row>
    <row r="4" spans="1:9" ht="78.75" customHeight="1">
      <c r="B4" s="1722" t="str">
        <f>+'PRES MR 5 KW'!B12</f>
        <v>Suministro e instalación de inversor de onda pura de 5000 VA 120V, FP 0.8, eficiencia del 94% y función de trabajo en paralelo. Incluye cable de salida en calibre 6 AWG</v>
      </c>
      <c r="C4" s="1723"/>
      <c r="D4" s="1724"/>
      <c r="E4" s="328"/>
      <c r="G4" s="8" t="s">
        <v>1252</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37.5">
      <c r="A8" s="125">
        <v>30</v>
      </c>
      <c r="B8" s="122" t="str">
        <f>VLOOKUP(A8,Materiales[],3,FALSE)</f>
        <v>Inversor 5kVA, voltaje de salida 230V/120V, con dos entradas CA y dos salidas CA, certificacion IEC 60335-1, IEC 60335-2 y IEC 62109-1</v>
      </c>
      <c r="C8" s="121" t="str">
        <f>VLOOKUP(A8,Materiales[],4,FALSE)</f>
        <v>UN</v>
      </c>
      <c r="D8" s="118">
        <v>1</v>
      </c>
      <c r="E8" s="329">
        <f>VLOOKUP(A8,Materiales[],5,FALSE)*D8</f>
        <v>30</v>
      </c>
      <c r="F8" s="123">
        <f>VLOOKUP(A8,Materiales[],6,FALSE)</f>
        <v>11574806</v>
      </c>
      <c r="G8" s="123">
        <f>ROUND(D8*F8,0)</f>
        <v>11574806</v>
      </c>
      <c r="I8" s="33"/>
    </row>
    <row r="9" spans="1:9" ht="14.5">
      <c r="A9" s="125">
        <v>241</v>
      </c>
      <c r="B9" s="122" t="str">
        <f>VLOOKUP(A9,Materiales[],3,FALSE)</f>
        <v>Cable Cu THHN 6 AWG</v>
      </c>
      <c r="C9" s="121" t="str">
        <f>VLOOKUP(A9,Materiales[],4,FALSE)</f>
        <v>ML</v>
      </c>
      <c r="D9" s="332">
        <f>2*2*1.05</f>
        <v>4.2</v>
      </c>
      <c r="E9" s="329">
        <f>VLOOKUP(A9,Materiales[],5,FALSE)*D9</f>
        <v>0.61194000000000004</v>
      </c>
      <c r="F9" s="123">
        <f>VLOOKUP(A9,Materiales[],6,FALSE)</f>
        <v>10868</v>
      </c>
      <c r="G9" s="123">
        <f t="shared" ref="G9:G12" si="0">ROUND(D9*F9,0)</f>
        <v>45646</v>
      </c>
      <c r="I9" s="33"/>
    </row>
    <row r="10" spans="1:9" ht="14.5">
      <c r="A10" s="125">
        <v>386</v>
      </c>
      <c r="B10" s="122" t="str">
        <f>VLOOKUP(A10,Materiales[],3,FALSE)</f>
        <v>Cable Cu THHN 12 AWG verde</v>
      </c>
      <c r="C10" s="121" t="str">
        <f>VLOOKUP(A10,Materiales[],4,FALSE)</f>
        <v>ML</v>
      </c>
      <c r="D10" s="333">
        <v>1.05</v>
      </c>
      <c r="E10" s="329">
        <f>VLOOKUP(A10,Materiales[],5,FALSE)*D10</f>
        <v>3.5700000000000003E-2</v>
      </c>
      <c r="F10" s="123">
        <f>VLOOKUP(A10,Materiales[],6,FALSE)</f>
        <v>3260</v>
      </c>
      <c r="G10" s="123">
        <f t="shared" ref="G10" si="1">ROUND(D10*F10,0)</f>
        <v>3423</v>
      </c>
      <c r="I10" s="33"/>
    </row>
    <row r="11" spans="1:9" ht="14.5">
      <c r="A11" s="125">
        <v>24</v>
      </c>
      <c r="B11" s="122" t="str">
        <f>VLOOKUP(A11,Materiales[],3,FALSE)</f>
        <v>Borna para ponchar varios calibres y terminales</v>
      </c>
      <c r="C11" s="121" t="str">
        <f>VLOOKUP(A11,Materiales[],4,FALSE)</f>
        <v>UN</v>
      </c>
      <c r="D11" s="332">
        <f>+D8*2</f>
        <v>2</v>
      </c>
      <c r="E11" s="329">
        <f>VLOOKUP(A11,Materiales[],5,FALSE)*D11</f>
        <v>1.6E-2</v>
      </c>
      <c r="F11" s="123">
        <f>VLOOKUP(A11,Materiales[],6,FALSE)</f>
        <v>2111</v>
      </c>
      <c r="G11" s="123">
        <f t="shared" si="0"/>
        <v>4222</v>
      </c>
      <c r="I11" s="33"/>
    </row>
    <row r="12" spans="1:9" ht="25">
      <c r="A12" s="125">
        <v>25</v>
      </c>
      <c r="B12" s="122" t="str">
        <f>VLOOKUP(A12,Materiales[],3,FALSE)</f>
        <v>Tubo termoencogible. Distintos calibres, distintos colores</v>
      </c>
      <c r="C12" s="121" t="str">
        <f>VLOOKUP(A12,Materiales[],4,FALSE)</f>
        <v>UN</v>
      </c>
      <c r="D12" s="118">
        <f>+D8*2</f>
        <v>2</v>
      </c>
      <c r="E12" s="329">
        <f>VLOOKUP(A12,Materiales[],5,FALSE)*D12</f>
        <v>1.6E-2</v>
      </c>
      <c r="F12" s="123">
        <f>VLOOKUP(A12,Materiales[],6,FALSE)</f>
        <v>3680</v>
      </c>
      <c r="G12" s="123">
        <f t="shared" si="0"/>
        <v>7360</v>
      </c>
      <c r="I12" s="33"/>
    </row>
    <row r="13" spans="1:9" ht="13">
      <c r="D13" s="18"/>
      <c r="E13" s="18"/>
      <c r="F13" s="29" t="s">
        <v>1220</v>
      </c>
      <c r="G13" s="42">
        <f>SUM(G8:G12)</f>
        <v>11635457</v>
      </c>
    </row>
    <row r="15" spans="1:9" ht="13">
      <c r="B15" s="20" t="s">
        <v>1221</v>
      </c>
      <c r="G15" s="39"/>
    </row>
    <row r="16" spans="1:9" ht="13">
      <c r="A16" s="119" t="s">
        <v>184</v>
      </c>
      <c r="B16" s="120" t="s">
        <v>1</v>
      </c>
      <c r="C16" s="13" t="s">
        <v>1231</v>
      </c>
      <c r="D16" s="13" t="s">
        <v>1222</v>
      </c>
      <c r="E16" s="13"/>
      <c r="F16" s="13" t="s">
        <v>307</v>
      </c>
      <c r="G16" s="13" t="s">
        <v>752</v>
      </c>
    </row>
    <row r="17" spans="1:9" ht="14.5">
      <c r="A17" s="125">
        <v>1</v>
      </c>
      <c r="B17" s="122" t="str">
        <f>VLOOKUP(A17,Equip.Herram[],2,FALSE)</f>
        <v>Herramienta menor</v>
      </c>
      <c r="C17" s="15" t="str">
        <f>VLOOKUP(A17,Equip.Herram[],3,FALSE)</f>
        <v>UN</v>
      </c>
      <c r="D17" s="36">
        <f>VLOOKUP(A17,Equip.Herram[],4,FALSE)</f>
        <v>24840</v>
      </c>
      <c r="E17" s="36"/>
      <c r="F17" s="16">
        <f>+RENDIMIENTOS!$C$36</f>
        <v>2</v>
      </c>
      <c r="G17" s="36">
        <f>ROUND(D17/F17,0)</f>
        <v>12420</v>
      </c>
    </row>
    <row r="18" spans="1:9">
      <c r="B18" s="14"/>
      <c r="C18" s="15"/>
      <c r="D18" s="17"/>
      <c r="E18" s="17"/>
      <c r="F18" s="22"/>
      <c r="G18" s="21"/>
    </row>
    <row r="19" spans="1:9">
      <c r="B19" s="14"/>
      <c r="C19" s="15"/>
      <c r="D19" s="17"/>
      <c r="E19" s="17"/>
      <c r="F19" s="22"/>
      <c r="G19" s="21"/>
    </row>
    <row r="20" spans="1:9" ht="13">
      <c r="D20" s="18"/>
      <c r="E20" s="18"/>
      <c r="F20" s="19" t="s">
        <v>1220</v>
      </c>
      <c r="G20" s="37">
        <f>SUM(G17:G19)</f>
        <v>12420</v>
      </c>
    </row>
    <row r="21" spans="1:9" ht="13">
      <c r="D21" s="18"/>
      <c r="E21" s="18"/>
      <c r="F21" s="18"/>
      <c r="G21" s="23"/>
    </row>
    <row r="22" spans="1:9" ht="13">
      <c r="B22" s="11" t="s">
        <v>1223</v>
      </c>
      <c r="G22" s="24"/>
    </row>
    <row r="23" spans="1:9" ht="13">
      <c r="A23" s="119" t="s">
        <v>184</v>
      </c>
      <c r="B23" s="12" t="s">
        <v>1</v>
      </c>
      <c r="C23" s="13" t="s">
        <v>185</v>
      </c>
      <c r="D23" s="13" t="s">
        <v>1230</v>
      </c>
      <c r="E23" s="13"/>
      <c r="F23" s="13" t="s">
        <v>1233</v>
      </c>
      <c r="G23" s="25" t="s">
        <v>752</v>
      </c>
      <c r="I23" s="39"/>
    </row>
    <row r="24" spans="1:9" ht="26.5" customHeight="1">
      <c r="A24" s="125">
        <v>1</v>
      </c>
      <c r="B24" s="122" t="str">
        <f>VLOOKUP(A24,Transporte[],2,FALSE)</f>
        <v>Carga terrestre Bogotá - Teorama</v>
      </c>
      <c r="C24" s="27" t="s">
        <v>1234</v>
      </c>
      <c r="D24" s="118">
        <f>+SUM(E8:E12)</f>
        <v>30.679639999999996</v>
      </c>
      <c r="E24" s="118"/>
      <c r="F24" s="142">
        <f>VLOOKUP(A24,Transporte[],7,FALSE)</f>
        <v>214.17955999999998</v>
      </c>
      <c r="G24" s="35">
        <f>D24*F24</f>
        <v>6570.9517961583988</v>
      </c>
    </row>
    <row r="25" spans="1:9" ht="13.4" customHeight="1">
      <c r="A25" s="125">
        <v>3</v>
      </c>
      <c r="B25" s="122" t="str">
        <f>VLOOKUP(A25,Transporte[],2,FALSE)</f>
        <v>Carga terrestre Teorama - Comunidades</v>
      </c>
      <c r="C25" s="27" t="s">
        <v>1234</v>
      </c>
      <c r="D25" s="118">
        <f>+SUM(E8:E12)</f>
        <v>30.679639999999996</v>
      </c>
      <c r="E25" s="118"/>
      <c r="F25" s="142">
        <f>VLOOKUP(A25,Transporte[],7,FALSE)</f>
        <v>1491</v>
      </c>
      <c r="G25" s="35">
        <f>D25*F25</f>
        <v>45743.343239999995</v>
      </c>
    </row>
    <row r="26" spans="1:9" ht="13.4" customHeight="1">
      <c r="B26" s="26"/>
      <c r="C26" s="27"/>
      <c r="D26" s="28"/>
      <c r="E26" s="28"/>
      <c r="F26" s="35"/>
      <c r="G26" s="35"/>
    </row>
    <row r="27" spans="1:9" ht="13">
      <c r="D27" s="18"/>
      <c r="E27" s="18"/>
      <c r="F27" s="29" t="s">
        <v>1220</v>
      </c>
      <c r="G27" s="37">
        <f>SUM(G24:G26)</f>
        <v>52314.295036158393</v>
      </c>
    </row>
    <row r="28" spans="1:9" ht="13">
      <c r="D28" s="18"/>
      <c r="E28" s="18"/>
      <c r="G28" s="23"/>
    </row>
    <row r="29" spans="1:9" ht="13">
      <c r="B29" s="11" t="s">
        <v>1225</v>
      </c>
      <c r="D29" s="30"/>
      <c r="E29" s="30"/>
      <c r="F29" s="31"/>
      <c r="G29" s="24"/>
    </row>
    <row r="30" spans="1:9" s="18" customFormat="1" ht="13">
      <c r="A30" s="119" t="s">
        <v>184</v>
      </c>
      <c r="B30" s="12" t="s">
        <v>1</v>
      </c>
      <c r="C30" s="13" t="s">
        <v>1226</v>
      </c>
      <c r="D30" s="13" t="s">
        <v>1227</v>
      </c>
      <c r="E30" s="13"/>
      <c r="F30" s="13" t="s">
        <v>307</v>
      </c>
      <c r="G30" s="25" t="s">
        <v>752</v>
      </c>
    </row>
    <row r="31" spans="1:9" ht="14.5">
      <c r="A31" s="125">
        <v>1</v>
      </c>
      <c r="B31" s="122" t="str">
        <f>VLOOKUP(A31,ManoObra[],2,FALSE)</f>
        <v>Electricista</v>
      </c>
      <c r="C31" s="40">
        <f>VLOOKUP(A31,ManoObra[],7,FALSE)</f>
        <v>71863</v>
      </c>
      <c r="D31" s="22">
        <f>FP!$B$28</f>
        <v>1.61</v>
      </c>
      <c r="E31" s="22"/>
      <c r="F31" s="16">
        <f>+RENDIMIENTOS!$C$36</f>
        <v>2</v>
      </c>
      <c r="G31" s="36">
        <f>ROUND(C31*D31/F31,0)</f>
        <v>57850</v>
      </c>
      <c r="I31" s="81"/>
    </row>
    <row r="32" spans="1:9" ht="14.5">
      <c r="A32" s="125">
        <v>2</v>
      </c>
      <c r="B32" s="122" t="str">
        <f>VLOOKUP(A32,ManoObra[],2,FALSE)</f>
        <v>Ayudante</v>
      </c>
      <c r="C32" s="40">
        <f>VLOOKUP(A32,ManoObra[],7,FALSE)</f>
        <v>66050</v>
      </c>
      <c r="D32" s="22">
        <f>FP!$B$28</f>
        <v>1.61</v>
      </c>
      <c r="E32" s="22"/>
      <c r="F32" s="16">
        <f>+RENDIMIENTOS!$C$36</f>
        <v>2</v>
      </c>
      <c r="G32" s="36">
        <f>ROUND(C32*D32/F32,0)</f>
        <v>53170</v>
      </c>
      <c r="I32" s="81"/>
    </row>
    <row r="33" spans="1:7" ht="13">
      <c r="D33" s="18"/>
      <c r="E33" s="18"/>
      <c r="F33" s="29" t="s">
        <v>1220</v>
      </c>
      <c r="G33" s="42">
        <f>SUM(G31:G32)</f>
        <v>111020</v>
      </c>
    </row>
    <row r="34" spans="1:7" ht="13">
      <c r="D34" s="18"/>
      <c r="E34" s="18"/>
      <c r="G34" s="24"/>
    </row>
    <row r="35" spans="1:7" ht="12.75" customHeight="1">
      <c r="A35"/>
      <c r="D35" s="1725" t="s">
        <v>1228</v>
      </c>
      <c r="E35" s="1730"/>
      <c r="F35" s="1726"/>
      <c r="G35" s="38">
        <f>G13+G20+G27+G33</f>
        <v>11811211.295036158</v>
      </c>
    </row>
    <row r="36" spans="1:7" ht="13">
      <c r="A36" s="441"/>
      <c r="D36" s="18"/>
      <c r="E36" s="18"/>
      <c r="F36" s="10"/>
      <c r="G36" s="41"/>
    </row>
    <row r="37" spans="1:7" ht="13">
      <c r="A37" s="442"/>
      <c r="B37"/>
    </row>
    <row r="38" spans="1:7">
      <c r="B38" s="441"/>
    </row>
    <row r="39" spans="1:7">
      <c r="B39" s="441"/>
    </row>
    <row r="40" spans="1:7" ht="14">
      <c r="B40" s="840"/>
    </row>
    <row r="41" spans="1:7" ht="46.5">
      <c r="B41" s="1027" t="s">
        <v>1235</v>
      </c>
    </row>
  </sheetData>
  <mergeCells count="4">
    <mergeCell ref="B3:F3"/>
    <mergeCell ref="B4:D4"/>
    <mergeCell ref="D35:F35"/>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7">
    <tabColor theme="6" tint="0.59999389629810485"/>
  </sheetPr>
  <dimension ref="A2:E32"/>
  <sheetViews>
    <sheetView topLeftCell="A4" workbookViewId="0">
      <selection activeCell="F3" sqref="F3:F5"/>
    </sheetView>
  </sheetViews>
  <sheetFormatPr baseColWidth="10" defaultColWidth="11.453125" defaultRowHeight="12.5"/>
  <cols>
    <col min="1" max="1" width="50.81640625" bestFit="1" customWidth="1"/>
  </cols>
  <sheetData>
    <row r="2" spans="1:3" ht="13">
      <c r="A2" s="1434" t="s">
        <v>261</v>
      </c>
      <c r="B2" s="1434"/>
    </row>
    <row r="3" spans="1:3" ht="13">
      <c r="A3" s="1432" t="s">
        <v>262</v>
      </c>
      <c r="B3" s="1433"/>
    </row>
    <row r="4" spans="1:3">
      <c r="A4" s="87" t="s">
        <v>263</v>
      </c>
      <c r="B4" s="150">
        <v>4.1700000000000001E-2</v>
      </c>
    </row>
    <row r="5" spans="1:3">
      <c r="A5" s="90" t="s">
        <v>264</v>
      </c>
      <c r="B5" s="153">
        <f>SUM(B4:B4)</f>
        <v>4.1700000000000001E-2</v>
      </c>
    </row>
    <row r="6" spans="1:3" ht="13">
      <c r="A6" s="1432" t="s">
        <v>265</v>
      </c>
      <c r="B6" s="1433"/>
    </row>
    <row r="7" spans="1:3">
      <c r="A7" s="88" t="s">
        <v>266</v>
      </c>
      <c r="B7" s="150">
        <v>8.3299999999999999E-2</v>
      </c>
    </row>
    <row r="8" spans="1:3">
      <c r="A8" s="88" t="s">
        <v>267</v>
      </c>
      <c r="B8" s="150">
        <v>0.01</v>
      </c>
    </row>
    <row r="9" spans="1:3">
      <c r="A9" s="88" t="s">
        <v>268</v>
      </c>
      <c r="B9" s="150">
        <v>8.3299999999999999E-2</v>
      </c>
    </row>
    <row r="10" spans="1:3">
      <c r="A10" s="143" t="s">
        <v>269</v>
      </c>
      <c r="B10" s="153">
        <f>SUM(B7:B9)</f>
        <v>0.17659999999999998</v>
      </c>
    </row>
    <row r="11" spans="1:3" ht="13">
      <c r="A11" s="1432" t="s">
        <v>270</v>
      </c>
      <c r="B11" s="1433"/>
    </row>
    <row r="12" spans="1:3">
      <c r="A12" s="87" t="s">
        <v>271</v>
      </c>
      <c r="B12" s="150">
        <v>8.5000000000000006E-2</v>
      </c>
    </row>
    <row r="13" spans="1:3">
      <c r="A13" s="87" t="s">
        <v>272</v>
      </c>
      <c r="B13" s="150">
        <v>0.12</v>
      </c>
    </row>
    <row r="14" spans="1:3">
      <c r="A14" s="87" t="s">
        <v>273</v>
      </c>
      <c r="B14" s="150">
        <v>6.9599999999999995E-2</v>
      </c>
    </row>
    <row r="15" spans="1:3">
      <c r="A15" s="87" t="s">
        <v>274</v>
      </c>
      <c r="B15" s="150">
        <v>0.04</v>
      </c>
    </row>
    <row r="16" spans="1:3">
      <c r="A16" s="87" t="s">
        <v>275</v>
      </c>
      <c r="B16" s="150">
        <v>0</v>
      </c>
      <c r="C16" t="s">
        <v>276</v>
      </c>
    </row>
    <row r="17" spans="1:5">
      <c r="A17" s="143" t="s">
        <v>277</v>
      </c>
      <c r="B17" s="153">
        <f>SUM(B12:B16)</f>
        <v>0.31459999999999999</v>
      </c>
      <c r="E17" s="52"/>
    </row>
    <row r="18" spans="1:5" ht="13">
      <c r="A18" s="1432" t="s">
        <v>278</v>
      </c>
      <c r="B18" s="1433"/>
    </row>
    <row r="19" spans="1:5">
      <c r="A19" s="88" t="s">
        <v>279</v>
      </c>
      <c r="B19" s="150">
        <v>0.05</v>
      </c>
    </row>
    <row r="20" spans="1:5">
      <c r="A20" s="87" t="s">
        <v>280</v>
      </c>
      <c r="B20" s="150">
        <v>2.7099999999999999E-2</v>
      </c>
    </row>
    <row r="21" spans="1:5">
      <c r="A21" s="143" t="s">
        <v>281</v>
      </c>
      <c r="B21" s="153">
        <f>SUM(B19:B20)</f>
        <v>7.7100000000000002E-2</v>
      </c>
    </row>
    <row r="22" spans="1:5" ht="13">
      <c r="A22" s="1432" t="s">
        <v>282</v>
      </c>
      <c r="B22" s="1433"/>
    </row>
    <row r="23" spans="1:5">
      <c r="A23" s="87" t="s">
        <v>283</v>
      </c>
      <c r="B23" s="150">
        <v>1</v>
      </c>
    </row>
    <row r="24" spans="1:5">
      <c r="A24" s="87" t="s">
        <v>284</v>
      </c>
      <c r="B24" s="150">
        <f>B5</f>
        <v>4.1700000000000001E-2</v>
      </c>
    </row>
    <row r="25" spans="1:5">
      <c r="A25" s="87" t="s">
        <v>285</v>
      </c>
      <c r="B25" s="150">
        <f>B10</f>
        <v>0.17659999999999998</v>
      </c>
    </row>
    <row r="26" spans="1:5">
      <c r="A26" s="87" t="s">
        <v>286</v>
      </c>
      <c r="B26" s="150">
        <f>B17</f>
        <v>0.31459999999999999</v>
      </c>
    </row>
    <row r="27" spans="1:5">
      <c r="A27" s="87" t="s">
        <v>287</v>
      </c>
      <c r="B27" s="150">
        <f>B21</f>
        <v>7.7100000000000002E-2</v>
      </c>
    </row>
    <row r="28" spans="1:5" ht="13">
      <c r="A28" s="151" t="s">
        <v>288</v>
      </c>
      <c r="B28" s="152">
        <f>SUM(B23:B27)</f>
        <v>1.61</v>
      </c>
    </row>
    <row r="31" spans="1:5">
      <c r="B31" s="53"/>
    </row>
    <row r="32" spans="1:5" ht="13">
      <c r="A32" s="254"/>
      <c r="B32" s="253"/>
    </row>
  </sheetData>
  <mergeCells count="6">
    <mergeCell ref="A11:B11"/>
    <mergeCell ref="A18:B18"/>
    <mergeCell ref="A22:B22"/>
    <mergeCell ref="A2:B2"/>
    <mergeCell ref="A3:B3"/>
    <mergeCell ref="A6:B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317AB-E96B-416E-9250-D50D5182CC02}">
  <sheetPr>
    <tabColor theme="8" tint="0.59999389629810485"/>
    <pageSetUpPr fitToPage="1"/>
  </sheetPr>
  <dimension ref="A1:I38"/>
  <sheetViews>
    <sheetView view="pageBreakPreview" zoomScale="80" zoomScaleNormal="100" zoomScaleSheetLayoutView="80"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4.4"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KW'!A13,", ",'PRES MR 10 KW'!A13,", ",'PRES MR 15 KW'!A13)</f>
        <v>ITEM:  2.1.8, 3.1.8, 4.1.8</v>
      </c>
      <c r="C3" s="1728"/>
      <c r="D3" s="1728"/>
      <c r="E3" s="1728"/>
      <c r="F3" s="1728"/>
      <c r="G3" s="6" t="s">
        <v>1229</v>
      </c>
      <c r="H3" s="7"/>
    </row>
    <row r="4" spans="1:9" ht="59.15" customHeight="1">
      <c r="B4" s="1722" t="str">
        <f>+'PRES MR 5 KW'!B13</f>
        <v>Suministro, transporte e instalación de lonchera eléctrica en AC con cumplimiento retie para interruptor termomagnético monopolar de 50 A. Incluye interruptor termomagnético.</v>
      </c>
      <c r="C4" s="1723"/>
      <c r="D4" s="1724"/>
      <c r="E4" s="328"/>
      <c r="G4" s="8" t="str">
        <f>+'PRES MR 5 KW'!C13</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189</v>
      </c>
      <c r="B8" s="122" t="str">
        <f>VLOOKUP(A8,Materiales[],3,FALSE)</f>
        <v>Tablero enchufe monofásico con cumplimiento retie</v>
      </c>
      <c r="C8" s="121" t="str">
        <f>VLOOKUP(A8,Materiales[],4,FALSE)</f>
        <v>UN</v>
      </c>
      <c r="D8" s="118">
        <v>1</v>
      </c>
      <c r="E8" s="329">
        <f>VLOOKUP(A8,Materiales[],5,FALSE)*D8</f>
        <v>1.1000000000000001</v>
      </c>
      <c r="F8" s="123">
        <f>VLOOKUP(A8,Materiales[],6,FALSE)</f>
        <v>35535</v>
      </c>
      <c r="G8" s="123">
        <f>ROUND(D8*F8,0)</f>
        <v>35535</v>
      </c>
      <c r="I8" s="33"/>
    </row>
    <row r="9" spans="1:9" ht="14.5">
      <c r="A9" s="125">
        <v>169</v>
      </c>
      <c r="B9" s="122" t="str">
        <f>VLOOKUP(A9,Materiales[],3,FALSE)</f>
        <v>Interruptor termomagnético 50 A 1P 120/240 VAC 10kA</v>
      </c>
      <c r="C9" s="121" t="str">
        <f>VLOOKUP(A9,Materiales[],4,FALSE)</f>
        <v>UN</v>
      </c>
      <c r="D9" s="118">
        <v>1</v>
      </c>
      <c r="E9" s="329">
        <f>VLOOKUP(A9,Materiales[],5,FALSE)*D9</f>
        <v>0.24</v>
      </c>
      <c r="F9" s="123">
        <f>VLOOKUP(A9,Materiales[],6,FALSE)</f>
        <v>38893</v>
      </c>
      <c r="G9" s="123">
        <f t="shared" ref="G9" si="0">ROUND(D9*F9,0)</f>
        <v>38893</v>
      </c>
      <c r="I9" s="33"/>
    </row>
    <row r="10" spans="1:9" ht="13">
      <c r="D10" s="18"/>
      <c r="E10" s="18"/>
      <c r="F10" s="29" t="s">
        <v>1220</v>
      </c>
      <c r="G10" s="42">
        <f>SUM(G8:G9)</f>
        <v>74428</v>
      </c>
    </row>
    <row r="12" spans="1:9" ht="13">
      <c r="B12" s="20" t="s">
        <v>1221</v>
      </c>
      <c r="G12" s="39"/>
    </row>
    <row r="13" spans="1:9" ht="13">
      <c r="A13" s="119" t="s">
        <v>184</v>
      </c>
      <c r="B13" s="120" t="s">
        <v>1</v>
      </c>
      <c r="C13" s="13" t="s">
        <v>1231</v>
      </c>
      <c r="D13" s="13" t="s">
        <v>1222</v>
      </c>
      <c r="E13" s="13"/>
      <c r="F13" s="13" t="s">
        <v>307</v>
      </c>
      <c r="G13" s="13" t="s">
        <v>752</v>
      </c>
    </row>
    <row r="14" spans="1:9" ht="14.5">
      <c r="A14" s="125">
        <v>1</v>
      </c>
      <c r="B14" s="122" t="str">
        <f>VLOOKUP(A14,Equip.Herram[],2,FALSE)</f>
        <v>Herramienta menor</v>
      </c>
      <c r="C14" s="15" t="str">
        <f>VLOOKUP(A14,Equip.Herram[],3,FALSE)</f>
        <v>UN</v>
      </c>
      <c r="D14" s="36">
        <f>VLOOKUP(A14,Equip.Herram[],4,FALSE)</f>
        <v>24840</v>
      </c>
      <c r="E14" s="36"/>
      <c r="F14" s="16">
        <f>+RENDIMIENTOS!$C$37</f>
        <v>3</v>
      </c>
      <c r="G14" s="36">
        <f>ROUND(D14/F14,0)</f>
        <v>8280</v>
      </c>
    </row>
    <row r="15" spans="1:9">
      <c r="B15" s="14"/>
      <c r="C15" s="15"/>
      <c r="D15" s="17"/>
      <c r="E15" s="17"/>
      <c r="F15" s="22"/>
      <c r="G15" s="21"/>
    </row>
    <row r="16" spans="1:9">
      <c r="B16" s="14"/>
      <c r="C16" s="15"/>
      <c r="D16" s="17"/>
      <c r="E16" s="17"/>
      <c r="F16" s="22"/>
      <c r="G16" s="21"/>
    </row>
    <row r="17" spans="1:9" ht="13">
      <c r="D17" s="18"/>
      <c r="E17" s="18"/>
      <c r="F17" s="19" t="s">
        <v>1220</v>
      </c>
      <c r="G17" s="37">
        <f>SUM(G14:G16)</f>
        <v>8280</v>
      </c>
    </row>
    <row r="18" spans="1:9" ht="13">
      <c r="D18" s="18"/>
      <c r="E18" s="18"/>
      <c r="F18" s="18"/>
      <c r="G18" s="23"/>
    </row>
    <row r="19" spans="1:9" ht="13">
      <c r="B19" s="11" t="s">
        <v>1223</v>
      </c>
      <c r="G19" s="24"/>
    </row>
    <row r="20" spans="1:9" ht="13">
      <c r="A20" s="119" t="s">
        <v>184</v>
      </c>
      <c r="B20" s="12" t="s">
        <v>1</v>
      </c>
      <c r="C20" s="13" t="s">
        <v>185</v>
      </c>
      <c r="D20" s="13" t="s">
        <v>1230</v>
      </c>
      <c r="E20" s="13"/>
      <c r="F20" s="13" t="s">
        <v>1233</v>
      </c>
      <c r="G20" s="25" t="s">
        <v>752</v>
      </c>
      <c r="I20" s="39"/>
    </row>
    <row r="21" spans="1:9" ht="26.5" customHeight="1">
      <c r="A21" s="125">
        <v>1</v>
      </c>
      <c r="B21" s="122" t="str">
        <f>VLOOKUP(A21,Transporte[],2,FALSE)</f>
        <v>Carga terrestre Bogotá - Teorama</v>
      </c>
      <c r="C21" s="27" t="s">
        <v>1234</v>
      </c>
      <c r="D21" s="118">
        <f>+SUM(E8:E9)</f>
        <v>1.34</v>
      </c>
      <c r="E21" s="118"/>
      <c r="F21" s="142">
        <f>VLOOKUP(A21,Transporte[],7,FALSE)</f>
        <v>214.17955999999998</v>
      </c>
      <c r="G21" s="35">
        <f>D21*F21</f>
        <v>287.00061039999997</v>
      </c>
    </row>
    <row r="22" spans="1:9" ht="13.4" customHeight="1">
      <c r="A22" s="125">
        <v>3</v>
      </c>
      <c r="B22" s="122" t="str">
        <f>VLOOKUP(A22,Transporte[],2,FALSE)</f>
        <v>Carga terrestre Teorama - Comunidades</v>
      </c>
      <c r="C22" s="27" t="s">
        <v>1234</v>
      </c>
      <c r="D22" s="118">
        <f>+SUM(E8:E9)</f>
        <v>1.34</v>
      </c>
      <c r="E22" s="118"/>
      <c r="F22" s="142">
        <f>VLOOKUP(A22,Transporte[],7,FALSE)</f>
        <v>1491</v>
      </c>
      <c r="G22" s="35">
        <f>D22*F22</f>
        <v>1997.94</v>
      </c>
    </row>
    <row r="23" spans="1:9" ht="13.4" customHeight="1">
      <c r="B23" s="26"/>
      <c r="C23" s="27"/>
      <c r="D23" s="28"/>
      <c r="E23" s="28"/>
      <c r="F23" s="35"/>
      <c r="G23" s="35"/>
    </row>
    <row r="24" spans="1:9" ht="13">
      <c r="D24" s="18"/>
      <c r="E24" s="18"/>
      <c r="F24" s="29" t="s">
        <v>1220</v>
      </c>
      <c r="G24" s="37">
        <f>SUM(G21:G23)</f>
        <v>2284.9406104</v>
      </c>
    </row>
    <row r="25" spans="1:9" ht="13">
      <c r="D25" s="18"/>
      <c r="E25" s="18"/>
      <c r="G25" s="23"/>
    </row>
    <row r="26" spans="1:9" ht="13">
      <c r="B26" s="11" t="s">
        <v>1225</v>
      </c>
      <c r="D26" s="30"/>
      <c r="E26" s="30"/>
      <c r="F26" s="31"/>
      <c r="G26" s="24"/>
    </row>
    <row r="27" spans="1:9" s="18" customFormat="1" ht="13">
      <c r="A27" s="119" t="s">
        <v>184</v>
      </c>
      <c r="B27" s="12" t="s">
        <v>1</v>
      </c>
      <c r="C27" s="13" t="s">
        <v>1226</v>
      </c>
      <c r="D27" s="13" t="s">
        <v>1227</v>
      </c>
      <c r="E27" s="13"/>
      <c r="F27" s="13" t="s">
        <v>307</v>
      </c>
      <c r="G27" s="25" t="s">
        <v>752</v>
      </c>
    </row>
    <row r="28" spans="1:9" ht="14.5">
      <c r="A28" s="125">
        <v>1</v>
      </c>
      <c r="B28" s="122" t="str">
        <f>VLOOKUP(A28,ManoObra[],2,FALSE)</f>
        <v>Electricista</v>
      </c>
      <c r="C28" s="40">
        <f>VLOOKUP(A28,ManoObra[],7,FALSE)</f>
        <v>71863</v>
      </c>
      <c r="D28" s="22">
        <f>FP!$B$28</f>
        <v>1.61</v>
      </c>
      <c r="E28" s="22"/>
      <c r="F28" s="16">
        <f>+RENDIMIENTOS!$C$37</f>
        <v>3</v>
      </c>
      <c r="G28" s="36">
        <f>ROUND(C28*D28/F28,0)</f>
        <v>38566</v>
      </c>
      <c r="I28" s="81"/>
    </row>
    <row r="29" spans="1:9" ht="14.5">
      <c r="A29" s="125">
        <v>2</v>
      </c>
      <c r="B29" s="122" t="str">
        <f>VLOOKUP(A29,ManoObra[],2,FALSE)</f>
        <v>Ayudante</v>
      </c>
      <c r="C29" s="40">
        <f>VLOOKUP(A29,ManoObra[],7,FALSE)</f>
        <v>66050</v>
      </c>
      <c r="D29" s="22">
        <f>FP!$B$28</f>
        <v>1.61</v>
      </c>
      <c r="E29" s="22"/>
      <c r="F29" s="16">
        <f>+RENDIMIENTOS!$C$37</f>
        <v>3</v>
      </c>
      <c r="G29" s="36">
        <f>ROUND(C29*D29/F29,0)</f>
        <v>35447</v>
      </c>
      <c r="I29" s="81"/>
    </row>
    <row r="30" spans="1:9" ht="13">
      <c r="D30" s="18"/>
      <c r="E30" s="18"/>
      <c r="F30" s="29" t="s">
        <v>1220</v>
      </c>
      <c r="G30" s="42">
        <f>SUM(G28:G29)</f>
        <v>74013</v>
      </c>
    </row>
    <row r="31" spans="1:9" ht="13">
      <c r="D31" s="18"/>
      <c r="E31" s="18"/>
      <c r="G31" s="24"/>
    </row>
    <row r="32" spans="1:9" ht="12.75" customHeight="1">
      <c r="A32"/>
      <c r="D32" s="1725" t="s">
        <v>1228</v>
      </c>
      <c r="E32" s="1730"/>
      <c r="F32" s="1726"/>
      <c r="G32" s="38">
        <f>G10+G17+G24+G30</f>
        <v>159005.94061039999</v>
      </c>
    </row>
    <row r="33" spans="1:7" ht="13">
      <c r="A33" s="441"/>
      <c r="D33" s="18"/>
      <c r="E33" s="18"/>
      <c r="F33" s="10"/>
      <c r="G33" s="41"/>
    </row>
    <row r="34" spans="1:7" ht="13">
      <c r="A34" s="442"/>
      <c r="B34"/>
    </row>
    <row r="35" spans="1:7">
      <c r="B35" s="441"/>
    </row>
    <row r="36" spans="1:7">
      <c r="B36" s="441"/>
    </row>
    <row r="37" spans="1:7" ht="14">
      <c r="B37" s="840"/>
    </row>
    <row r="38" spans="1:7" ht="46.5">
      <c r="B38" s="1027" t="s">
        <v>1235</v>
      </c>
    </row>
  </sheetData>
  <mergeCells count="4">
    <mergeCell ref="B3:F3"/>
    <mergeCell ref="B4:D4"/>
    <mergeCell ref="D32:F32"/>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E10B6-99D0-47D6-95C3-C698DF02FE49}">
  <sheetPr>
    <tabColor theme="9" tint="0.59999389629810485"/>
    <pageSetUpPr fitToPage="1"/>
  </sheetPr>
  <dimension ref="A1:I39"/>
  <sheetViews>
    <sheetView view="pageBreakPreview" zoomScale="80" zoomScaleNormal="100" zoomScaleSheetLayoutView="80"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0.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KW'!A14,"")</f>
        <v>ITEM:  2.1.9</v>
      </c>
      <c r="C3" s="1728"/>
      <c r="D3" s="1728"/>
      <c r="E3" s="1728"/>
      <c r="F3" s="1728"/>
      <c r="G3" s="6" t="s">
        <v>1229</v>
      </c>
      <c r="H3" s="7"/>
    </row>
    <row r="4" spans="1:9" ht="78.75" customHeight="1">
      <c r="B4" s="1722" t="str">
        <f>+'PRES MR 5 KW'!B14</f>
        <v>Suministro, transporte e instalación de autotransformador tipo SPLIT de 5 kVA 120/240 V</v>
      </c>
      <c r="C4" s="1723"/>
      <c r="D4" s="1724"/>
      <c r="E4" s="328"/>
      <c r="G4" s="8" t="str">
        <f>+'PRES MR 5 KW'!C14</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398</v>
      </c>
      <c r="B8" s="122" t="str">
        <f>VLOOKUP(A8,Materiales[],3,FALSE)</f>
        <v xml:space="preserve">Autotransformador 5 kVA trifásico, IP40 Y/Y 120/208 V </v>
      </c>
      <c r="C8" s="121" t="str">
        <f>VLOOKUP(A8,Materiales[],4,FALSE)</f>
        <v>UN</v>
      </c>
      <c r="D8" s="118">
        <v>1</v>
      </c>
      <c r="E8" s="329">
        <f>VLOOKUP(A8,Materiales[],5,FALSE)*D8</f>
        <v>162</v>
      </c>
      <c r="F8" s="123">
        <f>VLOOKUP(A8,Materiales[],6,FALSE)</f>
        <v>3295600</v>
      </c>
      <c r="G8" s="123">
        <f>ROUND(D8*F8,0)</f>
        <v>3295600</v>
      </c>
      <c r="I8" s="33"/>
    </row>
    <row r="9" spans="1:9" ht="22.5" customHeight="1">
      <c r="A9" s="125">
        <v>24</v>
      </c>
      <c r="B9" s="122" t="str">
        <f>VLOOKUP(A9,Materiales[],3,FALSE)</f>
        <v>Borna para ponchar varios calibres y terminales</v>
      </c>
      <c r="C9" s="121" t="str">
        <f>VLOOKUP(A9,Materiales[],4,FALSE)</f>
        <v>UN</v>
      </c>
      <c r="D9" s="118">
        <v>5</v>
      </c>
      <c r="E9" s="329">
        <f>VLOOKUP(A9,Materiales[],5,FALSE)*D9</f>
        <v>0.04</v>
      </c>
      <c r="F9" s="123">
        <f>VLOOKUP(A9,Materiales[],6,FALSE)</f>
        <v>2111</v>
      </c>
      <c r="G9" s="123">
        <f t="shared" ref="G9:G10" si="0">ROUND(D9*F9,0)</f>
        <v>10555</v>
      </c>
      <c r="I9" s="33"/>
    </row>
    <row r="10" spans="1:9" ht="22.5" customHeight="1">
      <c r="A10" s="125">
        <v>25</v>
      </c>
      <c r="B10" s="122" t="str">
        <f>VLOOKUP(A10,Materiales[],3,FALSE)</f>
        <v>Tubo termoencogible. Distintos calibres, distintos colores</v>
      </c>
      <c r="C10" s="121" t="str">
        <f>VLOOKUP(A10,Materiales[],4,FALSE)</f>
        <v>UN</v>
      </c>
      <c r="D10" s="118">
        <v>5</v>
      </c>
      <c r="E10" s="329">
        <f>VLOOKUP(A10,Materiales[],5,FALSE)*D10</f>
        <v>0.04</v>
      </c>
      <c r="F10" s="123">
        <f>VLOOKUP(A10,Materiales[],6,FALSE)</f>
        <v>3680</v>
      </c>
      <c r="G10" s="123">
        <f t="shared" si="0"/>
        <v>18400</v>
      </c>
      <c r="I10" s="33"/>
    </row>
    <row r="11" spans="1:9" ht="13">
      <c r="D11" s="18"/>
      <c r="E11" s="18"/>
      <c r="F11" s="29" t="s">
        <v>1220</v>
      </c>
      <c r="G11" s="42">
        <f>SUM(G8:G10)</f>
        <v>3324555</v>
      </c>
    </row>
    <row r="13" spans="1:9" ht="13">
      <c r="B13" s="20" t="s">
        <v>1221</v>
      </c>
      <c r="G13" s="39"/>
    </row>
    <row r="14" spans="1:9" ht="13">
      <c r="A14" s="119" t="s">
        <v>184</v>
      </c>
      <c r="B14" s="120" t="s">
        <v>1</v>
      </c>
      <c r="C14" s="13" t="s">
        <v>1231</v>
      </c>
      <c r="D14" s="13" t="s">
        <v>1222</v>
      </c>
      <c r="E14" s="13"/>
      <c r="F14" s="13" t="s">
        <v>307</v>
      </c>
      <c r="G14" s="13" t="s">
        <v>752</v>
      </c>
    </row>
    <row r="15" spans="1:9" ht="14.5">
      <c r="A15" s="125">
        <v>1</v>
      </c>
      <c r="B15" s="122" t="str">
        <f>VLOOKUP(A15,Equip.Herram[],2,FALSE)</f>
        <v>Herramienta menor</v>
      </c>
      <c r="C15" s="15" t="str">
        <f>VLOOKUP(A15,Equip.Herram[],3,FALSE)</f>
        <v>UN</v>
      </c>
      <c r="D15" s="36">
        <f>VLOOKUP(A15,Equip.Herram[],4,FALSE)</f>
        <v>24840</v>
      </c>
      <c r="E15" s="36"/>
      <c r="F15" s="16">
        <f>+RENDIMIENTOS!$C$38</f>
        <v>3</v>
      </c>
      <c r="G15" s="36">
        <f>ROUND(D15/F15,0)</f>
        <v>8280</v>
      </c>
    </row>
    <row r="16" spans="1:9">
      <c r="B16" s="14"/>
      <c r="C16" s="15"/>
      <c r="D16" s="17"/>
      <c r="E16" s="17"/>
      <c r="F16" s="22"/>
      <c r="G16" s="21"/>
    </row>
    <row r="17" spans="1:9">
      <c r="B17" s="14"/>
      <c r="C17" s="15"/>
      <c r="D17" s="17"/>
      <c r="E17" s="17"/>
      <c r="F17" s="22"/>
      <c r="G17" s="21"/>
    </row>
    <row r="18" spans="1:9" ht="13">
      <c r="D18" s="18"/>
      <c r="E18" s="18"/>
      <c r="F18" s="19" t="s">
        <v>1220</v>
      </c>
      <c r="G18" s="37">
        <f>SUM(G15:G17)</f>
        <v>8280</v>
      </c>
    </row>
    <row r="19" spans="1:9" ht="13">
      <c r="D19" s="18"/>
      <c r="E19" s="18"/>
      <c r="F19" s="18"/>
      <c r="G19" s="23"/>
    </row>
    <row r="20" spans="1:9" ht="13">
      <c r="B20" s="11" t="s">
        <v>1223</v>
      </c>
      <c r="G20" s="24"/>
    </row>
    <row r="21" spans="1:9" ht="13">
      <c r="A21" s="119" t="s">
        <v>184</v>
      </c>
      <c r="B21" s="12" t="s">
        <v>1</v>
      </c>
      <c r="C21" s="13" t="s">
        <v>185</v>
      </c>
      <c r="D21" s="13" t="s">
        <v>1230</v>
      </c>
      <c r="E21" s="13"/>
      <c r="F21" s="13" t="s">
        <v>1233</v>
      </c>
      <c r="G21" s="25" t="s">
        <v>752</v>
      </c>
      <c r="I21" s="39"/>
    </row>
    <row r="22" spans="1:9" ht="26.5" customHeight="1">
      <c r="A22" s="125">
        <v>1</v>
      </c>
      <c r="B22" s="122" t="str">
        <f>VLOOKUP(A22,Transporte[],2,FALSE)</f>
        <v>Carga terrestre Bogotá - Teorama</v>
      </c>
      <c r="C22" s="27" t="s">
        <v>1234</v>
      </c>
      <c r="D22" s="118">
        <f>+SUM(E8:E10)</f>
        <v>162.07999999999998</v>
      </c>
      <c r="E22" s="118"/>
      <c r="F22" s="142">
        <f>VLOOKUP(A22,Transporte[],7,FALSE)</f>
        <v>214.17955999999998</v>
      </c>
      <c r="G22" s="35">
        <f>D22*F22</f>
        <v>34714.223084799996</v>
      </c>
    </row>
    <row r="23" spans="1:9" ht="13.4" customHeight="1">
      <c r="A23" s="125">
        <v>3</v>
      </c>
      <c r="B23" s="122" t="str">
        <f>VLOOKUP(A23,Transporte[],2,FALSE)</f>
        <v>Carga terrestre Teorama - Comunidades</v>
      </c>
      <c r="C23" s="27" t="s">
        <v>1234</v>
      </c>
      <c r="D23" s="118">
        <f>+SUM(E8:E10)</f>
        <v>162.07999999999998</v>
      </c>
      <c r="E23" s="118"/>
      <c r="F23" s="142">
        <f>VLOOKUP(A23,Transporte[],7,FALSE)</f>
        <v>1491</v>
      </c>
      <c r="G23" s="35">
        <f>D23*F23</f>
        <v>241661.27999999997</v>
      </c>
    </row>
    <row r="24" spans="1:9" ht="13.4" customHeight="1">
      <c r="B24" s="26"/>
      <c r="C24" s="27"/>
      <c r="D24" s="28"/>
      <c r="E24" s="28"/>
      <c r="F24" s="35"/>
      <c r="G24" s="35"/>
    </row>
    <row r="25" spans="1:9" ht="13">
      <c r="D25" s="18"/>
      <c r="E25" s="18"/>
      <c r="F25" s="29" t="s">
        <v>1220</v>
      </c>
      <c r="G25" s="37">
        <f>SUM(G22:G24)</f>
        <v>276375.50308479997</v>
      </c>
    </row>
    <row r="26" spans="1:9" ht="13">
      <c r="D26" s="18"/>
      <c r="E26" s="18"/>
      <c r="G26" s="23"/>
    </row>
    <row r="27" spans="1:9" ht="13">
      <c r="B27" s="11" t="s">
        <v>1225</v>
      </c>
      <c r="D27" s="30"/>
      <c r="E27" s="30"/>
      <c r="F27" s="31"/>
      <c r="G27" s="24"/>
    </row>
    <row r="28" spans="1:9" s="18" customFormat="1" ht="13">
      <c r="A28" s="119" t="s">
        <v>184</v>
      </c>
      <c r="B28" s="12" t="s">
        <v>1</v>
      </c>
      <c r="C28" s="13" t="s">
        <v>1226</v>
      </c>
      <c r="D28" s="13" t="s">
        <v>1227</v>
      </c>
      <c r="E28" s="13"/>
      <c r="F28" s="13" t="s">
        <v>307</v>
      </c>
      <c r="G28" s="25" t="s">
        <v>752</v>
      </c>
    </row>
    <row r="29" spans="1:9" ht="14.5">
      <c r="A29" s="125">
        <v>1</v>
      </c>
      <c r="B29" s="122" t="str">
        <f>VLOOKUP(A29,ManoObra[],2,FALSE)</f>
        <v>Electricista</v>
      </c>
      <c r="C29" s="40">
        <f>VLOOKUP(A29,ManoObra[],7,FALSE)</f>
        <v>71863</v>
      </c>
      <c r="D29" s="22">
        <f>FP!$B$28</f>
        <v>1.61</v>
      </c>
      <c r="E29" s="22"/>
      <c r="F29" s="16">
        <f>+RENDIMIENTOS!$C$38</f>
        <v>3</v>
      </c>
      <c r="G29" s="36">
        <f>ROUND(C29*D29/F29,0)</f>
        <v>38566</v>
      </c>
      <c r="I29" s="81"/>
    </row>
    <row r="30" spans="1:9" ht="14.5">
      <c r="A30" s="125">
        <v>2</v>
      </c>
      <c r="B30" s="122" t="str">
        <f>VLOOKUP(A30,ManoObra[],2,FALSE)</f>
        <v>Ayudante</v>
      </c>
      <c r="C30" s="40">
        <f>VLOOKUP(A30,ManoObra[],7,FALSE)</f>
        <v>66050</v>
      </c>
      <c r="D30" s="22">
        <f>FP!$B$28</f>
        <v>1.61</v>
      </c>
      <c r="E30" s="22"/>
      <c r="F30" s="16">
        <f>+RENDIMIENTOS!$C$38</f>
        <v>3</v>
      </c>
      <c r="G30" s="36">
        <f>ROUND(C30*D30/F30,0)</f>
        <v>35447</v>
      </c>
      <c r="I30" s="81"/>
    </row>
    <row r="31" spans="1:9" ht="13">
      <c r="D31" s="18"/>
      <c r="E31" s="18"/>
      <c r="F31" s="29" t="s">
        <v>1220</v>
      </c>
      <c r="G31" s="42">
        <f>SUM(G29:G30)</f>
        <v>74013</v>
      </c>
    </row>
    <row r="32" spans="1:9" ht="13">
      <c r="D32" s="18"/>
      <c r="E32" s="18"/>
      <c r="G32" s="24"/>
    </row>
    <row r="33" spans="1:7" ht="12.75" customHeight="1">
      <c r="A33"/>
      <c r="D33" s="1725" t="s">
        <v>1228</v>
      </c>
      <c r="E33" s="1730"/>
      <c r="F33" s="1726"/>
      <c r="G33" s="38">
        <f>G11+G18+G25+G31</f>
        <v>3683223.5030848002</v>
      </c>
    </row>
    <row r="34" spans="1:7" ht="13">
      <c r="A34" s="441"/>
      <c r="D34" s="18"/>
      <c r="E34" s="18"/>
      <c r="F34" s="10"/>
      <c r="G34" s="41"/>
    </row>
    <row r="35" spans="1:7" ht="13">
      <c r="A35" s="442"/>
      <c r="B35"/>
    </row>
    <row r="36" spans="1:7">
      <c r="B36" s="441"/>
    </row>
    <row r="37" spans="1:7">
      <c r="B37" s="441"/>
    </row>
    <row r="38" spans="1:7" ht="14">
      <c r="B38" s="840"/>
    </row>
    <row r="39" spans="1:7" ht="46.5">
      <c r="B39" s="1027" t="s">
        <v>1235</v>
      </c>
    </row>
  </sheetData>
  <mergeCells count="4">
    <mergeCell ref="B3:F3"/>
    <mergeCell ref="B4:D4"/>
    <mergeCell ref="D33:F33"/>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0162A-9A3C-4E54-A947-288CA84C3B0B}">
  <sheetPr>
    <tabColor rgb="FFFF0000"/>
    <pageSetUpPr fitToPage="1"/>
  </sheetPr>
  <dimension ref="A1:I49"/>
  <sheetViews>
    <sheetView view="pageBreakPreview" zoomScale="80" zoomScaleNormal="100" zoomScaleSheetLayoutView="80"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1.4"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KW'!A15)</f>
        <v>ITEM:  2.1.10</v>
      </c>
      <c r="C3" s="1728"/>
      <c r="D3" s="1728"/>
      <c r="E3" s="1728"/>
      <c r="F3" s="1728"/>
      <c r="G3" s="6" t="s">
        <v>1229</v>
      </c>
      <c r="H3" s="7"/>
    </row>
    <row r="4" spans="1:9" ht="78.75" customHeight="1">
      <c r="B4" s="1722" t="str">
        <f>+'PRES MR 5 KW'!B15</f>
        <v>Suministro, transporte e instalación de tablero de distribución en AC, para 6 circuitos. Incluye barrajes de 80 A para sistema monofásico trifilar, DPS tipo 2, protección de entrada de 50 A 120 VAC y protecciones de circuitos de 20 A y 16 A.</v>
      </c>
      <c r="C4" s="1723"/>
      <c r="D4" s="1724"/>
      <c r="E4" s="328"/>
      <c r="G4" s="8" t="str">
        <f>+'PRES MR 5 KW'!C15</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37.5">
      <c r="A8" s="125">
        <v>36</v>
      </c>
      <c r="B8" s="122" t="str">
        <f>VLOOKUP(A8,Materiales[],3,FALSE)</f>
        <v>Gabinete eléctrico metálico con cumplimiento RETIE, con revestimiento eléctrostatico de dimensiones 250x700x100 IP66 Doble fondo.</v>
      </c>
      <c r="C8" s="121" t="str">
        <f>VLOOKUP(A8,Materiales[],4,FALSE)</f>
        <v>UN</v>
      </c>
      <c r="D8" s="118">
        <v>1</v>
      </c>
      <c r="E8" s="329">
        <f>VLOOKUP(A8,Materiales[],5,FALSE)*D8</f>
        <v>15</v>
      </c>
      <c r="F8" s="123">
        <f>VLOOKUP(A8,Materiales[],6,FALSE)</f>
        <v>204447</v>
      </c>
      <c r="G8" s="123">
        <f>ROUND(D8*F8,0)</f>
        <v>204447</v>
      </c>
      <c r="I8" s="33"/>
    </row>
    <row r="9" spans="1:9" ht="25.5" customHeight="1">
      <c r="A9" s="125">
        <v>190</v>
      </c>
      <c r="B9" s="122" t="str">
        <f>VLOOKUP(A9,Materiales[],3,FALSE)</f>
        <v>Barraje de cobre tropicalizado de 80 A para 16 conexiones</v>
      </c>
      <c r="C9" s="121" t="str">
        <f>VLOOKUP(A9,Materiales[],4,FALSE)</f>
        <v>UN</v>
      </c>
      <c r="D9" s="118">
        <v>3</v>
      </c>
      <c r="E9" s="329">
        <f>VLOOKUP(A9,Materiales[],5,FALSE)*D9</f>
        <v>1.2000000000000002</v>
      </c>
      <c r="F9" s="123">
        <f>VLOOKUP(A9,Materiales[],6,FALSE)</f>
        <v>27538</v>
      </c>
      <c r="G9" s="123">
        <f t="shared" ref="G9:G18" si="0">ROUND(D9*F9,0)</f>
        <v>82614</v>
      </c>
      <c r="I9" s="33"/>
    </row>
    <row r="10" spans="1:9" ht="14.5">
      <c r="A10" s="125">
        <v>124</v>
      </c>
      <c r="B10" s="122" t="str">
        <f>VLOOKUP(A10,Materiales[],3,FALSE)</f>
        <v>Cable Cu THHN 12 AWG</v>
      </c>
      <c r="C10" s="121" t="str">
        <f>VLOOKUP(A10,Materiales[],4,FALSE)</f>
        <v>ML</v>
      </c>
      <c r="D10" s="332">
        <v>6.2</v>
      </c>
      <c r="E10" s="329">
        <f>VLOOKUP(A10,Materiales[],5,FALSE)*D10</f>
        <v>0.21080000000000002</v>
      </c>
      <c r="F10" s="123">
        <f>VLOOKUP(A10,Materiales[],6,FALSE)</f>
        <v>3260</v>
      </c>
      <c r="G10" s="123">
        <f t="shared" si="0"/>
        <v>20212</v>
      </c>
      <c r="I10" s="33"/>
    </row>
    <row r="11" spans="1:9" ht="14.5">
      <c r="A11" s="125">
        <v>186</v>
      </c>
      <c r="B11" s="122" t="str">
        <f>VLOOKUP(A11,Materiales[],3,FALSE)</f>
        <v>Interruptor termomagnético 50 A 2P 120/240 VAC 10kA</v>
      </c>
      <c r="C11" s="121" t="str">
        <f>VLOOKUP(A11,Materiales[],4,FALSE)</f>
        <v>UN</v>
      </c>
      <c r="D11" s="118">
        <v>1</v>
      </c>
      <c r="E11" s="329">
        <f>VLOOKUP(A11,Materiales[],5,FALSE)*D11</f>
        <v>0.48</v>
      </c>
      <c r="F11" s="123">
        <f>VLOOKUP(A11,Materiales[],6,FALSE)</f>
        <v>40250</v>
      </c>
      <c r="G11" s="123">
        <f t="shared" si="0"/>
        <v>40250</v>
      </c>
      <c r="I11" s="33"/>
    </row>
    <row r="12" spans="1:9" ht="25">
      <c r="A12" s="125">
        <v>242</v>
      </c>
      <c r="B12" s="122" t="str">
        <f>VLOOKUP(A12,Materiales[],3,FALSE)</f>
        <v xml:space="preserve">Interruptor termomagnético 20A 2P 120/240V VAC 10 Ka </v>
      </c>
      <c r="C12" s="121" t="str">
        <f>VLOOKUP(A12,Materiales[],4,FALSE)</f>
        <v>UN</v>
      </c>
      <c r="D12" s="118">
        <v>5</v>
      </c>
      <c r="E12" s="329">
        <f>VLOOKUP(A12,Materiales[],5,FALSE)*D12</f>
        <v>1</v>
      </c>
      <c r="F12" s="123">
        <f>VLOOKUP(A12,Materiales[],6,FALSE)</f>
        <v>65780</v>
      </c>
      <c r="G12" s="123">
        <f t="shared" si="0"/>
        <v>328900</v>
      </c>
      <c r="I12" s="33"/>
    </row>
    <row r="13" spans="1:9" ht="14.5">
      <c r="A13" s="125">
        <v>42</v>
      </c>
      <c r="B13" s="122" t="str">
        <f>VLOOKUP(A13,Materiales[],3,FALSE)</f>
        <v>Interruptor termomagnético 16 A 1P 120/240 VAC 10kA</v>
      </c>
      <c r="C13" s="121" t="str">
        <f>VLOOKUP(A13,Materiales[],4,FALSE)</f>
        <v>UN</v>
      </c>
      <c r="D13" s="118">
        <v>1</v>
      </c>
      <c r="E13" s="329">
        <f>VLOOKUP(A13,Materiales[],5,FALSE)*D13</f>
        <v>0.24</v>
      </c>
      <c r="F13" s="123">
        <f>VLOOKUP(A13,Materiales[],6,FALSE)</f>
        <v>29153</v>
      </c>
      <c r="G13" s="123">
        <f t="shared" si="0"/>
        <v>29153</v>
      </c>
      <c r="I13" s="33"/>
    </row>
    <row r="14" spans="1:9" ht="14.5">
      <c r="A14" s="125">
        <v>24</v>
      </c>
      <c r="B14" s="122" t="str">
        <f>VLOOKUP(A14,Materiales[],3,FALSE)</f>
        <v>Borna para ponchar varios calibres y terminales</v>
      </c>
      <c r="C14" s="121" t="str">
        <f>VLOOKUP(A14,Materiales[],4,FALSE)</f>
        <v>UN</v>
      </c>
      <c r="D14" s="118">
        <v>29</v>
      </c>
      <c r="E14" s="329">
        <f>VLOOKUP(A14,Materiales[],5,FALSE)*D14</f>
        <v>0.23200000000000001</v>
      </c>
      <c r="F14" s="123">
        <f>VLOOKUP(A14,Materiales[],6,FALSE)</f>
        <v>2111</v>
      </c>
      <c r="G14" s="123">
        <f t="shared" si="0"/>
        <v>61219</v>
      </c>
      <c r="I14" s="33"/>
    </row>
    <row r="15" spans="1:9" ht="25">
      <c r="A15" s="125">
        <v>25</v>
      </c>
      <c r="B15" s="122" t="str">
        <f>VLOOKUP(A15,Materiales[],3,FALSE)</f>
        <v>Tubo termoencogible. Distintos calibres, distintos colores</v>
      </c>
      <c r="C15" s="121" t="str">
        <f>VLOOKUP(A15,Materiales[],4,FALSE)</f>
        <v>UN</v>
      </c>
      <c r="D15" s="118">
        <v>29</v>
      </c>
      <c r="E15" s="329">
        <f>VLOOKUP(A15,Materiales[],5,FALSE)*D15</f>
        <v>0.23200000000000001</v>
      </c>
      <c r="F15" s="123">
        <f>VLOOKUP(A15,Materiales[],6,FALSE)</f>
        <v>3680</v>
      </c>
      <c r="G15" s="123">
        <f t="shared" si="0"/>
        <v>106720</v>
      </c>
      <c r="I15" s="33"/>
    </row>
    <row r="16" spans="1:9" ht="14.5">
      <c r="A16" s="125">
        <v>243</v>
      </c>
      <c r="B16" s="122" t="str">
        <f>VLOOKUP(A16,Materiales[],3,FALSE)</f>
        <v>DPS- Señalizacion Tipo 2 2P 150 Uc 20-40 kA</v>
      </c>
      <c r="C16" s="121" t="str">
        <f>VLOOKUP(A16,Materiales[],4,FALSE)</f>
        <v>UN</v>
      </c>
      <c r="D16" s="118">
        <v>1</v>
      </c>
      <c r="E16" s="329">
        <f>VLOOKUP(A16,Materiales[],5,FALSE)*D16</f>
        <v>0.24</v>
      </c>
      <c r="F16" s="123">
        <f>VLOOKUP(A16,Materiales[],6,FALSE)</f>
        <v>755412</v>
      </c>
      <c r="G16" s="123">
        <f t="shared" si="0"/>
        <v>755412</v>
      </c>
      <c r="I16" s="33"/>
    </row>
    <row r="17" spans="1:9" ht="14.5">
      <c r="A17" s="125">
        <v>10</v>
      </c>
      <c r="B17" s="122" t="str">
        <f>VLOOKUP(A17,Materiales[],3,FALSE)</f>
        <v>Riel DIN 35 mm x 7.5 mm</v>
      </c>
      <c r="C17" s="121" t="str">
        <f>VLOOKUP(A17,Materiales[],4,FALSE)</f>
        <v>ML</v>
      </c>
      <c r="D17" s="118">
        <v>2</v>
      </c>
      <c r="E17" s="329">
        <f>VLOOKUP(A17,Materiales[],5,FALSE)*D17</f>
        <v>0.6</v>
      </c>
      <c r="F17" s="123">
        <f>VLOOKUP(A17,Materiales[],6,FALSE)</f>
        <v>10732</v>
      </c>
      <c r="G17" s="123">
        <f t="shared" si="0"/>
        <v>21464</v>
      </c>
      <c r="I17" s="33"/>
    </row>
    <row r="18" spans="1:9" ht="22.5" customHeight="1">
      <c r="A18" s="125">
        <v>241</v>
      </c>
      <c r="B18" s="122" t="str">
        <f>VLOOKUP(A18,Materiales[],3,FALSE)</f>
        <v>Cable Cu THHN 6 AWG</v>
      </c>
      <c r="C18" s="121" t="str">
        <f>VLOOKUP(A18,Materiales[],4,FALSE)</f>
        <v>ML</v>
      </c>
      <c r="D18" s="332">
        <v>6.2</v>
      </c>
      <c r="E18" s="329">
        <f>VLOOKUP(A18,Materiales[],5,FALSE)*D18</f>
        <v>0.90334000000000003</v>
      </c>
      <c r="F18" s="123">
        <f>VLOOKUP(A18,Materiales[],6,FALSE)</f>
        <v>10868</v>
      </c>
      <c r="G18" s="123">
        <f t="shared" si="0"/>
        <v>67382</v>
      </c>
      <c r="I18" s="33"/>
    </row>
    <row r="19" spans="1:9" ht="22.5" customHeight="1">
      <c r="A19" s="125">
        <v>246</v>
      </c>
      <c r="B19" s="122" t="str">
        <f>VLOOKUP(A19,Materiales[],3,FALSE)</f>
        <v>Cable Cu THHN 8 AWG</v>
      </c>
      <c r="C19" s="121" t="str">
        <f>VLOOKUP(A19,Materiales[],4,FALSE)</f>
        <v>ML</v>
      </c>
      <c r="D19" s="332">
        <f>2*3*1.05</f>
        <v>6.3000000000000007</v>
      </c>
      <c r="E19" s="329">
        <f>VLOOKUP(A19,Materiales[],5,FALSE)*D19</f>
        <v>0.60669000000000006</v>
      </c>
      <c r="F19" s="123">
        <f>VLOOKUP(A19,Materiales[],6,FALSE)</f>
        <v>7081</v>
      </c>
      <c r="G19" s="123">
        <f t="shared" ref="G19" si="1">ROUND(D19*F19,0)</f>
        <v>44610</v>
      </c>
      <c r="I19" s="33"/>
    </row>
    <row r="20" spans="1:9" ht="22.5" customHeight="1">
      <c r="A20" s="125">
        <v>85</v>
      </c>
      <c r="B20" s="122" t="str">
        <f>VLOOKUP(A20,Materiales[],3,FALSE)</f>
        <v>Cable Cu Desnudo 8 AWG</v>
      </c>
      <c r="C20" s="121" t="str">
        <f>VLOOKUP(A20,Materiales[],4,FALSE)</f>
        <v>ML</v>
      </c>
      <c r="D20" s="332">
        <v>2</v>
      </c>
      <c r="E20" s="329">
        <f>VLOOKUP(A20,Materiales[],5,FALSE)*D20</f>
        <v>0.15</v>
      </c>
      <c r="F20" s="123">
        <f>VLOOKUP(A20,Materiales[],6,FALSE)</f>
        <v>6325</v>
      </c>
      <c r="G20" s="123">
        <f t="shared" ref="G20" si="2">ROUND(D20*F20,0)</f>
        <v>12650</v>
      </c>
      <c r="I20" s="33"/>
    </row>
    <row r="21" spans="1:9" ht="13">
      <c r="D21" s="18"/>
      <c r="E21" s="18"/>
      <c r="F21" s="29" t="s">
        <v>1220</v>
      </c>
      <c r="G21" s="42">
        <f>SUM(G8:G20)</f>
        <v>1775033</v>
      </c>
    </row>
    <row r="23" spans="1:9" ht="13">
      <c r="B23" s="20" t="s">
        <v>1221</v>
      </c>
      <c r="G23" s="39"/>
    </row>
    <row r="24" spans="1:9" ht="13">
      <c r="A24" s="119" t="s">
        <v>184</v>
      </c>
      <c r="B24" s="120" t="s">
        <v>1</v>
      </c>
      <c r="C24" s="13" t="s">
        <v>1231</v>
      </c>
      <c r="D24" s="13" t="s">
        <v>1222</v>
      </c>
      <c r="E24" s="13"/>
      <c r="F24" s="13" t="s">
        <v>307</v>
      </c>
      <c r="G24" s="13" t="s">
        <v>752</v>
      </c>
    </row>
    <row r="25" spans="1:9" ht="14.5">
      <c r="A25" s="125">
        <v>1</v>
      </c>
      <c r="B25" s="122" t="str">
        <f>VLOOKUP(A25,Equip.Herram[],2,FALSE)</f>
        <v>Herramienta menor</v>
      </c>
      <c r="C25" s="15" t="str">
        <f>VLOOKUP(A25,Equip.Herram[],3,FALSE)</f>
        <v>UN</v>
      </c>
      <c r="D25" s="36">
        <f>VLOOKUP(A25,Equip.Herram[],4,FALSE)</f>
        <v>24840</v>
      </c>
      <c r="E25" s="36"/>
      <c r="F25" s="16">
        <f>+RENDIMIENTOS!$C$39</f>
        <v>6</v>
      </c>
      <c r="G25" s="36">
        <f>ROUND(D25/F25,0)</f>
        <v>4140</v>
      </c>
    </row>
    <row r="26" spans="1:9">
      <c r="B26" s="14"/>
      <c r="C26" s="15"/>
      <c r="D26" s="17"/>
      <c r="E26" s="17"/>
      <c r="F26" s="22"/>
      <c r="G26" s="21"/>
    </row>
    <row r="27" spans="1:9">
      <c r="B27" s="14"/>
      <c r="C27" s="15"/>
      <c r="D27" s="17"/>
      <c r="E27" s="17"/>
      <c r="F27" s="22"/>
      <c r="G27" s="21"/>
    </row>
    <row r="28" spans="1:9" ht="13">
      <c r="D28" s="18"/>
      <c r="E28" s="18"/>
      <c r="F28" s="19" t="s">
        <v>1220</v>
      </c>
      <c r="G28" s="37">
        <f>SUM(G25:G27)</f>
        <v>4140</v>
      </c>
    </row>
    <row r="29" spans="1:9" ht="13">
      <c r="D29" s="18"/>
      <c r="E29" s="18"/>
      <c r="F29" s="18"/>
      <c r="G29" s="23"/>
    </row>
    <row r="30" spans="1:9" ht="13">
      <c r="B30" s="11" t="s">
        <v>1223</v>
      </c>
      <c r="G30" s="24"/>
    </row>
    <row r="31" spans="1:9" ht="13">
      <c r="A31" s="119" t="s">
        <v>184</v>
      </c>
      <c r="B31" s="12" t="s">
        <v>1</v>
      </c>
      <c r="C31" s="13" t="s">
        <v>185</v>
      </c>
      <c r="D31" s="13" t="s">
        <v>1230</v>
      </c>
      <c r="E31" s="13"/>
      <c r="F31" s="13" t="s">
        <v>1233</v>
      </c>
      <c r="G31" s="25" t="s">
        <v>752</v>
      </c>
      <c r="I31" s="39"/>
    </row>
    <row r="32" spans="1:9" ht="26.5" customHeight="1">
      <c r="A32" s="125">
        <v>1</v>
      </c>
      <c r="B32" s="122" t="str">
        <f>VLOOKUP(A32,Transporte[],2,FALSE)</f>
        <v>Carga terrestre Bogotá - Teorama</v>
      </c>
      <c r="C32" s="27" t="s">
        <v>1234</v>
      </c>
      <c r="D32" s="118">
        <f>+SUM(E8:E20)</f>
        <v>21.094829999999995</v>
      </c>
      <c r="E32" s="118"/>
      <c r="F32" s="142">
        <f>VLOOKUP(A32,Transporte[],7,FALSE)</f>
        <v>214.17955999999998</v>
      </c>
      <c r="G32" s="35">
        <f>D32*F32</f>
        <v>4518.0814076747984</v>
      </c>
    </row>
    <row r="33" spans="1:9" ht="13.4" customHeight="1">
      <c r="A33" s="125">
        <v>3</v>
      </c>
      <c r="B33" s="122" t="str">
        <f>VLOOKUP(A33,Transporte[],2,FALSE)</f>
        <v>Carga terrestre Teorama - Comunidades</v>
      </c>
      <c r="C33" s="27" t="s">
        <v>1234</v>
      </c>
      <c r="D33" s="118">
        <f>+SUM(E8:E20)</f>
        <v>21.094829999999995</v>
      </c>
      <c r="E33" s="118"/>
      <c r="F33" s="142">
        <f>VLOOKUP(A33,Transporte[],7,FALSE)</f>
        <v>1491</v>
      </c>
      <c r="G33" s="35">
        <f>D33*F33</f>
        <v>31452.391529999994</v>
      </c>
    </row>
    <row r="34" spans="1:9" ht="13.4" customHeight="1">
      <c r="B34" s="26"/>
      <c r="C34" s="27"/>
      <c r="D34" s="28"/>
      <c r="E34" s="28"/>
      <c r="F34" s="35"/>
      <c r="G34" s="35"/>
    </row>
    <row r="35" spans="1:9" ht="13">
      <c r="D35" s="18"/>
      <c r="E35" s="18"/>
      <c r="F35" s="29" t="s">
        <v>1220</v>
      </c>
      <c r="G35" s="37">
        <f>SUM(G32:G34)</f>
        <v>35970.472937674793</v>
      </c>
    </row>
    <row r="36" spans="1:9" ht="13">
      <c r="D36" s="18"/>
      <c r="E36" s="18"/>
      <c r="G36" s="23"/>
    </row>
    <row r="37" spans="1:9" ht="13">
      <c r="B37" s="11" t="s">
        <v>1225</v>
      </c>
      <c r="D37" s="30"/>
      <c r="E37" s="30"/>
      <c r="F37" s="31"/>
      <c r="G37" s="24"/>
    </row>
    <row r="38" spans="1:9" s="18" customFormat="1" ht="13">
      <c r="A38" s="119" t="s">
        <v>184</v>
      </c>
      <c r="B38" s="12" t="s">
        <v>1</v>
      </c>
      <c r="C38" s="13" t="s">
        <v>1226</v>
      </c>
      <c r="D38" s="13" t="s">
        <v>1227</v>
      </c>
      <c r="E38" s="13"/>
      <c r="F38" s="13" t="s">
        <v>307</v>
      </c>
      <c r="G38" s="25" t="s">
        <v>752</v>
      </c>
    </row>
    <row r="39" spans="1:9" ht="14.5">
      <c r="A39" s="125">
        <v>1</v>
      </c>
      <c r="B39" s="122" t="str">
        <f>VLOOKUP(A39,ManoObra[],2,FALSE)</f>
        <v>Electricista</v>
      </c>
      <c r="C39" s="40">
        <f>VLOOKUP(A39,ManoObra[],7,FALSE)</f>
        <v>71863</v>
      </c>
      <c r="D39" s="22">
        <f>FP!$B$28</f>
        <v>1.61</v>
      </c>
      <c r="E39" s="22"/>
      <c r="F39" s="16">
        <f>+RENDIMIENTOS!$C$39</f>
        <v>6</v>
      </c>
      <c r="G39" s="36">
        <f>ROUND(C39*D39/F39,0)</f>
        <v>19283</v>
      </c>
      <c r="I39" s="81"/>
    </row>
    <row r="40" spans="1:9" ht="14.5">
      <c r="A40" s="125">
        <v>2</v>
      </c>
      <c r="B40" s="122" t="str">
        <f>VLOOKUP(A40,ManoObra[],2,FALSE)</f>
        <v>Ayudante</v>
      </c>
      <c r="C40" s="40">
        <f>VLOOKUP(A40,ManoObra[],7,FALSE)</f>
        <v>66050</v>
      </c>
      <c r="D40" s="22">
        <f>FP!$B$28</f>
        <v>1.61</v>
      </c>
      <c r="E40" s="22"/>
      <c r="F40" s="16">
        <f>+RENDIMIENTOS!$C$39</f>
        <v>6</v>
      </c>
      <c r="G40" s="36">
        <f>ROUND(C40*D40/F40,0)</f>
        <v>17723</v>
      </c>
      <c r="I40" s="81"/>
    </row>
    <row r="41" spans="1:9" ht="13">
      <c r="D41" s="18"/>
      <c r="E41" s="18"/>
      <c r="F41" s="29" t="s">
        <v>1220</v>
      </c>
      <c r="G41" s="42">
        <f>SUM(G39:G40)</f>
        <v>37006</v>
      </c>
    </row>
    <row r="42" spans="1:9" ht="13">
      <c r="D42" s="18"/>
      <c r="E42" s="18"/>
      <c r="G42" s="24"/>
    </row>
    <row r="43" spans="1:9" ht="12.75" customHeight="1">
      <c r="A43"/>
      <c r="D43" s="1725" t="s">
        <v>1228</v>
      </c>
      <c r="E43" s="1730"/>
      <c r="F43" s="1726"/>
      <c r="G43" s="38">
        <f>G21+G28+G35+G41</f>
        <v>1852149.4729376747</v>
      </c>
    </row>
    <row r="44" spans="1:9" ht="13">
      <c r="A44" s="441"/>
      <c r="D44" s="18"/>
      <c r="E44" s="18"/>
      <c r="F44" s="10"/>
      <c r="G44" s="41"/>
    </row>
    <row r="45" spans="1:9" ht="13">
      <c r="A45" s="442"/>
      <c r="B45"/>
    </row>
    <row r="46" spans="1:9">
      <c r="B46" s="441"/>
    </row>
    <row r="47" spans="1:9">
      <c r="B47" s="441"/>
    </row>
    <row r="48" spans="1:9" ht="14">
      <c r="B48" s="840"/>
    </row>
    <row r="49" spans="2:2" ht="46.5">
      <c r="B49" s="1027" t="s">
        <v>1235</v>
      </c>
    </row>
  </sheetData>
  <mergeCells count="4">
    <mergeCell ref="B3:F3"/>
    <mergeCell ref="B4:D4"/>
    <mergeCell ref="D43:F43"/>
    <mergeCell ref="A1:G1"/>
  </mergeCells>
  <printOptions horizontalCentered="1"/>
  <pageMargins left="0.70866141732283472" right="0.70866141732283472" top="1.5748031496062993" bottom="0.98425196850393704" header="0.98425196850393704" footer="0.51181102362204722"/>
  <pageSetup scale="70" orientation="portrait" r:id="rId1"/>
  <headerFooter alignWithMargins="0">
    <oddHeader xml:space="preserve">&amp;C&amp;"Arial,Negrita"&amp;12ANÁLISIS DE PRECIOS UNITARIOS
</oddHeader>
  </headerFooter>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7A8E4-E6AC-4441-A5D0-915CDF4E08C9}">
  <sheetPr>
    <tabColor theme="8" tint="0.59999389629810485"/>
    <pageSetUpPr fitToPage="1"/>
  </sheetPr>
  <dimension ref="A1:I43"/>
  <sheetViews>
    <sheetView view="pageBreakPreview" zoomScale="80" zoomScaleNormal="100" zoomScaleSheetLayoutView="80"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2.1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KW'!A16)</f>
        <v>ITEM:  2.1.11</v>
      </c>
      <c r="C3" s="1728"/>
      <c r="D3" s="1728"/>
      <c r="E3" s="1728"/>
      <c r="F3" s="1728"/>
      <c r="G3" s="6" t="s">
        <v>1229</v>
      </c>
      <c r="H3" s="7"/>
    </row>
    <row r="4" spans="1:9" ht="78.75" customHeight="1">
      <c r="B4" s="1722" t="str">
        <f>'PRES MR 5 KW'!B16</f>
        <v>Suministro, transporte e instalación de canalizaciones internas del envolvente. Incluye canaleta de 60x200 mm y tubería conduit PVC SCH 40.</v>
      </c>
      <c r="C4" s="1723"/>
      <c r="D4" s="1724"/>
      <c r="E4" s="328"/>
      <c r="G4" s="8" t="str">
        <f>+'PRES MR 5 KW'!C16</f>
        <v>GB</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192</v>
      </c>
      <c r="B8" s="122" t="str">
        <f>VLOOKUP(A8,Materiales[],3,FALSE)</f>
        <v>Canaleta conduit de 60x100 mm</v>
      </c>
      <c r="C8" s="121" t="str">
        <f>VLOOKUP(A8,Materiales[],4,FALSE)</f>
        <v>ML</v>
      </c>
      <c r="D8" s="118">
        <v>12</v>
      </c>
      <c r="E8" s="329">
        <f>VLOOKUP(A8,Materiales[],5,FALSE)*D8</f>
        <v>3.5999999999999996</v>
      </c>
      <c r="F8" s="123">
        <f>VLOOKUP(A8,Materiales[],6,FALSE)</f>
        <v>54832</v>
      </c>
      <c r="G8" s="123">
        <f>ROUND(D8*F8,0)</f>
        <v>657984</v>
      </c>
      <c r="I8" s="33"/>
    </row>
    <row r="9" spans="1:9" ht="25.5" customHeight="1">
      <c r="A9" s="125">
        <v>44</v>
      </c>
      <c r="B9" s="122" t="str">
        <f>VLOOKUP(A9,Materiales[],3,FALSE)</f>
        <v>Tuberia conduit PVC SCH 40 1/4"</v>
      </c>
      <c r="C9" s="121" t="str">
        <f>VLOOKUP(A9,Materiales[],4,FALSE)</f>
        <v>ML</v>
      </c>
      <c r="D9" s="332">
        <v>3.5</v>
      </c>
      <c r="E9" s="335">
        <f>VLOOKUP(A9,Materiales[],5,FALSE)*D9</f>
        <v>0.46083333333333337</v>
      </c>
      <c r="F9" s="123">
        <f>VLOOKUP(A9,Materiales[],6,FALSE)</f>
        <v>2962</v>
      </c>
      <c r="G9" s="123">
        <f t="shared" ref="G9:G14" si="0">ROUND(D9*F9,0)</f>
        <v>10367</v>
      </c>
      <c r="I9" s="33"/>
    </row>
    <row r="10" spans="1:9" ht="14.5">
      <c r="A10" s="125">
        <v>45</v>
      </c>
      <c r="B10" s="122" t="str">
        <f>VLOOKUP(A10,Materiales[],3,FALSE)</f>
        <v>Tuberia conduit PVC 2 1/2"</v>
      </c>
      <c r="C10" s="121" t="str">
        <f>VLOOKUP(A10,Materiales[],4,FALSE)</f>
        <v>ML</v>
      </c>
      <c r="D10" s="118">
        <v>1</v>
      </c>
      <c r="E10" s="335">
        <f>VLOOKUP(A10,Materiales[],5,FALSE)*D10</f>
        <v>1.0666666666666667</v>
      </c>
      <c r="F10" s="123">
        <f>VLOOKUP(A10,Materiales[],6,FALSE)</f>
        <v>17903</v>
      </c>
      <c r="G10" s="123">
        <f t="shared" si="0"/>
        <v>17903</v>
      </c>
      <c r="I10" s="33"/>
    </row>
    <row r="11" spans="1:9" ht="25">
      <c r="A11" s="125">
        <v>49</v>
      </c>
      <c r="B11" s="122" t="str">
        <f>VLOOKUP(A11,Materiales[],3,FALSE)</f>
        <v>Union rápida para curvas canaleta conduit. Difertentes medidas</v>
      </c>
      <c r="C11" s="121" t="str">
        <f>VLOOKUP(A11,Materiales[],4,FALSE)</f>
        <v>UN</v>
      </c>
      <c r="D11" s="118">
        <v>6</v>
      </c>
      <c r="E11" s="335">
        <f>VLOOKUP(A11,Materiales[],5,FALSE)*D11</f>
        <v>0.60000000000000009</v>
      </c>
      <c r="F11" s="123">
        <f>VLOOKUP(A11,Materiales[],6,FALSE)</f>
        <v>3096</v>
      </c>
      <c r="G11" s="123">
        <f t="shared" si="0"/>
        <v>18576</v>
      </c>
      <c r="I11" s="33"/>
    </row>
    <row r="12" spans="1:9" ht="14.5">
      <c r="A12" s="125">
        <v>50</v>
      </c>
      <c r="B12" s="122" t="str">
        <f>VLOOKUP(A12,Materiales[],3,FALSE)</f>
        <v>Union con tornillo para canaleta (tipo perro)</v>
      </c>
      <c r="C12" s="121" t="str">
        <f>VLOOKUP(A12,Materiales[],4,FALSE)</f>
        <v>UN</v>
      </c>
      <c r="D12" s="118">
        <v>6</v>
      </c>
      <c r="E12" s="335">
        <f>VLOOKUP(A12,Materiales[],5,FALSE)*D12</f>
        <v>0.30000000000000004</v>
      </c>
      <c r="F12" s="123">
        <f>VLOOKUP(A12,Materiales[],6,FALSE)</f>
        <v>2743</v>
      </c>
      <c r="G12" s="123">
        <f t="shared" si="0"/>
        <v>16458</v>
      </c>
      <c r="I12" s="33"/>
    </row>
    <row r="13" spans="1:9" ht="14.5">
      <c r="A13" s="125">
        <v>51</v>
      </c>
      <c r="B13" s="122" t="str">
        <f>VLOOKUP(A13,Materiales[],3,FALSE)</f>
        <v>Union rápida para canaleta EDRN</v>
      </c>
      <c r="C13" s="121" t="str">
        <f>VLOOKUP(A13,Materiales[],4,FALSE)</f>
        <v>UN</v>
      </c>
      <c r="D13" s="118">
        <v>6</v>
      </c>
      <c r="E13" s="335">
        <f>VLOOKUP(A13,Materiales[],5,FALSE)*D13</f>
        <v>0.30000000000000004</v>
      </c>
      <c r="F13" s="123">
        <f>VLOOKUP(A13,Materiales[],6,FALSE)</f>
        <v>9174</v>
      </c>
      <c r="G13" s="123">
        <f t="shared" si="0"/>
        <v>55044</v>
      </c>
      <c r="I13" s="33"/>
    </row>
    <row r="14" spans="1:9" ht="25">
      <c r="A14" s="125">
        <v>47</v>
      </c>
      <c r="B14" s="122" t="str">
        <f>VLOOKUP(A14,Materiales[],3,FALSE)</f>
        <v>Accesorios para fijación de canaleta (tornillería, pegante, chazos, etc)</v>
      </c>
      <c r="C14" s="121" t="str">
        <f>VLOOKUP(A14,Materiales[],4,FALSE)</f>
        <v>JG</v>
      </c>
      <c r="D14" s="118">
        <f>+D8</f>
        <v>12</v>
      </c>
      <c r="E14" s="329">
        <f>VLOOKUP(A14,Materiales[],5,FALSE)*D14</f>
        <v>2.4000000000000004</v>
      </c>
      <c r="F14" s="123">
        <f>VLOOKUP(A14,Materiales[],6,FALSE)</f>
        <v>5227</v>
      </c>
      <c r="G14" s="123">
        <f t="shared" si="0"/>
        <v>62724</v>
      </c>
      <c r="I14" s="33"/>
    </row>
    <row r="15" spans="1:9" ht="13">
      <c r="D15" s="18"/>
      <c r="E15" s="18"/>
      <c r="F15" s="29" t="s">
        <v>1220</v>
      </c>
      <c r="G15" s="42">
        <f>SUM(G8:G14)</f>
        <v>839056</v>
      </c>
    </row>
    <row r="17" spans="1:9" ht="13">
      <c r="B17" s="20" t="s">
        <v>1221</v>
      </c>
      <c r="G17" s="39"/>
    </row>
    <row r="18" spans="1:9" ht="13">
      <c r="A18" s="119" t="s">
        <v>184</v>
      </c>
      <c r="B18" s="120" t="s">
        <v>1</v>
      </c>
      <c r="C18" s="13" t="s">
        <v>1231</v>
      </c>
      <c r="D18" s="13" t="s">
        <v>1222</v>
      </c>
      <c r="E18" s="13"/>
      <c r="F18" s="13" t="s">
        <v>307</v>
      </c>
      <c r="G18" s="13" t="s">
        <v>752</v>
      </c>
    </row>
    <row r="19" spans="1:9" ht="14.5">
      <c r="A19" s="125">
        <v>1</v>
      </c>
      <c r="B19" s="122" t="str">
        <f>VLOOKUP(A19,Equip.Herram[],2,FALSE)</f>
        <v>Herramienta menor</v>
      </c>
      <c r="C19" s="15" t="str">
        <f>VLOOKUP(A19,Equip.Herram[],3,FALSE)</f>
        <v>UN</v>
      </c>
      <c r="D19" s="36">
        <f>VLOOKUP(A19,Equip.Herram[],4,FALSE)</f>
        <v>24840</v>
      </c>
      <c r="E19" s="36"/>
      <c r="F19" s="16">
        <f>+RENDIMIENTOS!$C$40</f>
        <v>3</v>
      </c>
      <c r="G19" s="36">
        <f>ROUND(D19/F19,0)</f>
        <v>8280</v>
      </c>
    </row>
    <row r="20" spans="1:9">
      <c r="B20" s="14"/>
      <c r="C20" s="15"/>
      <c r="D20" s="17"/>
      <c r="E20" s="17"/>
      <c r="F20" s="22"/>
      <c r="G20" s="21"/>
    </row>
    <row r="21" spans="1:9">
      <c r="B21" s="14"/>
      <c r="C21" s="15"/>
      <c r="D21" s="17"/>
      <c r="E21" s="17"/>
      <c r="F21" s="22"/>
      <c r="G21" s="21"/>
    </row>
    <row r="22" spans="1:9" ht="13">
      <c r="D22" s="18"/>
      <c r="E22" s="18"/>
      <c r="F22" s="19" t="s">
        <v>1220</v>
      </c>
      <c r="G22" s="37">
        <f>SUM(G19:G21)</f>
        <v>8280</v>
      </c>
    </row>
    <row r="23" spans="1:9" ht="13">
      <c r="D23" s="18"/>
      <c r="E23" s="18"/>
      <c r="F23" s="18"/>
      <c r="G23" s="23"/>
    </row>
    <row r="24" spans="1:9" ht="13">
      <c r="B24" s="11" t="s">
        <v>1223</v>
      </c>
      <c r="G24" s="24"/>
    </row>
    <row r="25" spans="1:9" ht="13">
      <c r="A25" s="119" t="s">
        <v>184</v>
      </c>
      <c r="B25" s="12" t="s">
        <v>1</v>
      </c>
      <c r="C25" s="13" t="s">
        <v>185</v>
      </c>
      <c r="D25" s="13" t="s">
        <v>1230</v>
      </c>
      <c r="E25" s="13"/>
      <c r="F25" s="13" t="s">
        <v>1233</v>
      </c>
      <c r="G25" s="25" t="s">
        <v>752</v>
      </c>
      <c r="I25" s="39"/>
    </row>
    <row r="26" spans="1:9" ht="26.5" customHeight="1">
      <c r="A26" s="125">
        <v>1</v>
      </c>
      <c r="B26" s="122" t="str">
        <f>VLOOKUP(A26,Transporte[],2,FALSE)</f>
        <v>Carga terrestre Bogotá - Teorama</v>
      </c>
      <c r="C26" s="27" t="s">
        <v>1234</v>
      </c>
      <c r="D26" s="118">
        <f>+SUM(E8:E14)</f>
        <v>8.7274999999999991</v>
      </c>
      <c r="E26" s="118"/>
      <c r="F26" s="142">
        <f>VLOOKUP(A26,Transporte[],7,FALSE)</f>
        <v>214.17955999999998</v>
      </c>
      <c r="G26" s="35">
        <f>D26*F26</f>
        <v>1869.2521098999996</v>
      </c>
    </row>
    <row r="27" spans="1:9" ht="13.4" customHeight="1">
      <c r="A27" s="125">
        <v>3</v>
      </c>
      <c r="B27" s="122" t="str">
        <f>VLOOKUP(A27,Transporte[],2,FALSE)</f>
        <v>Carga terrestre Teorama - Comunidades</v>
      </c>
      <c r="C27" s="27" t="s">
        <v>1234</v>
      </c>
      <c r="D27" s="118">
        <f>+SUM(E8:E14)</f>
        <v>8.7274999999999991</v>
      </c>
      <c r="E27" s="118"/>
      <c r="F27" s="142">
        <f>VLOOKUP(A27,Transporte[],7,FALSE)</f>
        <v>1491</v>
      </c>
      <c r="G27" s="35">
        <f>D27*F27</f>
        <v>13012.702499999999</v>
      </c>
    </row>
    <row r="28" spans="1:9" ht="13.4" customHeight="1">
      <c r="B28" s="26"/>
      <c r="C28" s="27"/>
      <c r="D28" s="28"/>
      <c r="E28" s="28"/>
      <c r="F28" s="35"/>
      <c r="G28" s="35"/>
    </row>
    <row r="29" spans="1:9" ht="13">
      <c r="D29" s="18"/>
      <c r="E29" s="18"/>
      <c r="F29" s="29" t="s">
        <v>1220</v>
      </c>
      <c r="G29" s="37">
        <f>SUM(G26:G28)</f>
        <v>14881.9546099</v>
      </c>
    </row>
    <row r="30" spans="1:9" ht="13">
      <c r="D30" s="18"/>
      <c r="E30" s="18"/>
      <c r="G30" s="23"/>
    </row>
    <row r="31" spans="1:9" ht="13">
      <c r="B31" s="11" t="s">
        <v>1225</v>
      </c>
      <c r="D31" s="30"/>
      <c r="E31" s="30"/>
      <c r="F31" s="31"/>
      <c r="G31" s="24"/>
    </row>
    <row r="32" spans="1:9" s="18" customFormat="1" ht="13">
      <c r="A32" s="119" t="s">
        <v>184</v>
      </c>
      <c r="B32" s="12" t="s">
        <v>1</v>
      </c>
      <c r="C32" s="13" t="s">
        <v>1226</v>
      </c>
      <c r="D32" s="13" t="s">
        <v>1227</v>
      </c>
      <c r="E32" s="13"/>
      <c r="F32" s="13" t="s">
        <v>307</v>
      </c>
      <c r="G32" s="25" t="s">
        <v>752</v>
      </c>
    </row>
    <row r="33" spans="1:9" ht="14.5">
      <c r="A33" s="125">
        <v>1</v>
      </c>
      <c r="B33" s="122" t="str">
        <f>VLOOKUP(A33,ManoObra[],2,FALSE)</f>
        <v>Electricista</v>
      </c>
      <c r="C33" s="40">
        <f>VLOOKUP(A33,ManoObra[],7,FALSE)</f>
        <v>71863</v>
      </c>
      <c r="D33" s="22">
        <f>FP!$B$28</f>
        <v>1.61</v>
      </c>
      <c r="E33" s="22"/>
      <c r="F33" s="16">
        <f>+RENDIMIENTOS!$C$40</f>
        <v>3</v>
      </c>
      <c r="G33" s="36">
        <f>ROUND(C33*D33/F33,0)</f>
        <v>38566</v>
      </c>
      <c r="I33" s="81"/>
    </row>
    <row r="34" spans="1:9" ht="14.5">
      <c r="A34" s="125">
        <v>2</v>
      </c>
      <c r="B34" s="122" t="str">
        <f>VLOOKUP(A34,ManoObra[],2,FALSE)</f>
        <v>Ayudante</v>
      </c>
      <c r="C34" s="40">
        <f>VLOOKUP(A34,ManoObra[],7,FALSE)</f>
        <v>66050</v>
      </c>
      <c r="D34" s="22">
        <f>FP!$B$28</f>
        <v>1.61</v>
      </c>
      <c r="E34" s="22"/>
      <c r="F34" s="16">
        <f>+RENDIMIENTOS!$C$40</f>
        <v>3</v>
      </c>
      <c r="G34" s="36">
        <f>ROUND(C34*D34/F34,0)</f>
        <v>35447</v>
      </c>
      <c r="I34" s="81"/>
    </row>
    <row r="35" spans="1:9" ht="13">
      <c r="D35" s="18"/>
      <c r="E35" s="18"/>
      <c r="F35" s="29" t="s">
        <v>1220</v>
      </c>
      <c r="G35" s="42">
        <f>SUM(G33:G34)</f>
        <v>74013</v>
      </c>
    </row>
    <row r="36" spans="1:9" ht="13">
      <c r="D36" s="18"/>
      <c r="E36" s="18"/>
      <c r="G36" s="24"/>
    </row>
    <row r="37" spans="1:9" ht="12.75" customHeight="1">
      <c r="A37"/>
      <c r="D37" s="1725" t="s">
        <v>1228</v>
      </c>
      <c r="E37" s="1730"/>
      <c r="F37" s="1726"/>
      <c r="G37" s="38">
        <f>G15+G22+G29+G35</f>
        <v>936230.95460990001</v>
      </c>
    </row>
    <row r="38" spans="1:9" ht="13">
      <c r="A38" s="441" t="s">
        <v>830</v>
      </c>
      <c r="D38" s="18"/>
      <c r="E38" s="18"/>
      <c r="F38" s="10"/>
      <c r="G38" s="41"/>
    </row>
    <row r="39" spans="1:9" ht="13">
      <c r="A39" s="442"/>
      <c r="B39"/>
    </row>
    <row r="40" spans="1:9">
      <c r="B40" s="441"/>
    </row>
    <row r="41" spans="1:9">
      <c r="B41" s="441"/>
    </row>
    <row r="42" spans="1:9" ht="14">
      <c r="B42" s="840"/>
    </row>
    <row r="43" spans="1:9" ht="46.5">
      <c r="B43" s="1027" t="s">
        <v>1235</v>
      </c>
    </row>
  </sheetData>
  <mergeCells count="4">
    <mergeCell ref="B3:F3"/>
    <mergeCell ref="B4:D4"/>
    <mergeCell ref="D37:F37"/>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59999389629810485"/>
    <pageSetUpPr fitToPage="1"/>
  </sheetPr>
  <dimension ref="A1:I39"/>
  <sheetViews>
    <sheetView view="pageBreakPreview" topLeftCell="B1" zoomScale="80" zoomScaleNormal="100" zoomScaleSheetLayoutView="80"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29.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KW'!A17,", ",'PRES MR 10 KW'!A17,", ",'PRES MR 15 KW'!A17)</f>
        <v>ITEM:  2.1.12, 3.1.12, 4.1.12</v>
      </c>
      <c r="C3" s="1728"/>
      <c r="D3" s="1728"/>
      <c r="E3" s="1728"/>
      <c r="F3" s="1728"/>
      <c r="G3" s="6" t="s">
        <v>1229</v>
      </c>
      <c r="H3" s="7"/>
    </row>
    <row r="4" spans="1:9" ht="78.75" customHeight="1">
      <c r="B4" s="1722" t="str">
        <f>+'PRES MR 5 KW'!B17</f>
        <v>Suministro, transporte e instalación de sistemas auxiliares y de emergencia</v>
      </c>
      <c r="C4" s="1723"/>
      <c r="D4" s="1724"/>
      <c r="E4" s="328"/>
      <c r="G4" s="8" t="str">
        <f>+'PRES MR 5 KW'!C17</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64</v>
      </c>
      <c r="B8" s="122" t="str">
        <f>VLOOKUP(A8,Materiales[],3,FALSE)</f>
        <v>Extintor</v>
      </c>
      <c r="C8" s="121" t="str">
        <f>VLOOKUP(A8,Materiales[],4,FALSE)</f>
        <v>UN</v>
      </c>
      <c r="D8" s="118">
        <v>1</v>
      </c>
      <c r="E8" s="329">
        <f>VLOOKUP(A8,Materiales[],5,FALSE)*D8</f>
        <v>10</v>
      </c>
      <c r="F8" s="123">
        <f>VLOOKUP(A8,Materiales[],6,FALSE)</f>
        <v>58035</v>
      </c>
      <c r="G8" s="123">
        <f>ROUND(D8*F8,0)</f>
        <v>58035</v>
      </c>
      <c r="I8" s="33"/>
    </row>
    <row r="9" spans="1:9" ht="25.5" customHeight="1">
      <c r="A9" s="125">
        <v>65</v>
      </c>
      <c r="B9" s="122" t="str">
        <f>VLOOKUP(A9,Materiales[],3,FALSE)</f>
        <v>Tomacorriente doble con polo a tierra</v>
      </c>
      <c r="C9" s="121" t="str">
        <f>VLOOKUP(A9,Materiales[],4,FALSE)</f>
        <v>UN</v>
      </c>
      <c r="D9" s="118">
        <v>1</v>
      </c>
      <c r="E9" s="335">
        <f>VLOOKUP(A9,Materiales[],5,FALSE)*D9</f>
        <v>0.01</v>
      </c>
      <c r="F9" s="123">
        <f>VLOOKUP(A9,Materiales[],6,FALSE)</f>
        <v>6843</v>
      </c>
      <c r="G9" s="123">
        <f t="shared" ref="G9:G10" si="0">ROUND(D9*F9,0)</f>
        <v>6843</v>
      </c>
      <c r="I9" s="33"/>
    </row>
    <row r="10" spans="1:9" ht="14.5">
      <c r="A10" s="125">
        <v>66</v>
      </c>
      <c r="B10" s="122" t="str">
        <f>VLOOKUP(A10,Materiales[],3,FALSE)</f>
        <v>Caja PVC 2" x 4"</v>
      </c>
      <c r="C10" s="121" t="str">
        <f>VLOOKUP(A10,Materiales[],4,FALSE)</f>
        <v>UN</v>
      </c>
      <c r="D10" s="118">
        <v>1</v>
      </c>
      <c r="E10" s="335">
        <f>VLOOKUP(A10,Materiales[],5,FALSE)*D10</f>
        <v>0.01</v>
      </c>
      <c r="F10" s="123">
        <f>VLOOKUP(A10,Materiales[],6,FALSE)</f>
        <v>953</v>
      </c>
      <c r="G10" s="123">
        <f t="shared" si="0"/>
        <v>953</v>
      </c>
      <c r="I10" s="33"/>
    </row>
    <row r="11" spans="1:9" ht="13">
      <c r="D11" s="18"/>
      <c r="E11" s="18"/>
      <c r="F11" s="29" t="s">
        <v>1220</v>
      </c>
      <c r="G11" s="42">
        <f>SUM(G8:G10)</f>
        <v>65831</v>
      </c>
    </row>
    <row r="13" spans="1:9" ht="13">
      <c r="B13" s="20" t="s">
        <v>1221</v>
      </c>
      <c r="G13" s="39"/>
    </row>
    <row r="14" spans="1:9" ht="13">
      <c r="A14" s="119" t="s">
        <v>184</v>
      </c>
      <c r="B14" s="120" t="s">
        <v>1</v>
      </c>
      <c r="C14" s="13" t="s">
        <v>1231</v>
      </c>
      <c r="D14" s="13" t="s">
        <v>1222</v>
      </c>
      <c r="E14" s="13"/>
      <c r="F14" s="13" t="s">
        <v>307</v>
      </c>
      <c r="G14" s="13" t="s">
        <v>752</v>
      </c>
    </row>
    <row r="15" spans="1:9" ht="14.5">
      <c r="A15" s="125">
        <v>1</v>
      </c>
      <c r="B15" s="122" t="str">
        <f>VLOOKUP(A15,Equip.Herram[],2,FALSE)</f>
        <v>Herramienta menor</v>
      </c>
      <c r="C15" s="15" t="str">
        <f>VLOOKUP(A15,Equip.Herram[],3,FALSE)</f>
        <v>UN</v>
      </c>
      <c r="D15" s="36">
        <f>VLOOKUP(A15,Equip.Herram[],4,FALSE)</f>
        <v>24840</v>
      </c>
      <c r="E15" s="36"/>
      <c r="F15" s="16">
        <f>+RENDIMIENTOS!$C$42</f>
        <v>8</v>
      </c>
      <c r="G15" s="36">
        <f>ROUND(D15/F15,0)</f>
        <v>3105</v>
      </c>
    </row>
    <row r="16" spans="1:9">
      <c r="B16" s="14"/>
      <c r="C16" s="15"/>
      <c r="D16" s="17"/>
      <c r="E16" s="17"/>
      <c r="F16" s="22"/>
      <c r="G16" s="21"/>
    </row>
    <row r="17" spans="1:9">
      <c r="B17" s="14"/>
      <c r="C17" s="15"/>
      <c r="D17" s="17"/>
      <c r="E17" s="17"/>
      <c r="F17" s="22"/>
      <c r="G17" s="21"/>
    </row>
    <row r="18" spans="1:9" ht="13">
      <c r="D18" s="18"/>
      <c r="E18" s="18"/>
      <c r="F18" s="19" t="s">
        <v>1220</v>
      </c>
      <c r="G18" s="37">
        <f>SUM(G15:G17)</f>
        <v>3105</v>
      </c>
    </row>
    <row r="19" spans="1:9" ht="13">
      <c r="D19" s="18"/>
      <c r="E19" s="18"/>
      <c r="F19" s="18"/>
      <c r="G19" s="23"/>
    </row>
    <row r="20" spans="1:9" ht="13">
      <c r="B20" s="11" t="s">
        <v>1223</v>
      </c>
      <c r="G20" s="24"/>
    </row>
    <row r="21" spans="1:9" ht="13">
      <c r="A21" s="119" t="s">
        <v>184</v>
      </c>
      <c r="B21" s="12" t="s">
        <v>1</v>
      </c>
      <c r="C21" s="13" t="s">
        <v>185</v>
      </c>
      <c r="D21" s="13" t="s">
        <v>1230</v>
      </c>
      <c r="E21" s="13"/>
      <c r="F21" s="13" t="s">
        <v>1233</v>
      </c>
      <c r="G21" s="25" t="s">
        <v>752</v>
      </c>
      <c r="I21" s="39"/>
    </row>
    <row r="22" spans="1:9" ht="26.5" customHeight="1">
      <c r="A22" s="125">
        <v>1</v>
      </c>
      <c r="B22" s="122" t="str">
        <f>VLOOKUP(A22,Transporte[],2,FALSE)</f>
        <v>Carga terrestre Bogotá - Teorama</v>
      </c>
      <c r="C22" s="27" t="s">
        <v>1234</v>
      </c>
      <c r="D22" s="118">
        <f>+SUM(E8:E10)</f>
        <v>10.02</v>
      </c>
      <c r="E22" s="118"/>
      <c r="F22" s="142">
        <f>VLOOKUP(A22,Transporte[],7,FALSE)</f>
        <v>214.17955999999998</v>
      </c>
      <c r="G22" s="35">
        <f>D22*F22</f>
        <v>2146.0791911999995</v>
      </c>
    </row>
    <row r="23" spans="1:9" ht="13.4" customHeight="1">
      <c r="A23" s="125">
        <v>3</v>
      </c>
      <c r="B23" s="122" t="str">
        <f>VLOOKUP(A23,Transporte[],2,FALSE)</f>
        <v>Carga terrestre Teorama - Comunidades</v>
      </c>
      <c r="C23" s="27" t="s">
        <v>1234</v>
      </c>
      <c r="D23" s="118">
        <f>+SUM(E8:E10)</f>
        <v>10.02</v>
      </c>
      <c r="E23" s="118"/>
      <c r="F23" s="142">
        <f>VLOOKUP(A23,Transporte[],7,FALSE)</f>
        <v>1491</v>
      </c>
      <c r="G23" s="35">
        <f>D23*F23</f>
        <v>14939.82</v>
      </c>
    </row>
    <row r="24" spans="1:9" ht="13.4" customHeight="1">
      <c r="B24" s="26"/>
      <c r="C24" s="27"/>
      <c r="D24" s="28"/>
      <c r="E24" s="28"/>
      <c r="F24" s="35"/>
      <c r="G24" s="35"/>
    </row>
    <row r="25" spans="1:9" ht="13">
      <c r="D25" s="18"/>
      <c r="E25" s="18"/>
      <c r="F25" s="29" t="s">
        <v>1220</v>
      </c>
      <c r="G25" s="37">
        <f>SUM(G22:G24)</f>
        <v>17085.899191199998</v>
      </c>
    </row>
    <row r="26" spans="1:9" ht="13">
      <c r="D26" s="18"/>
      <c r="E26" s="18"/>
      <c r="G26" s="23"/>
    </row>
    <row r="27" spans="1:9" ht="13">
      <c r="B27" s="11" t="s">
        <v>1225</v>
      </c>
      <c r="D27" s="30"/>
      <c r="E27" s="30"/>
      <c r="F27" s="31"/>
      <c r="G27" s="24"/>
    </row>
    <row r="28" spans="1:9" s="18" customFormat="1" ht="13">
      <c r="A28" s="119" t="s">
        <v>184</v>
      </c>
      <c r="B28" s="12" t="s">
        <v>1</v>
      </c>
      <c r="C28" s="13" t="s">
        <v>1226</v>
      </c>
      <c r="D28" s="13" t="s">
        <v>1227</v>
      </c>
      <c r="E28" s="13"/>
      <c r="F28" s="13" t="s">
        <v>307</v>
      </c>
      <c r="G28" s="25" t="s">
        <v>752</v>
      </c>
    </row>
    <row r="29" spans="1:9" ht="14.5">
      <c r="A29" s="125">
        <v>1</v>
      </c>
      <c r="B29" s="122" t="str">
        <f>VLOOKUP(A29,ManoObra[],2,FALSE)</f>
        <v>Electricista</v>
      </c>
      <c r="C29" s="40">
        <f>VLOOKUP(A29,ManoObra[],7,FALSE)</f>
        <v>71863</v>
      </c>
      <c r="D29" s="22">
        <f>FP!$B$28</f>
        <v>1.61</v>
      </c>
      <c r="E29" s="22"/>
      <c r="F29" s="16">
        <f>+RENDIMIENTOS!$C$42</f>
        <v>8</v>
      </c>
      <c r="G29" s="36">
        <f>ROUND(C29*D29/F29,0)</f>
        <v>14462</v>
      </c>
      <c r="I29" s="81"/>
    </row>
    <row r="30" spans="1:9" ht="14.5">
      <c r="A30" s="125">
        <v>2</v>
      </c>
      <c r="B30" s="122" t="str">
        <f>VLOOKUP(A30,ManoObra[],2,FALSE)</f>
        <v>Ayudante</v>
      </c>
      <c r="C30" s="40">
        <f>VLOOKUP(A30,ManoObra[],7,FALSE)</f>
        <v>66050</v>
      </c>
      <c r="D30" s="22">
        <f>FP!$B$28</f>
        <v>1.61</v>
      </c>
      <c r="E30" s="22"/>
      <c r="F30" s="16">
        <f>+RENDIMIENTOS!$C$42</f>
        <v>8</v>
      </c>
      <c r="G30" s="36">
        <f>ROUND(C30*D30/F30,0)</f>
        <v>13293</v>
      </c>
      <c r="I30" s="81"/>
    </row>
    <row r="31" spans="1:9" ht="13">
      <c r="D31" s="18"/>
      <c r="E31" s="18"/>
      <c r="F31" s="29" t="s">
        <v>1220</v>
      </c>
      <c r="G31" s="42">
        <f>SUM(G29:G30)</f>
        <v>27755</v>
      </c>
    </row>
    <row r="32" spans="1:9" ht="13">
      <c r="D32" s="18"/>
      <c r="E32" s="18"/>
      <c r="G32" s="24"/>
    </row>
    <row r="33" spans="1:7" ht="12.75" customHeight="1">
      <c r="A33"/>
      <c r="D33" s="1725" t="s">
        <v>1228</v>
      </c>
      <c r="E33" s="1730"/>
      <c r="F33" s="1726"/>
      <c r="G33" s="38">
        <f>G11+G18+G25+G31</f>
        <v>113776.89919120001</v>
      </c>
    </row>
    <row r="34" spans="1:7" ht="13">
      <c r="A34" s="441"/>
      <c r="D34" s="18"/>
      <c r="E34" s="18"/>
      <c r="F34" s="10"/>
      <c r="G34" s="41"/>
    </row>
    <row r="35" spans="1:7" ht="13">
      <c r="A35" s="442"/>
      <c r="B35"/>
    </row>
    <row r="36" spans="1:7">
      <c r="B36" s="441"/>
    </row>
    <row r="37" spans="1:7">
      <c r="B37" s="441"/>
    </row>
    <row r="38" spans="1:7" ht="14">
      <c r="B38" s="840"/>
    </row>
    <row r="39" spans="1:7" ht="42">
      <c r="B39" s="1028" t="s">
        <v>1235</v>
      </c>
    </row>
  </sheetData>
  <mergeCells count="4">
    <mergeCell ref="B3:F3"/>
    <mergeCell ref="B4:D4"/>
    <mergeCell ref="D33:F33"/>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D7543-7C4C-4944-8A30-72DFDF38CEA7}">
  <sheetPr>
    <tabColor rgb="FFFF0000"/>
    <pageSetUpPr fitToPage="1"/>
  </sheetPr>
  <dimension ref="A1:I39"/>
  <sheetViews>
    <sheetView view="pageBreakPreview" zoomScale="80" zoomScaleNormal="100" zoomScaleSheetLayoutView="80"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0.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KW'!A18,", ",'PRES MR 10 KW'!A18)</f>
        <v>ITEM:  2.1.13, 3.1.13</v>
      </c>
      <c r="C3" s="1728"/>
      <c r="D3" s="1728"/>
      <c r="E3" s="1728"/>
      <c r="F3" s="1728"/>
      <c r="G3" s="6" t="s">
        <v>1229</v>
      </c>
      <c r="H3" s="7"/>
    </row>
    <row r="4" spans="1:9" ht="78.75" customHeight="1">
      <c r="B4" s="1722" t="str">
        <f>+'PRES MR 5 KW'!B18</f>
        <v>Suministro, transporte e instalación de sistema puesta a tierra con 4 varillas de cobre 5/8" x 2,4m bajante en cable de cobre desnudo calibre 2 AWG con soldadura exotérmica. Incluye barraje de puesta a tierra principal, cableado de equipotenciaciación de equipos y estructuras, bajante y electrodos</v>
      </c>
      <c r="C4" s="1723"/>
      <c r="D4" s="1724"/>
      <c r="E4" s="328"/>
      <c r="G4" s="8" t="str">
        <f>+'PRES MR 5 KW'!C18</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238</v>
      </c>
      <c r="B8" s="122" t="str">
        <f>VLOOKUP(A8,Materiales[],3,FALSE)</f>
        <v>Cable Cu THHN 2 AWG</v>
      </c>
      <c r="C8" s="121" t="str">
        <f>VLOOKUP(A8,Materiales[],4,FALSE)</f>
        <v>ML</v>
      </c>
      <c r="D8" s="118">
        <v>40</v>
      </c>
      <c r="E8" s="329">
        <f>VLOOKUP(A8,Materiales[],5,FALSE)*D8</f>
        <v>14</v>
      </c>
      <c r="F8" s="123">
        <f>VLOOKUP(A8,Materiales[],6,FALSE)</f>
        <v>27478</v>
      </c>
      <c r="G8" s="123">
        <f>ROUND(D8*F8,0)</f>
        <v>1099120</v>
      </c>
      <c r="I8" s="33"/>
    </row>
    <row r="9" spans="1:9" ht="14.5">
      <c r="A9" s="125">
        <v>68</v>
      </c>
      <c r="B9" s="122" t="str">
        <f>VLOOKUP(A9,Materiales[],3,FALSE)</f>
        <v>Varilla de cobre 5/8 x 2.4 m</v>
      </c>
      <c r="C9" s="121" t="str">
        <f>VLOOKUP(A9,Materiales[],4,FALSE)</f>
        <v>UN</v>
      </c>
      <c r="D9" s="118">
        <v>4</v>
      </c>
      <c r="E9" s="329">
        <f>VLOOKUP(A9,Materiales[],5,FALSE)*D9</f>
        <v>12.28</v>
      </c>
      <c r="F9" s="123">
        <f>VLOOKUP(A9,Materiales[],6,FALSE)</f>
        <v>248458</v>
      </c>
      <c r="G9" s="123">
        <f t="shared" ref="G9:G14" si="0">ROUND(D9*F9,0)</f>
        <v>993832</v>
      </c>
      <c r="I9" s="33"/>
    </row>
    <row r="10" spans="1:9" ht="14.5">
      <c r="A10" s="125">
        <v>69</v>
      </c>
      <c r="B10" s="122" t="str">
        <f>VLOOKUP(A10,Materiales[],3,FALSE)</f>
        <v>Soldadura exotermina 90 gr</v>
      </c>
      <c r="C10" s="121" t="str">
        <f>VLOOKUP(A10,Materiales[],4,FALSE)</f>
        <v>UN</v>
      </c>
      <c r="D10" s="118">
        <v>16</v>
      </c>
      <c r="E10" s="329">
        <f>VLOOKUP(A10,Materiales[],5,FALSE)*D10</f>
        <v>1.44</v>
      </c>
      <c r="F10" s="123">
        <f>VLOOKUP(A10,Materiales[],6,FALSE)</f>
        <v>23575</v>
      </c>
      <c r="G10" s="123">
        <f t="shared" si="0"/>
        <v>377200</v>
      </c>
      <c r="I10" s="33"/>
    </row>
    <row r="11" spans="1:9" ht="14.5">
      <c r="A11" s="125">
        <v>71</v>
      </c>
      <c r="B11" s="122" t="str">
        <f>VLOOKUP(A11,Materiales[],3,FALSE)</f>
        <v>Terminal doble ojo #2 AWG</v>
      </c>
      <c r="C11" s="121" t="str">
        <f>VLOOKUP(A11,Materiales[],4,FALSE)</f>
        <v>UN</v>
      </c>
      <c r="D11" s="118">
        <v>2</v>
      </c>
      <c r="E11" s="329">
        <f>VLOOKUP(A11,Materiales[],5,FALSE)*D11</f>
        <v>0.02</v>
      </c>
      <c r="F11" s="123">
        <f>VLOOKUP(A11,Materiales[],6,FALSE)</f>
        <v>5635</v>
      </c>
      <c r="G11" s="123">
        <f t="shared" si="0"/>
        <v>11270</v>
      </c>
      <c r="I11" s="33"/>
    </row>
    <row r="12" spans="1:9" ht="14.5">
      <c r="A12" s="125">
        <v>72</v>
      </c>
      <c r="B12" s="122" t="str">
        <f>VLOOKUP(A12,Materiales[],3,FALSE)</f>
        <v>Caja de inspección 30x30 cm con tapa</v>
      </c>
      <c r="C12" s="121" t="str">
        <f>VLOOKUP(A12,Materiales[],4,FALSE)</f>
        <v>UN</v>
      </c>
      <c r="D12" s="118">
        <v>1</v>
      </c>
      <c r="E12" s="329">
        <f>VLOOKUP(A12,Materiales[],5,FALSE)*D12</f>
        <v>10</v>
      </c>
      <c r="F12" s="123">
        <f>VLOOKUP(A12,Materiales[],6,FALSE)</f>
        <v>126035</v>
      </c>
      <c r="G12" s="123">
        <f t="shared" si="0"/>
        <v>126035</v>
      </c>
      <c r="I12" s="33"/>
    </row>
    <row r="13" spans="1:9" ht="37.5">
      <c r="A13" s="125">
        <v>73</v>
      </c>
      <c r="B13" s="122" t="str">
        <f>VLOOKUP(A13,Materiales[],3,FALSE)</f>
        <v>Kit de barra de cobre para puesta tierra de 10 conectores con área transversal no menor a 21,14 mm2. Incluye aisladores y accesorios de sujeción</v>
      </c>
      <c r="C13" s="121" t="str">
        <f>VLOOKUP(A13,Materiales[],4,FALSE)</f>
        <v>UN</v>
      </c>
      <c r="D13" s="118">
        <v>2</v>
      </c>
      <c r="E13" s="329">
        <f>VLOOKUP(A13,Materiales[],5,FALSE)*D13</f>
        <v>1</v>
      </c>
      <c r="F13" s="123">
        <f>VLOOKUP(A13,Materiales[],6,FALSE)</f>
        <v>52759</v>
      </c>
      <c r="G13" s="123">
        <f t="shared" si="0"/>
        <v>105518</v>
      </c>
      <c r="I13" s="33"/>
    </row>
    <row r="14" spans="1:9" ht="14.5">
      <c r="A14" s="125">
        <v>237</v>
      </c>
      <c r="B14" s="122" t="str">
        <f>VLOOKUP(A14,Materiales[],3,FALSE)</f>
        <v>Cable Cu THHN 4 AWG</v>
      </c>
      <c r="C14" s="121" t="str">
        <f>VLOOKUP(A14,Materiales[],4,FALSE)</f>
        <v>ML</v>
      </c>
      <c r="D14" s="333">
        <f>7.35+2.625+2.1</f>
        <v>12.074999999999999</v>
      </c>
      <c r="E14" s="329">
        <f>VLOOKUP(A14,Materiales[],5,FALSE)*D14</f>
        <v>2.8376249999999996</v>
      </c>
      <c r="F14" s="123">
        <f>VLOOKUP(A14,Materiales[],6,FALSE)</f>
        <v>18272</v>
      </c>
      <c r="G14" s="123">
        <f t="shared" si="0"/>
        <v>220634</v>
      </c>
      <c r="I14" s="33"/>
    </row>
    <row r="15" spans="1:9" ht="13">
      <c r="D15" s="18"/>
      <c r="E15" s="18"/>
      <c r="F15" s="29" t="s">
        <v>1220</v>
      </c>
      <c r="G15" s="42">
        <f>SUM(G8:G14)</f>
        <v>2933609</v>
      </c>
    </row>
    <row r="17" spans="1:9" ht="13">
      <c r="B17" s="20" t="s">
        <v>1221</v>
      </c>
      <c r="G17" s="39"/>
    </row>
    <row r="18" spans="1:9" ht="13">
      <c r="A18" s="119" t="s">
        <v>184</v>
      </c>
      <c r="B18" s="120" t="s">
        <v>1</v>
      </c>
      <c r="C18" s="13" t="s">
        <v>1231</v>
      </c>
      <c r="D18" s="13" t="s">
        <v>1222</v>
      </c>
      <c r="E18" s="13"/>
      <c r="F18" s="13" t="s">
        <v>307</v>
      </c>
      <c r="G18" s="13" t="s">
        <v>752</v>
      </c>
    </row>
    <row r="19" spans="1:9" ht="14.5">
      <c r="A19" s="125">
        <v>1</v>
      </c>
      <c r="B19" s="122" t="str">
        <f>VLOOKUP(A19,Equip.Herram[],2,FALSE)</f>
        <v>Herramienta menor</v>
      </c>
      <c r="C19" s="15" t="str">
        <f>VLOOKUP(A19,Equip.Herram[],3,FALSE)</f>
        <v>UN</v>
      </c>
      <c r="D19" s="36">
        <f>VLOOKUP(A19,Equip.Herram[],4,FALSE)</f>
        <v>24840</v>
      </c>
      <c r="E19" s="36"/>
      <c r="F19" s="16">
        <f>+RENDIMIENTOS!$C$43</f>
        <v>2</v>
      </c>
      <c r="G19" s="36">
        <f>ROUND(D19/F19,0)</f>
        <v>12420</v>
      </c>
    </row>
    <row r="20" spans="1:9">
      <c r="B20" s="14"/>
      <c r="C20" s="15"/>
      <c r="D20" s="17"/>
      <c r="E20" s="17"/>
      <c r="F20" s="22"/>
      <c r="G20" s="21"/>
    </row>
    <row r="21" spans="1:9">
      <c r="B21" s="14"/>
      <c r="C21" s="15"/>
      <c r="D21" s="17"/>
      <c r="E21" s="17"/>
      <c r="F21" s="22"/>
      <c r="G21" s="21"/>
    </row>
    <row r="22" spans="1:9" ht="13">
      <c r="D22" s="18"/>
      <c r="E22" s="18"/>
      <c r="F22" s="19" t="s">
        <v>1220</v>
      </c>
      <c r="G22" s="37">
        <f>SUM(G19:G21)</f>
        <v>12420</v>
      </c>
    </row>
    <row r="23" spans="1:9" ht="13">
      <c r="D23" s="18"/>
      <c r="E23" s="18"/>
      <c r="F23" s="18"/>
      <c r="G23" s="23"/>
    </row>
    <row r="24" spans="1:9" ht="13">
      <c r="B24" s="11" t="s">
        <v>1223</v>
      </c>
      <c r="G24" s="24"/>
    </row>
    <row r="25" spans="1:9" ht="13">
      <c r="A25" s="119" t="s">
        <v>184</v>
      </c>
      <c r="B25" s="12" t="s">
        <v>1</v>
      </c>
      <c r="C25" s="13" t="s">
        <v>185</v>
      </c>
      <c r="D25" s="13" t="s">
        <v>1230</v>
      </c>
      <c r="E25" s="13"/>
      <c r="F25" s="13" t="s">
        <v>1233</v>
      </c>
      <c r="G25" s="25" t="s">
        <v>752</v>
      </c>
      <c r="I25" s="39"/>
    </row>
    <row r="26" spans="1:9" ht="26.5" customHeight="1">
      <c r="A26" s="125">
        <v>1</v>
      </c>
      <c r="B26" s="122" t="str">
        <f>VLOOKUP(A26,Transporte[],2,FALSE)</f>
        <v>Carga terrestre Bogotá - Teorama</v>
      </c>
      <c r="C26" s="27" t="s">
        <v>1234</v>
      </c>
      <c r="D26" s="118">
        <f>+SUM(E8:E14)</f>
        <v>41.577625000000005</v>
      </c>
      <c r="E26" s="118"/>
      <c r="F26" s="142">
        <f>VLOOKUP(A26,Transporte[],7,FALSE)</f>
        <v>214.17955999999998</v>
      </c>
      <c r="G26" s="35">
        <f>D26*F26</f>
        <v>8905.077428345001</v>
      </c>
    </row>
    <row r="27" spans="1:9" ht="13.4" customHeight="1">
      <c r="A27" s="125">
        <v>3</v>
      </c>
      <c r="B27" s="122" t="str">
        <f>VLOOKUP(A27,Transporte[],2,FALSE)</f>
        <v>Carga terrestre Teorama - Comunidades</v>
      </c>
      <c r="C27" s="27" t="s">
        <v>1234</v>
      </c>
      <c r="D27" s="118">
        <f>+SUM(E8:E14)</f>
        <v>41.577625000000005</v>
      </c>
      <c r="E27" s="118"/>
      <c r="F27" s="142">
        <f>VLOOKUP(A27,Transporte[],7,FALSE)</f>
        <v>1491</v>
      </c>
      <c r="G27" s="35">
        <f>D27*F27</f>
        <v>61992.23887500001</v>
      </c>
    </row>
    <row r="28" spans="1:9" ht="13.4" customHeight="1">
      <c r="B28" s="26"/>
      <c r="C28" s="27"/>
      <c r="D28" s="28"/>
      <c r="E28" s="28"/>
      <c r="F28" s="35"/>
      <c r="G28" s="35"/>
    </row>
    <row r="29" spans="1:9" ht="13">
      <c r="D29" s="18"/>
      <c r="E29" s="18"/>
      <c r="F29" s="29" t="s">
        <v>1220</v>
      </c>
      <c r="G29" s="37">
        <f>SUM(G26:G28)</f>
        <v>70897.316303345011</v>
      </c>
    </row>
    <row r="30" spans="1:9" ht="13">
      <c r="D30" s="18"/>
      <c r="E30" s="18"/>
      <c r="G30" s="23"/>
    </row>
    <row r="31" spans="1:9" ht="13">
      <c r="B31" s="11" t="s">
        <v>1225</v>
      </c>
      <c r="D31" s="30"/>
      <c r="E31" s="30"/>
      <c r="F31" s="31"/>
      <c r="G31" s="24"/>
    </row>
    <row r="32" spans="1:9" s="18" customFormat="1" ht="13">
      <c r="A32" s="119" t="s">
        <v>184</v>
      </c>
      <c r="B32" s="12" t="s">
        <v>1</v>
      </c>
      <c r="C32" s="13" t="s">
        <v>1226</v>
      </c>
      <c r="D32" s="13" t="s">
        <v>1227</v>
      </c>
      <c r="E32" s="13"/>
      <c r="F32" s="13" t="s">
        <v>307</v>
      </c>
      <c r="G32" s="25" t="s">
        <v>752</v>
      </c>
    </row>
    <row r="33" spans="1:9" ht="14.5">
      <c r="A33" s="125">
        <v>1</v>
      </c>
      <c r="B33" s="122" t="str">
        <f>VLOOKUP(A33,ManoObra[],2,FALSE)</f>
        <v>Electricista</v>
      </c>
      <c r="C33" s="40">
        <f>VLOOKUP(A33,ManoObra[],7,FALSE)</f>
        <v>71863</v>
      </c>
      <c r="D33" s="22">
        <f>FP!$B$28</f>
        <v>1.61</v>
      </c>
      <c r="E33" s="22"/>
      <c r="F33" s="16">
        <f>+RENDIMIENTOS!$C$43</f>
        <v>2</v>
      </c>
      <c r="G33" s="36">
        <f>ROUND(C33*D33/F33,0)</f>
        <v>57850</v>
      </c>
      <c r="I33" s="81"/>
    </row>
    <row r="34" spans="1:9" ht="14.5">
      <c r="A34" s="125">
        <v>2</v>
      </c>
      <c r="B34" s="122" t="str">
        <f>VLOOKUP(A34,ManoObra[],2,FALSE)</f>
        <v>Ayudante</v>
      </c>
      <c r="C34" s="40">
        <f>VLOOKUP(A34,ManoObra[],7,FALSE)</f>
        <v>66050</v>
      </c>
      <c r="D34" s="22">
        <f>FP!$B$28</f>
        <v>1.61</v>
      </c>
      <c r="E34" s="22"/>
      <c r="F34" s="16">
        <f>+RENDIMIENTOS!$C$43</f>
        <v>2</v>
      </c>
      <c r="G34" s="36">
        <f>ROUND(C34*D34/F34,0)</f>
        <v>53170</v>
      </c>
      <c r="I34" s="81"/>
    </row>
    <row r="35" spans="1:9" ht="13">
      <c r="D35" s="18"/>
      <c r="E35" s="18"/>
      <c r="F35" s="29" t="s">
        <v>1220</v>
      </c>
      <c r="G35" s="42">
        <f>SUM(G33:G34)</f>
        <v>111020</v>
      </c>
    </row>
    <row r="36" spans="1:9" ht="13">
      <c r="D36" s="18"/>
      <c r="E36" s="18"/>
      <c r="G36" s="24"/>
    </row>
    <row r="37" spans="1:9" ht="12.75" customHeight="1">
      <c r="A37"/>
      <c r="B37" s="441"/>
      <c r="D37" s="1725" t="s">
        <v>1228</v>
      </c>
      <c r="E37" s="1730"/>
      <c r="F37" s="1726"/>
      <c r="G37" s="38">
        <f>G15+G22+G29+G35</f>
        <v>3127946.3163033449</v>
      </c>
    </row>
    <row r="38" spans="1:9" ht="14">
      <c r="A38" s="441"/>
      <c r="B38" s="840"/>
      <c r="D38" s="18"/>
      <c r="E38" s="18"/>
      <c r="F38" s="10"/>
      <c r="G38" s="41"/>
    </row>
    <row r="39" spans="1:9" ht="42">
      <c r="A39" s="442"/>
      <c r="B39" s="1028" t="s">
        <v>1235</v>
      </c>
    </row>
  </sheetData>
  <mergeCells count="4">
    <mergeCell ref="B3:F3"/>
    <mergeCell ref="B4:D4"/>
    <mergeCell ref="D37:F37"/>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BD46A-9B66-4170-B8A1-5513F8CF913C}">
  <sheetPr>
    <tabColor theme="9" tint="0.59999389629810485"/>
    <pageSetUpPr fitToPage="1"/>
  </sheetPr>
  <dimension ref="A1:I36"/>
  <sheetViews>
    <sheetView view="pageBreakPreview" zoomScale="80" zoomScaleNormal="100" zoomScaleSheetLayoutView="80"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29.1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 'PRES MR 5 KW'!A20,", ",'PRES MR 10 KW'!A20,", ",'PRES MR 15 KW'!A20)</f>
        <v>ITEM:  2.2.1, 3.2.1, 4.2.1</v>
      </c>
      <c r="C3" s="1728"/>
      <c r="D3" s="1728"/>
      <c r="E3" s="1728"/>
      <c r="F3" s="1728"/>
      <c r="G3" s="6" t="s">
        <v>1229</v>
      </c>
      <c r="H3" s="7"/>
    </row>
    <row r="4" spans="1:9" ht="87.65" customHeight="1">
      <c r="B4" s="1722" t="str">
        <f>+'PRES MR 5 KW'!B20</f>
        <v>Localización y replanteo civil</v>
      </c>
      <c r="C4" s="1723"/>
      <c r="D4" s="1724"/>
      <c r="E4" s="328"/>
      <c r="G4" s="8" t="str">
        <f>+'[294]PRES MR 8 US'!C19</f>
        <v>m2</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233</v>
      </c>
      <c r="B8" s="122" t="s">
        <v>1284</v>
      </c>
      <c r="C8" s="121" t="s">
        <v>1164</v>
      </c>
      <c r="D8" s="333">
        <v>0.5</v>
      </c>
      <c r="E8" s="329">
        <v>0.05</v>
      </c>
      <c r="F8" s="123">
        <v>90</v>
      </c>
      <c r="G8" s="705">
        <f>ROUND(D8*F8,0)</f>
        <v>45</v>
      </c>
      <c r="I8" s="33"/>
    </row>
    <row r="9" spans="1:9" ht="14.5">
      <c r="A9" s="117">
        <v>234</v>
      </c>
      <c r="B9" s="122" t="s">
        <v>1285</v>
      </c>
      <c r="C9" s="121" t="s">
        <v>1286</v>
      </c>
      <c r="D9" s="331">
        <v>0.01</v>
      </c>
      <c r="E9" s="329">
        <v>6.5199999999999991E-4</v>
      </c>
      <c r="F9" s="123">
        <v>5913</v>
      </c>
      <c r="G9" s="705">
        <f t="shared" ref="G9:G10" si="0">ROUND(D9*F9,0)</f>
        <v>59</v>
      </c>
    </row>
    <row r="10" spans="1:9" ht="14.5">
      <c r="A10" s="117">
        <v>3</v>
      </c>
      <c r="B10" s="122" t="s">
        <v>1287</v>
      </c>
      <c r="C10" s="121" t="s">
        <v>1288</v>
      </c>
      <c r="D10" s="333">
        <v>0.5</v>
      </c>
      <c r="E10" s="329">
        <v>0.05</v>
      </c>
      <c r="F10" s="123">
        <v>1107</v>
      </c>
      <c r="G10" s="705">
        <f t="shared" si="0"/>
        <v>554</v>
      </c>
    </row>
    <row r="11" spans="1:9" ht="13">
      <c r="D11" s="18"/>
      <c r="E11" s="18"/>
      <c r="F11" s="29" t="s">
        <v>1220</v>
      </c>
      <c r="G11" s="706">
        <f>SUM(G8:G10)</f>
        <v>658</v>
      </c>
    </row>
    <row r="12" spans="1:9">
      <c r="G12" s="707"/>
    </row>
    <row r="13" spans="1:9" ht="13">
      <c r="B13" s="20" t="s">
        <v>1221</v>
      </c>
      <c r="G13" s="707"/>
    </row>
    <row r="14" spans="1:9" ht="13">
      <c r="A14" s="119" t="s">
        <v>184</v>
      </c>
      <c r="B14" s="120" t="s">
        <v>1</v>
      </c>
      <c r="C14" s="13" t="s">
        <v>1231</v>
      </c>
      <c r="D14" s="13" t="s">
        <v>1222</v>
      </c>
      <c r="E14" s="13"/>
      <c r="F14" s="13" t="s">
        <v>307</v>
      </c>
      <c r="G14" s="708" t="s">
        <v>752</v>
      </c>
    </row>
    <row r="15" spans="1:9" ht="14.5">
      <c r="A15" s="125">
        <v>1</v>
      </c>
      <c r="B15" s="122" t="str">
        <f>VLOOKUP(A15,Equip.Herram[],2,FALSE)</f>
        <v>Herramienta menor</v>
      </c>
      <c r="C15" s="15" t="str">
        <f>VLOOKUP(A15,Equip.Herram[],3,FALSE)</f>
        <v>UN</v>
      </c>
      <c r="D15" s="36">
        <f>VLOOKUP(A15,Equip.Herram[],4,FALSE)</f>
        <v>24840</v>
      </c>
      <c r="E15" s="36"/>
      <c r="F15" s="16">
        <v>50</v>
      </c>
      <c r="G15" s="709">
        <f>ROUND(D15/F15,0)</f>
        <v>497</v>
      </c>
    </row>
    <row r="16" spans="1:9">
      <c r="B16" s="14"/>
      <c r="C16" s="15"/>
      <c r="D16" s="17"/>
      <c r="E16" s="17"/>
      <c r="F16" s="22"/>
      <c r="G16" s="709"/>
    </row>
    <row r="17" spans="1:9">
      <c r="B17" s="14"/>
      <c r="C17" s="15"/>
      <c r="D17" s="17"/>
      <c r="E17" s="17"/>
      <c r="F17" s="22"/>
      <c r="G17" s="709"/>
    </row>
    <row r="18" spans="1:9" ht="13">
      <c r="D18" s="18"/>
      <c r="E18" s="18"/>
      <c r="F18" s="19" t="s">
        <v>1220</v>
      </c>
      <c r="G18" s="710">
        <f>SUM(G15:G17)</f>
        <v>497</v>
      </c>
    </row>
    <row r="19" spans="1:9" ht="13">
      <c r="D19" s="18"/>
      <c r="E19" s="18"/>
      <c r="F19" s="18"/>
      <c r="G19" s="711"/>
    </row>
    <row r="20" spans="1:9" ht="13">
      <c r="B20" s="11" t="s">
        <v>1223</v>
      </c>
      <c r="G20" s="707"/>
    </row>
    <row r="21" spans="1:9" ht="13">
      <c r="A21" s="119" t="s">
        <v>184</v>
      </c>
      <c r="B21" s="12" t="s">
        <v>1</v>
      </c>
      <c r="C21" s="13" t="s">
        <v>185</v>
      </c>
      <c r="D21" s="13" t="s">
        <v>1230</v>
      </c>
      <c r="E21" s="13"/>
      <c r="F21" s="13" t="s">
        <v>1233</v>
      </c>
      <c r="G21" s="708" t="s">
        <v>752</v>
      </c>
      <c r="I21" s="39"/>
    </row>
    <row r="22" spans="1:9" ht="26.5" customHeight="1">
      <c r="A22" s="125">
        <v>1</v>
      </c>
      <c r="B22" s="122" t="str">
        <f>VLOOKUP(A22,Transporte[],2,FALSE)</f>
        <v>Carga terrestre Bogotá - Teorama</v>
      </c>
      <c r="C22" s="27" t="s">
        <v>1234</v>
      </c>
      <c r="D22" s="118">
        <f>+SUM(E8:E10)</f>
        <v>0.10065200000000001</v>
      </c>
      <c r="E22" s="118"/>
      <c r="F22" s="142">
        <f>VLOOKUP(A22,Transporte[],7,FALSE)</f>
        <v>214.17955999999998</v>
      </c>
      <c r="G22" s="712">
        <f>ROUND(D22*F22,0)</f>
        <v>22</v>
      </c>
    </row>
    <row r="23" spans="1:9" ht="13.4" customHeight="1">
      <c r="A23" s="125">
        <v>3</v>
      </c>
      <c r="B23" s="122" t="str">
        <f>VLOOKUP(A23,Transporte[],2,FALSE)</f>
        <v>Carga terrestre Teorama - Comunidades</v>
      </c>
      <c r="C23" s="27" t="s">
        <v>1234</v>
      </c>
      <c r="D23" s="118">
        <f>+SUM(E8:E10)</f>
        <v>0.10065200000000001</v>
      </c>
      <c r="E23" s="118"/>
      <c r="F23" s="142">
        <f>VLOOKUP(A23,Transporte[],7,FALSE)</f>
        <v>1491</v>
      </c>
      <c r="G23" s="712">
        <f>ROUND(D23*F23,0)</f>
        <v>150</v>
      </c>
    </row>
    <row r="24" spans="1:9" ht="13.4" customHeight="1">
      <c r="B24" s="26"/>
      <c r="C24" s="27"/>
      <c r="D24" s="28"/>
      <c r="E24" s="28"/>
      <c r="F24" s="35"/>
      <c r="G24" s="712"/>
    </row>
    <row r="25" spans="1:9" ht="13">
      <c r="D25" s="18"/>
      <c r="E25" s="18"/>
      <c r="F25" s="29" t="s">
        <v>1220</v>
      </c>
      <c r="G25" s="710">
        <f>SUM(G22:G24)</f>
        <v>172</v>
      </c>
    </row>
    <row r="26" spans="1:9" ht="13">
      <c r="D26" s="18"/>
      <c r="E26" s="18"/>
      <c r="G26" s="711"/>
    </row>
    <row r="27" spans="1:9" ht="13">
      <c r="B27" s="11" t="s">
        <v>1225</v>
      </c>
      <c r="D27" s="30"/>
      <c r="E27" s="30"/>
      <c r="F27" s="31"/>
      <c r="G27" s="707"/>
    </row>
    <row r="28" spans="1:9" s="18" customFormat="1" ht="13">
      <c r="A28" s="119" t="s">
        <v>184</v>
      </c>
      <c r="B28" s="12" t="s">
        <v>1</v>
      </c>
      <c r="C28" s="13" t="s">
        <v>1226</v>
      </c>
      <c r="D28" s="13" t="s">
        <v>1227</v>
      </c>
      <c r="E28" s="13"/>
      <c r="F28" s="13" t="s">
        <v>307</v>
      </c>
      <c r="G28" s="708" t="s">
        <v>752</v>
      </c>
    </row>
    <row r="29" spans="1:9" ht="14.5">
      <c r="A29" s="125">
        <v>1</v>
      </c>
      <c r="B29" s="122" t="str">
        <f>VLOOKUP(A29,ManoObra[],2,FALSE)</f>
        <v>Electricista</v>
      </c>
      <c r="C29" s="40">
        <f>VLOOKUP(A29,ManoObra[],7,FALSE)</f>
        <v>71863</v>
      </c>
      <c r="D29" s="22">
        <f>[294]FP!$B$28</f>
        <v>1.6</v>
      </c>
      <c r="E29" s="22"/>
      <c r="F29" s="16">
        <f>+F15</f>
        <v>50</v>
      </c>
      <c r="G29" s="709">
        <f>ROUND(C29*D29/F29,0)</f>
        <v>2300</v>
      </c>
      <c r="I29" s="411"/>
    </row>
    <row r="30" spans="1:9" ht="14.5">
      <c r="A30" s="125">
        <v>2</v>
      </c>
      <c r="B30" s="122" t="str">
        <f>VLOOKUP(A30,ManoObra[],2,FALSE)</f>
        <v>Ayudante</v>
      </c>
      <c r="C30" s="40">
        <f>VLOOKUP(A30,ManoObra[],7,FALSE)</f>
        <v>66050</v>
      </c>
      <c r="D30" s="22">
        <f>[294]FP!$B$28</f>
        <v>1.6</v>
      </c>
      <c r="E30" s="22"/>
      <c r="F30" s="16">
        <f>+F29</f>
        <v>50</v>
      </c>
      <c r="G30" s="709">
        <f>ROUND(C30*D30/F30,0)</f>
        <v>2114</v>
      </c>
      <c r="I30" s="411"/>
    </row>
    <row r="31" spans="1:9" ht="13">
      <c r="D31" s="18"/>
      <c r="E31" s="18"/>
      <c r="F31" s="29" t="s">
        <v>1220</v>
      </c>
      <c r="G31" s="706">
        <f>SUM(G29:G30)</f>
        <v>4414</v>
      </c>
    </row>
    <row r="32" spans="1:9" ht="13">
      <c r="D32" s="18"/>
      <c r="E32" s="18"/>
      <c r="G32" s="707"/>
    </row>
    <row r="33" spans="1:7" ht="12.75" customHeight="1">
      <c r="A33"/>
      <c r="D33" s="1725" t="s">
        <v>1228</v>
      </c>
      <c r="E33" s="1730"/>
      <c r="F33" s="1726"/>
      <c r="G33" s="713">
        <f>G11+G18+G25+G31</f>
        <v>5741</v>
      </c>
    </row>
    <row r="34" spans="1:7" ht="13">
      <c r="A34"/>
      <c r="B34" s="441"/>
      <c r="D34" s="18"/>
      <c r="E34" s="18"/>
      <c r="F34" s="10"/>
      <c r="G34" s="41"/>
    </row>
    <row r="35" spans="1:7" ht="14">
      <c r="A35" s="441"/>
      <c r="B35" s="840"/>
    </row>
    <row r="36" spans="1:7" ht="42">
      <c r="A36" s="442"/>
      <c r="B36" s="1028" t="s">
        <v>1235</v>
      </c>
    </row>
  </sheetData>
  <mergeCells count="4">
    <mergeCell ref="B3:F3"/>
    <mergeCell ref="B4:D4"/>
    <mergeCell ref="D33:F33"/>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8D3DE-0BC8-4EB6-9E7D-454DFD407743}">
  <sheetPr>
    <tabColor theme="9" tint="0.59999389629810485"/>
    <pageSetUpPr fitToPage="1"/>
  </sheetPr>
  <dimension ref="A1:I36"/>
  <sheetViews>
    <sheetView view="pageBreakPreview" zoomScale="60" zoomScaleNormal="100"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3.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KW'!A21,", ",'PRES MR 10 KW'!A21,", ",'PRES MR 15 KW'!A21)</f>
        <v>ITEM:  2.2.2, 3.2.2, 4.2.2</v>
      </c>
      <c r="C3" s="1728"/>
      <c r="D3" s="1728"/>
      <c r="E3" s="1728"/>
      <c r="F3" s="1728"/>
      <c r="G3" s="6" t="s">
        <v>1229</v>
      </c>
      <c r="H3" s="7"/>
    </row>
    <row r="4" spans="1:9" ht="87.65" customHeight="1">
      <c r="B4" s="1722" t="str">
        <f>+'PRES MR 5 KW'!B21</f>
        <v>Desmonte y limpieza del terreno (Incluye retiro de material sobrante)</v>
      </c>
      <c r="C4" s="1723"/>
      <c r="D4" s="1724"/>
      <c r="E4" s="328"/>
      <c r="G4" s="8" t="str">
        <f>+'[294]PRES MR 8 US'!C19</f>
        <v>m2</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c r="B8" s="122"/>
      <c r="C8" s="121"/>
      <c r="D8" s="333"/>
      <c r="E8" s="329"/>
      <c r="F8" s="123"/>
      <c r="G8" s="123">
        <f>ROUND(D8*F8,0)</f>
        <v>0</v>
      </c>
      <c r="I8" s="33"/>
    </row>
    <row r="9" spans="1:9" ht="14.5">
      <c r="A9" s="117"/>
      <c r="B9" s="122"/>
      <c r="C9" s="121"/>
      <c r="D9" s="331"/>
      <c r="E9" s="329"/>
      <c r="F9" s="123"/>
      <c r="G9" s="123">
        <f t="shared" ref="G9:G10" si="0">ROUND(D9*F9,0)</f>
        <v>0</v>
      </c>
    </row>
    <row r="10" spans="1:9" ht="14.5">
      <c r="A10" s="117"/>
      <c r="B10" s="122"/>
      <c r="C10" s="121"/>
      <c r="D10" s="333"/>
      <c r="E10" s="329"/>
      <c r="F10" s="123"/>
      <c r="G10" s="123">
        <f t="shared" si="0"/>
        <v>0</v>
      </c>
    </row>
    <row r="11" spans="1:9" ht="13">
      <c r="D11" s="18"/>
      <c r="E11" s="18"/>
      <c r="F11" s="29" t="s">
        <v>1220</v>
      </c>
      <c r="G11" s="42">
        <f>SUM(G8:G10)</f>
        <v>0</v>
      </c>
    </row>
    <row r="13" spans="1:9" ht="13">
      <c r="B13" s="20" t="s">
        <v>1221</v>
      </c>
      <c r="G13" s="39"/>
    </row>
    <row r="14" spans="1:9" ht="13">
      <c r="A14" s="119" t="s">
        <v>184</v>
      </c>
      <c r="B14" s="120" t="s">
        <v>1</v>
      </c>
      <c r="C14" s="13" t="s">
        <v>1231</v>
      </c>
      <c r="D14" s="13" t="s">
        <v>1222</v>
      </c>
      <c r="E14" s="13"/>
      <c r="F14" s="13" t="s">
        <v>307</v>
      </c>
      <c r="G14" s="13" t="s">
        <v>752</v>
      </c>
    </row>
    <row r="15" spans="1:9" ht="14.5">
      <c r="A15" s="125">
        <v>1</v>
      </c>
      <c r="B15" s="122" t="str">
        <f>VLOOKUP(A15,Equip.Herram[],2,FALSE)</f>
        <v>Herramienta menor</v>
      </c>
      <c r="C15" s="15" t="str">
        <f>VLOOKUP(A15,Equip.Herram[],3,FALSE)</f>
        <v>UN</v>
      </c>
      <c r="D15" s="36">
        <f>VLOOKUP(A15,Equip.Herram[],4,FALSE)</f>
        <v>24840</v>
      </c>
      <c r="E15" s="36"/>
      <c r="F15" s="16">
        <v>800</v>
      </c>
      <c r="G15" s="709">
        <f>ROUND(D15/F15,0)</f>
        <v>31</v>
      </c>
    </row>
    <row r="16" spans="1:9">
      <c r="B16" s="14" t="s">
        <v>1289</v>
      </c>
      <c r="C16" s="15" t="s">
        <v>1290</v>
      </c>
      <c r="D16" s="17">
        <v>8212</v>
      </c>
      <c r="E16" s="17"/>
      <c r="F16" s="714">
        <v>2.86E-2</v>
      </c>
      <c r="G16" s="709">
        <f>ROUND(D16*F16,0)</f>
        <v>235</v>
      </c>
    </row>
    <row r="17" spans="1:9">
      <c r="B17" s="14"/>
      <c r="C17" s="15"/>
      <c r="D17" s="17"/>
      <c r="E17" s="17"/>
      <c r="F17" s="22"/>
      <c r="G17" s="709"/>
    </row>
    <row r="18" spans="1:9" ht="13">
      <c r="D18" s="18"/>
      <c r="E18" s="18"/>
      <c r="F18" s="19" t="s">
        <v>1220</v>
      </c>
      <c r="G18" s="710">
        <f>SUM(G15:G17)</f>
        <v>266</v>
      </c>
    </row>
    <row r="19" spans="1:9" ht="13">
      <c r="D19" s="18"/>
      <c r="E19" s="18"/>
      <c r="F19" s="18"/>
      <c r="G19" s="711"/>
    </row>
    <row r="20" spans="1:9" ht="13">
      <c r="B20" s="11" t="s">
        <v>1223</v>
      </c>
      <c r="G20" s="707"/>
    </row>
    <row r="21" spans="1:9" ht="13">
      <c r="A21" s="119" t="s">
        <v>184</v>
      </c>
      <c r="B21" s="12" t="s">
        <v>1</v>
      </c>
      <c r="C21" s="13" t="s">
        <v>185</v>
      </c>
      <c r="D21" s="13" t="s">
        <v>1230</v>
      </c>
      <c r="E21" s="13"/>
      <c r="F21" s="13" t="s">
        <v>1233</v>
      </c>
      <c r="G21" s="708" t="s">
        <v>752</v>
      </c>
      <c r="I21" s="39"/>
    </row>
    <row r="22" spans="1:9" ht="26.5" customHeight="1">
      <c r="A22" s="125">
        <v>1</v>
      </c>
      <c r="B22" s="122" t="s">
        <v>1291</v>
      </c>
      <c r="C22" s="27" t="s">
        <v>1234</v>
      </c>
      <c r="D22" s="118">
        <f>+F16</f>
        <v>2.86E-2</v>
      </c>
      <c r="E22" s="118"/>
      <c r="F22" s="142">
        <v>87931</v>
      </c>
      <c r="G22" s="712">
        <f>ROUND(D22*F22,0)</f>
        <v>2515</v>
      </c>
    </row>
    <row r="23" spans="1:9" ht="13.4" customHeight="1">
      <c r="A23" s="125">
        <v>3</v>
      </c>
      <c r="B23" s="122" t="str">
        <f>VLOOKUP(A23,Transporte[],2,FALSE)</f>
        <v>Carga terrestre Teorama - Comunidades</v>
      </c>
      <c r="C23" s="27" t="s">
        <v>1234</v>
      </c>
      <c r="D23" s="118">
        <f>+SUM(E8:E10)</f>
        <v>0</v>
      </c>
      <c r="E23" s="118"/>
      <c r="F23" s="142">
        <f>VLOOKUP(A23,Transporte[],7,FALSE)</f>
        <v>1491</v>
      </c>
      <c r="G23" s="712">
        <f>D23*F23</f>
        <v>0</v>
      </c>
    </row>
    <row r="24" spans="1:9" ht="13.4" customHeight="1">
      <c r="B24" s="26"/>
      <c r="C24" s="27"/>
      <c r="D24" s="28"/>
      <c r="E24" s="28"/>
      <c r="F24" s="35"/>
      <c r="G24" s="712"/>
    </row>
    <row r="25" spans="1:9" ht="13">
      <c r="D25" s="18"/>
      <c r="E25" s="18"/>
      <c r="F25" s="29" t="s">
        <v>1220</v>
      </c>
      <c r="G25" s="710">
        <f>SUM(G22:G24)</f>
        <v>2515</v>
      </c>
    </row>
    <row r="26" spans="1:9" ht="13">
      <c r="D26" s="18"/>
      <c r="E26" s="18"/>
      <c r="G26" s="711"/>
    </row>
    <row r="27" spans="1:9" ht="13">
      <c r="B27" s="11" t="s">
        <v>1225</v>
      </c>
      <c r="D27" s="30"/>
      <c r="E27" s="30"/>
      <c r="F27" s="31"/>
      <c r="G27" s="707"/>
    </row>
    <row r="28" spans="1:9" s="18" customFormat="1" ht="13">
      <c r="A28" s="119" t="s">
        <v>184</v>
      </c>
      <c r="B28" s="12" t="s">
        <v>1</v>
      </c>
      <c r="C28" s="13" t="s">
        <v>1226</v>
      </c>
      <c r="D28" s="13" t="s">
        <v>1227</v>
      </c>
      <c r="E28" s="13"/>
      <c r="F28" s="13" t="s">
        <v>307</v>
      </c>
      <c r="G28" s="708" t="s">
        <v>752</v>
      </c>
    </row>
    <row r="29" spans="1:9" ht="14.5">
      <c r="A29" s="125"/>
      <c r="B29" s="122"/>
      <c r="C29" s="40"/>
      <c r="D29" s="22"/>
      <c r="E29" s="22"/>
      <c r="F29" s="16"/>
      <c r="G29" s="709"/>
      <c r="I29" s="411"/>
    </row>
    <row r="30" spans="1:9" ht="14.5">
      <c r="A30" s="125">
        <v>2</v>
      </c>
      <c r="B30" s="122" t="str">
        <f>VLOOKUP(A30,ManoObra[],2,FALSE)</f>
        <v>Ayudante</v>
      </c>
      <c r="C30" s="40">
        <f>VLOOKUP(A30,ManoObra[],7,FALSE)</f>
        <v>66050</v>
      </c>
      <c r="D30" s="22">
        <f>[294]FP!$B$28</f>
        <v>1.6</v>
      </c>
      <c r="E30" s="22"/>
      <c r="F30" s="714">
        <v>5.7999999999999996E-3</v>
      </c>
      <c r="G30" s="709">
        <f>ROUND(C30*D30*F30,0)</f>
        <v>613</v>
      </c>
      <c r="I30" s="411"/>
    </row>
    <row r="31" spans="1:9" ht="13">
      <c r="D31" s="18"/>
      <c r="E31" s="18"/>
      <c r="F31" s="29" t="s">
        <v>1220</v>
      </c>
      <c r="G31" s="706">
        <f>SUM(G29:G30)</f>
        <v>613</v>
      </c>
    </row>
    <row r="32" spans="1:9" ht="13">
      <c r="D32" s="18"/>
      <c r="E32" s="18"/>
      <c r="G32" s="707"/>
    </row>
    <row r="33" spans="1:7" ht="12.75" customHeight="1">
      <c r="A33"/>
      <c r="D33" s="1725" t="s">
        <v>1228</v>
      </c>
      <c r="E33" s="1730"/>
      <c r="F33" s="1726"/>
      <c r="G33" s="713">
        <f>G11+G18+G25+G31</f>
        <v>3394</v>
      </c>
    </row>
    <row r="34" spans="1:7" ht="13">
      <c r="A34"/>
      <c r="B34" s="441"/>
      <c r="D34" s="18"/>
      <c r="E34" s="18"/>
      <c r="F34" s="10"/>
      <c r="G34" s="41"/>
    </row>
    <row r="35" spans="1:7" ht="14">
      <c r="A35" s="441"/>
      <c r="B35" s="840"/>
    </row>
    <row r="36" spans="1:7" ht="42">
      <c r="A36" s="442"/>
      <c r="B36" s="1028" t="s">
        <v>1235</v>
      </c>
    </row>
  </sheetData>
  <mergeCells count="4">
    <mergeCell ref="B3:F3"/>
    <mergeCell ref="B4:D4"/>
    <mergeCell ref="D33:F33"/>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9" tint="0.59999389629810485"/>
    <pageSetUpPr fitToPage="1"/>
  </sheetPr>
  <dimension ref="A1:I33"/>
  <sheetViews>
    <sheetView view="pageBreakPreview" zoomScale="60" zoomScaleNormal="70"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8" ht="30.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8" ht="12.75" customHeight="1">
      <c r="B3" s="1727" t="str">
        <f>CONCATENATE("ITEM:  ",'PRES MR 5 KW'!A22,", ",'PRES MR 10 KW'!A22,", ",'PRES MR 15 KW'!A22)</f>
        <v>ITEM:  2.2.3, 3.2.3, 4.2.3</v>
      </c>
      <c r="C3" s="1728"/>
      <c r="D3" s="1728"/>
      <c r="E3" s="1728"/>
      <c r="F3" s="1728"/>
      <c r="G3" s="6" t="s">
        <v>1229</v>
      </c>
      <c r="H3" s="7"/>
    </row>
    <row r="4" spans="1:8" ht="78.75" customHeight="1">
      <c r="B4" s="1722" t="str">
        <f>+'PRES MR 5 KW'!B22</f>
        <v>Excavación manual (incluye retiro)</v>
      </c>
      <c r="C4" s="1723"/>
      <c r="D4" s="1724"/>
      <c r="E4" s="328"/>
      <c r="G4" s="8" t="str">
        <f>+'PRES MR 5 KW'!C22</f>
        <v>m3</v>
      </c>
    </row>
    <row r="5" spans="1:8" ht="13">
      <c r="B5" s="9"/>
      <c r="G5" s="10"/>
    </row>
    <row r="6" spans="1:8" ht="13">
      <c r="B6" s="20" t="s">
        <v>1219</v>
      </c>
    </row>
    <row r="7" spans="1:8" ht="13">
      <c r="A7" s="119" t="s">
        <v>184</v>
      </c>
      <c r="B7" s="120" t="s">
        <v>1</v>
      </c>
      <c r="C7" s="120" t="s">
        <v>185</v>
      </c>
      <c r="D7" s="120" t="s">
        <v>334</v>
      </c>
      <c r="E7" s="120" t="s">
        <v>1230</v>
      </c>
      <c r="F7" s="120" t="s">
        <v>751</v>
      </c>
      <c r="G7" s="120" t="s">
        <v>752</v>
      </c>
    </row>
    <row r="8" spans="1:8" ht="13">
      <c r="A8" s="119"/>
      <c r="B8" s="120"/>
      <c r="C8" s="120"/>
      <c r="D8" s="120"/>
      <c r="E8" s="120"/>
      <c r="F8" s="120"/>
      <c r="G8" s="120"/>
    </row>
    <row r="9" spans="1:8" ht="13">
      <c r="D9" s="18"/>
      <c r="E9" s="18"/>
      <c r="F9" s="29" t="s">
        <v>1220</v>
      </c>
      <c r="G9" s="42">
        <f>SUM(G8)</f>
        <v>0</v>
      </c>
    </row>
    <row r="11" spans="1:8" ht="13">
      <c r="B11" s="20" t="s">
        <v>1221</v>
      </c>
      <c r="G11" s="39"/>
    </row>
    <row r="12" spans="1:8" ht="13">
      <c r="A12" s="119" t="s">
        <v>184</v>
      </c>
      <c r="B12" s="120" t="s">
        <v>1</v>
      </c>
      <c r="C12" s="13" t="s">
        <v>1231</v>
      </c>
      <c r="D12" s="13" t="s">
        <v>1222</v>
      </c>
      <c r="E12" s="13"/>
      <c r="F12" s="13" t="s">
        <v>307</v>
      </c>
      <c r="G12" s="13" t="s">
        <v>752</v>
      </c>
    </row>
    <row r="13" spans="1:8" ht="14.5">
      <c r="A13" s="125">
        <v>1</v>
      </c>
      <c r="B13" s="122" t="str">
        <f>VLOOKUP(A13,Equip.Herram[],2,FALSE)</f>
        <v>Herramienta menor</v>
      </c>
      <c r="C13" s="15" t="str">
        <f>VLOOKUP(A13,Equip.Herram[],3,FALSE)</f>
        <v>UN</v>
      </c>
      <c r="D13" s="36">
        <f>VLOOKUP(A13,Equip.Herram[],4,FALSE)</f>
        <v>24840</v>
      </c>
      <c r="E13" s="36"/>
      <c r="F13" s="16">
        <v>80</v>
      </c>
      <c r="G13" s="36">
        <f>ROUND(D13/F13,0)</f>
        <v>311</v>
      </c>
    </row>
    <row r="14" spans="1:8" ht="23.25" customHeight="1">
      <c r="A14" s="125"/>
      <c r="B14" s="122"/>
      <c r="C14" s="15"/>
      <c r="D14" s="36"/>
      <c r="E14" s="36"/>
      <c r="F14" s="48"/>
      <c r="G14" s="36"/>
    </row>
    <row r="15" spans="1:8">
      <c r="B15" s="14"/>
      <c r="C15" s="15"/>
      <c r="D15" s="17"/>
      <c r="E15" s="17"/>
      <c r="F15" s="22"/>
      <c r="G15" s="21"/>
    </row>
    <row r="16" spans="1:8" ht="13">
      <c r="D16" s="18"/>
      <c r="E16" s="18"/>
      <c r="F16" s="19" t="s">
        <v>1220</v>
      </c>
      <c r="G16" s="37">
        <f>SUM(G13:G15)</f>
        <v>311</v>
      </c>
    </row>
    <row r="17" spans="1:9" ht="13">
      <c r="D17" s="18"/>
      <c r="E17" s="18"/>
      <c r="F17" s="18"/>
      <c r="G17" s="23"/>
    </row>
    <row r="18" spans="1:9" ht="13">
      <c r="B18" s="11" t="s">
        <v>1223</v>
      </c>
      <c r="G18" s="24"/>
    </row>
    <row r="19" spans="1:9" ht="13">
      <c r="A19" s="119" t="s">
        <v>184</v>
      </c>
      <c r="B19" s="12" t="s">
        <v>1</v>
      </c>
      <c r="C19" s="13" t="s">
        <v>185</v>
      </c>
      <c r="D19" s="13" t="s">
        <v>1230</v>
      </c>
      <c r="E19" s="13"/>
      <c r="F19" s="13" t="s">
        <v>1233</v>
      </c>
      <c r="G19" s="25" t="s">
        <v>752</v>
      </c>
      <c r="I19" s="39"/>
    </row>
    <row r="20" spans="1:9" ht="26.5" customHeight="1">
      <c r="A20" s="125">
        <v>1</v>
      </c>
      <c r="B20" s="122" t="str">
        <f>VLOOKUP(A20,Transporte[],2,FALSE)</f>
        <v>Carga terrestre Bogotá - Teorama</v>
      </c>
      <c r="C20" s="27" t="s">
        <v>1234</v>
      </c>
      <c r="D20" s="118">
        <f>+SUM(E8)</f>
        <v>0</v>
      </c>
      <c r="E20" s="118"/>
      <c r="F20" s="142">
        <f>VLOOKUP(A20,Transporte[],7,FALSE)</f>
        <v>214.17955999999998</v>
      </c>
      <c r="G20" s="35">
        <f>D20*F20</f>
        <v>0</v>
      </c>
    </row>
    <row r="21" spans="1:9" ht="13.4" customHeight="1">
      <c r="A21" s="125">
        <v>3</v>
      </c>
      <c r="B21" s="122" t="str">
        <f>VLOOKUP(A21,Transporte[],2,FALSE)</f>
        <v>Carga terrestre Teorama - Comunidades</v>
      </c>
      <c r="C21" s="27" t="s">
        <v>1234</v>
      </c>
      <c r="D21" s="118">
        <f>+SUM(E8)</f>
        <v>0</v>
      </c>
      <c r="E21" s="118"/>
      <c r="F21" s="142">
        <f>VLOOKUP(A21,Transporte[],7,FALSE)</f>
        <v>1491</v>
      </c>
      <c r="G21" s="35">
        <f>D21*F21</f>
        <v>0</v>
      </c>
    </row>
    <row r="22" spans="1:9" ht="13.4" customHeight="1">
      <c r="B22" s="26"/>
      <c r="C22" s="27"/>
      <c r="D22" s="28"/>
      <c r="E22" s="28"/>
      <c r="F22" s="35"/>
      <c r="G22" s="35"/>
    </row>
    <row r="23" spans="1:9" ht="13">
      <c r="D23" s="18"/>
      <c r="E23" s="18"/>
      <c r="F23" s="29" t="s">
        <v>1220</v>
      </c>
      <c r="G23" s="37">
        <f>SUM(G20:G22)</f>
        <v>0</v>
      </c>
    </row>
    <row r="24" spans="1:9" ht="13">
      <c r="D24" s="18"/>
      <c r="E24" s="18"/>
      <c r="G24" s="23"/>
    </row>
    <row r="25" spans="1:9" ht="13">
      <c r="B25" s="11" t="s">
        <v>1225</v>
      </c>
      <c r="D25" s="30"/>
      <c r="E25" s="30"/>
      <c r="F25" s="31"/>
      <c r="G25" s="24"/>
    </row>
    <row r="26" spans="1:9" s="18" customFormat="1" ht="13">
      <c r="A26" s="119" t="s">
        <v>184</v>
      </c>
      <c r="B26" s="12" t="s">
        <v>1</v>
      </c>
      <c r="C26" s="13" t="s">
        <v>1226</v>
      </c>
      <c r="D26" s="13" t="s">
        <v>1227</v>
      </c>
      <c r="E26" s="13"/>
      <c r="F26" s="13" t="s">
        <v>307</v>
      </c>
      <c r="G26" s="25" t="s">
        <v>752</v>
      </c>
    </row>
    <row r="27" spans="1:9" ht="14.5">
      <c r="A27" s="125">
        <v>2</v>
      </c>
      <c r="B27" s="122" t="str">
        <f>VLOOKUP(A27,ManoObra[],2,FALSE)</f>
        <v>Ayudante</v>
      </c>
      <c r="C27" s="40">
        <f>VLOOKUP(A27,ManoObra[],7,FALSE)</f>
        <v>66050</v>
      </c>
      <c r="D27" s="22">
        <f>FP!$B$28</f>
        <v>1.61</v>
      </c>
      <c r="E27" s="22"/>
      <c r="F27" s="16">
        <v>2</v>
      </c>
      <c r="G27" s="36">
        <f>ROUND(C27*D27/F27,0)</f>
        <v>53170</v>
      </c>
    </row>
    <row r="28" spans="1:9" ht="13">
      <c r="D28" s="18"/>
      <c r="E28" s="18"/>
      <c r="F28" s="29" t="s">
        <v>1220</v>
      </c>
      <c r="G28" s="42">
        <f>SUM(G27:G27)</f>
        <v>53170</v>
      </c>
    </row>
    <row r="29" spans="1:9" ht="13">
      <c r="D29" s="18"/>
      <c r="E29" s="18"/>
      <c r="G29" s="24"/>
    </row>
    <row r="30" spans="1:9" ht="12.75" customHeight="1">
      <c r="A30"/>
      <c r="D30" s="1725" t="s">
        <v>1228</v>
      </c>
      <c r="E30" s="1730"/>
      <c r="F30" s="1726"/>
      <c r="G30" s="38">
        <f>G9+G16+G23+G28</f>
        <v>53481</v>
      </c>
    </row>
    <row r="31" spans="1:9" ht="13">
      <c r="A31" s="441"/>
      <c r="B31" s="441"/>
      <c r="D31" s="18"/>
      <c r="E31" s="18"/>
      <c r="F31" s="10"/>
      <c r="G31" s="41"/>
    </row>
    <row r="32" spans="1:9" ht="14">
      <c r="A32" s="442"/>
      <c r="B32" s="840"/>
    </row>
    <row r="33" spans="2:2" ht="42">
      <c r="B33" s="1028" t="s">
        <v>1235</v>
      </c>
    </row>
  </sheetData>
  <mergeCells count="4">
    <mergeCell ref="B3:F3"/>
    <mergeCell ref="B4:D4"/>
    <mergeCell ref="D30:F30"/>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59999389629810485"/>
    <pageSetUpPr fitToPage="1"/>
  </sheetPr>
  <dimension ref="A1:M34"/>
  <sheetViews>
    <sheetView view="pageBreakPreview" zoomScale="60" zoomScaleNormal="100"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13" ht="32.1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13" ht="12.75" customHeight="1">
      <c r="B3" s="1727" t="str">
        <f>CONCATENATE("ITEM:  ",'PRES MR 5 KW'!A23,", ",'PRES MR 10 KW'!A23,", ",'PRES MR 15 KW'!A23)</f>
        <v>ITEM:  2.2.4, 3.2.4, 4.2.4</v>
      </c>
      <c r="C3" s="1728"/>
      <c r="D3" s="1728"/>
      <c r="E3" s="1728"/>
      <c r="F3" s="1728"/>
      <c r="G3" s="6" t="s">
        <v>1229</v>
      </c>
      <c r="H3" s="7"/>
    </row>
    <row r="4" spans="1:13" ht="78.75" customHeight="1">
      <c r="B4" s="1722" t="str">
        <f>+'PRES MR 5 KW'!B23</f>
        <v>Relleno y compactación con material seleccionado</v>
      </c>
      <c r="C4" s="1723"/>
      <c r="D4" s="1724"/>
      <c r="E4" s="328"/>
      <c r="G4" s="8" t="str">
        <f>+'PRES MR 5 KW'!C23</f>
        <v>m3</v>
      </c>
    </row>
    <row r="5" spans="1:13" ht="13">
      <c r="B5" s="9"/>
      <c r="G5" s="10"/>
    </row>
    <row r="6" spans="1:13" ht="13">
      <c r="B6" s="20" t="s">
        <v>1219</v>
      </c>
    </row>
    <row r="7" spans="1:13" ht="13">
      <c r="A7" s="119" t="s">
        <v>184</v>
      </c>
      <c r="B7" s="120" t="s">
        <v>1</v>
      </c>
      <c r="C7" s="120" t="s">
        <v>185</v>
      </c>
      <c r="D7" s="120" t="s">
        <v>334</v>
      </c>
      <c r="E7" s="120" t="s">
        <v>1230</v>
      </c>
      <c r="F7" s="120" t="s">
        <v>751</v>
      </c>
      <c r="G7" s="120" t="s">
        <v>752</v>
      </c>
    </row>
    <row r="8" spans="1:13" ht="14.5">
      <c r="A8" s="125">
        <v>89</v>
      </c>
      <c r="B8" s="122" t="str">
        <f>VLOOKUP(A8,Materiales[],3,FALSE)</f>
        <v>Agua</v>
      </c>
      <c r="C8" s="121" t="str">
        <f>VLOOKUP(A8,Materiales[],4,FALSE)</f>
        <v>L</v>
      </c>
      <c r="D8" s="118">
        <v>30</v>
      </c>
      <c r="E8" s="329">
        <f>VLOOKUP(A8,Materiales[],5,FALSE)*D8</f>
        <v>30</v>
      </c>
      <c r="F8" s="123">
        <f>VLOOKUP(A8,Materiales[],6,FALSE)</f>
        <v>58</v>
      </c>
      <c r="G8" s="123">
        <f>ROUND(D8*F8,0)</f>
        <v>1740</v>
      </c>
      <c r="I8" s="33"/>
    </row>
    <row r="9" spans="1:13" ht="14.5">
      <c r="A9" s="125">
        <v>212</v>
      </c>
      <c r="B9" s="122" t="str">
        <f>VLOOKUP(A9,Materiales[],3,FALSE)</f>
        <v>Recebo B200</v>
      </c>
      <c r="C9" s="121" t="str">
        <f>VLOOKUP(A9,Materiales[],4,FALSE)</f>
        <v>m3</v>
      </c>
      <c r="D9" s="118">
        <v>1</v>
      </c>
      <c r="E9" s="329">
        <f>VLOOKUP(A9,Materiales[],5,FALSE)*D9</f>
        <v>1700</v>
      </c>
      <c r="F9" s="123">
        <f>VLOOKUP(A9,Materiales[],6,FALSE)</f>
        <v>81305</v>
      </c>
      <c r="G9" s="123">
        <f>ROUND(D9*F9,0)</f>
        <v>81305</v>
      </c>
      <c r="I9" s="33"/>
    </row>
    <row r="10" spans="1:13" ht="13">
      <c r="D10" s="18"/>
      <c r="E10" s="18"/>
      <c r="F10" s="29" t="s">
        <v>1220</v>
      </c>
      <c r="G10" s="42">
        <f>SUM(G8:G9)</f>
        <v>83045</v>
      </c>
    </row>
    <row r="12" spans="1:13" ht="13">
      <c r="B12" s="20" t="s">
        <v>1221</v>
      </c>
      <c r="G12" s="39"/>
    </row>
    <row r="13" spans="1:13" ht="13">
      <c r="A13" s="119" t="s">
        <v>184</v>
      </c>
      <c r="B13" s="120" t="s">
        <v>1</v>
      </c>
      <c r="C13" s="13" t="s">
        <v>1231</v>
      </c>
      <c r="D13" s="13" t="s">
        <v>1222</v>
      </c>
      <c r="E13" s="13"/>
      <c r="F13" s="13" t="s">
        <v>307</v>
      </c>
      <c r="G13" s="13" t="s">
        <v>752</v>
      </c>
    </row>
    <row r="14" spans="1:13" ht="25">
      <c r="A14" s="125">
        <v>12</v>
      </c>
      <c r="B14" s="122" t="str">
        <f>VLOOKUP(A14,Equip.Herram[],2,FALSE)</f>
        <v>Compactador manual (saltarín) peso de operación (kg.) 52, fuerza de impacto por golpe (KN) 12</v>
      </c>
      <c r="C14" s="15" t="str">
        <f>VLOOKUP(A14,Equip.Herram[],3,FALSE)</f>
        <v>HORA</v>
      </c>
      <c r="D14" s="36">
        <f>VLOOKUP(A14,Equip.Herram[],4,FALSE)</f>
        <v>13379</v>
      </c>
      <c r="E14" s="36">
        <v>250</v>
      </c>
      <c r="F14" s="22">
        <v>2</v>
      </c>
      <c r="G14" s="36">
        <f>ROUND(D14/F14,0)</f>
        <v>6690</v>
      </c>
      <c r="J14" s="5" t="s">
        <v>1292</v>
      </c>
      <c r="K14" s="5" t="s">
        <v>1293</v>
      </c>
      <c r="L14" s="1146" t="s">
        <v>1294</v>
      </c>
    </row>
    <row r="15" spans="1:13" ht="14.5">
      <c r="A15" s="125">
        <v>1</v>
      </c>
      <c r="B15" s="122" t="str">
        <f>VLOOKUP(A15,Equip.Herram[],2,FALSE)</f>
        <v>Herramienta menor</v>
      </c>
      <c r="C15" s="15" t="str">
        <f>VLOOKUP(A15,Equip.Herram[],3,FALSE)</f>
        <v>UN</v>
      </c>
      <c r="D15" s="36">
        <f>VLOOKUP(A15,Equip.Herram[],4,FALSE)</f>
        <v>24840</v>
      </c>
      <c r="E15" s="36"/>
      <c r="F15" s="16">
        <f>+RENDIMIENTOS!C52</f>
        <v>4</v>
      </c>
      <c r="G15" s="36">
        <f>ROUND(D15/F15,0)</f>
        <v>6210</v>
      </c>
      <c r="J15" s="5" t="s">
        <v>1295</v>
      </c>
      <c r="K15" s="5">
        <v>2</v>
      </c>
      <c r="L15" s="5">
        <v>3.4</v>
      </c>
      <c r="M15" s="5">
        <f>+K15*L15</f>
        <v>6.8</v>
      </c>
    </row>
    <row r="16" spans="1:13">
      <c r="B16" s="14"/>
      <c r="C16" s="15"/>
      <c r="D16" s="17"/>
      <c r="E16" s="17"/>
      <c r="F16" s="22"/>
      <c r="G16" s="21"/>
      <c r="J16" s="5" t="s">
        <v>1296</v>
      </c>
      <c r="K16" s="5">
        <v>1</v>
      </c>
      <c r="L16" s="5">
        <v>4.5999999999999996</v>
      </c>
      <c r="M16" s="5">
        <f t="shared" ref="M16:M17" si="0">+K16*L16</f>
        <v>4.5999999999999996</v>
      </c>
    </row>
    <row r="17" spans="1:13" ht="13">
      <c r="D17" s="18"/>
      <c r="E17" s="18"/>
      <c r="F17" s="19" t="s">
        <v>1220</v>
      </c>
      <c r="G17" s="37">
        <f>SUM(G14:G16)</f>
        <v>12900</v>
      </c>
      <c r="J17" s="5" t="s">
        <v>1297</v>
      </c>
      <c r="K17" s="5">
        <v>1</v>
      </c>
      <c r="L17" s="5">
        <v>4.8</v>
      </c>
      <c r="M17" s="5">
        <f t="shared" si="0"/>
        <v>4.8</v>
      </c>
    </row>
    <row r="18" spans="1:13" ht="13">
      <c r="D18" s="18"/>
      <c r="E18" s="18"/>
      <c r="F18" s="18"/>
      <c r="G18" s="23"/>
      <c r="M18" s="5">
        <f>+SUM(M15:M17)</f>
        <v>16.2</v>
      </c>
    </row>
    <row r="19" spans="1:13" ht="13">
      <c r="B19" s="11" t="s">
        <v>1223</v>
      </c>
      <c r="G19" s="24"/>
    </row>
    <row r="20" spans="1:13" ht="13">
      <c r="A20" s="119" t="s">
        <v>184</v>
      </c>
      <c r="B20" s="12" t="s">
        <v>1</v>
      </c>
      <c r="C20" s="13" t="s">
        <v>185</v>
      </c>
      <c r="D20" s="13" t="s">
        <v>1230</v>
      </c>
      <c r="E20" s="13"/>
      <c r="F20" s="13" t="s">
        <v>1233</v>
      </c>
      <c r="G20" s="25" t="s">
        <v>752</v>
      </c>
      <c r="I20" s="39"/>
    </row>
    <row r="21" spans="1:13" ht="26.5" hidden="1" customHeight="1">
      <c r="A21" s="125"/>
      <c r="B21" s="122"/>
      <c r="C21" s="27"/>
      <c r="D21" s="333"/>
      <c r="E21" s="118"/>
      <c r="F21" s="142"/>
      <c r="G21" s="35"/>
    </row>
    <row r="22" spans="1:13" ht="13.4" customHeight="1">
      <c r="A22" s="125">
        <v>3</v>
      </c>
      <c r="B22" s="122" t="str">
        <f>VLOOKUP(A22,Transporte[],2,FALSE)</f>
        <v>Carga terrestre Teorama - Comunidades</v>
      </c>
      <c r="C22" s="27" t="s">
        <v>1234</v>
      </c>
      <c r="D22" s="333">
        <f>E14/(2*M18)</f>
        <v>7.7160493827160499</v>
      </c>
      <c r="E22" s="118"/>
      <c r="F22" s="142">
        <f>VLOOKUP(A22,Transporte[],7,FALSE)</f>
        <v>1491</v>
      </c>
      <c r="G22" s="35">
        <f>D22*F22</f>
        <v>11504.62962962963</v>
      </c>
    </row>
    <row r="23" spans="1:13" ht="13.4" customHeight="1">
      <c r="A23" s="125">
        <v>9</v>
      </c>
      <c r="B23" s="122" t="str">
        <f>VLOOKUP(A23,Transporte[],2,FALSE)</f>
        <v>Carga terrestre Cantera Petrea - Comunidades</v>
      </c>
      <c r="C23" s="27" t="s">
        <v>1234</v>
      </c>
      <c r="D23" s="333">
        <f>+E9</f>
        <v>1700</v>
      </c>
      <c r="E23" s="118"/>
      <c r="F23" s="142">
        <f>VLOOKUP(A23,Transporte[],7,FALSE)</f>
        <v>50</v>
      </c>
      <c r="G23" s="35">
        <f>D23*F23</f>
        <v>85000</v>
      </c>
    </row>
    <row r="24" spans="1:13" ht="13">
      <c r="D24" s="18"/>
      <c r="E24" s="18"/>
      <c r="F24" s="29" t="s">
        <v>1220</v>
      </c>
      <c r="G24" s="37">
        <f>SUM(G21:G23)</f>
        <v>96504.629629629635</v>
      </c>
    </row>
    <row r="25" spans="1:13" ht="13">
      <c r="D25" s="18"/>
      <c r="E25" s="18"/>
      <c r="G25" s="23"/>
    </row>
    <row r="26" spans="1:13" ht="13">
      <c r="B26" s="11" t="s">
        <v>1225</v>
      </c>
      <c r="D26" s="30"/>
      <c r="E26" s="30"/>
      <c r="F26" s="31"/>
      <c r="G26" s="24"/>
    </row>
    <row r="27" spans="1:13" s="18" customFormat="1" ht="13">
      <c r="A27" s="119" t="s">
        <v>184</v>
      </c>
      <c r="B27" s="12" t="s">
        <v>1</v>
      </c>
      <c r="C27" s="13" t="s">
        <v>1226</v>
      </c>
      <c r="D27" s="13" t="s">
        <v>1227</v>
      </c>
      <c r="E27" s="13"/>
      <c r="F27" s="13" t="s">
        <v>307</v>
      </c>
      <c r="G27" s="25" t="s">
        <v>752</v>
      </c>
    </row>
    <row r="28" spans="1:13" ht="14.5">
      <c r="A28" s="125">
        <v>2</v>
      </c>
      <c r="B28" s="122" t="str">
        <f>VLOOKUP(A28,ManoObra[],2,FALSE)</f>
        <v>Ayudante</v>
      </c>
      <c r="C28" s="40">
        <f>VLOOKUP(A28,ManoObra[],7,FALSE)</f>
        <v>66050</v>
      </c>
      <c r="D28" s="22">
        <f>FP!$B$28</f>
        <v>1.61</v>
      </c>
      <c r="E28" s="22"/>
      <c r="F28" s="16">
        <f>+RENDIMIENTOS!C52</f>
        <v>4</v>
      </c>
      <c r="G28" s="36">
        <f>ROUND(C28*D28/F28,0)</f>
        <v>26585</v>
      </c>
    </row>
    <row r="29" spans="1:13" ht="13">
      <c r="D29" s="18"/>
      <c r="E29" s="18"/>
      <c r="F29" s="29" t="s">
        <v>1220</v>
      </c>
      <c r="G29" s="42">
        <f>SUM(G28:G28)</f>
        <v>26585</v>
      </c>
    </row>
    <row r="30" spans="1:13" ht="13">
      <c r="D30" s="18"/>
      <c r="E30" s="18"/>
      <c r="G30" s="24"/>
    </row>
    <row r="31" spans="1:13" ht="12.75" customHeight="1">
      <c r="A31"/>
      <c r="D31" s="1725" t="s">
        <v>1228</v>
      </c>
      <c r="E31" s="1730"/>
      <c r="F31" s="1726"/>
      <c r="G31" s="38">
        <f>G10+G17+G24+G29</f>
        <v>219034.62962962964</v>
      </c>
    </row>
    <row r="32" spans="1:13" ht="13">
      <c r="A32" s="441"/>
      <c r="B32" s="441"/>
      <c r="D32" s="18"/>
      <c r="E32" s="18"/>
      <c r="F32" s="10"/>
      <c r="G32" s="41"/>
    </row>
    <row r="33" spans="1:2" ht="14">
      <c r="A33" s="442"/>
      <c r="B33" s="840"/>
    </row>
    <row r="34" spans="1:2" ht="42">
      <c r="B34" s="1028" t="s">
        <v>1235</v>
      </c>
    </row>
  </sheetData>
  <mergeCells count="4">
    <mergeCell ref="B3:F3"/>
    <mergeCell ref="B4:D4"/>
    <mergeCell ref="D31:F31"/>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8">
    <tabColor theme="6" tint="0.59999389629810485"/>
  </sheetPr>
  <dimension ref="A1:I24"/>
  <sheetViews>
    <sheetView workbookViewId="0">
      <selection activeCell="F3" sqref="F3:F5"/>
    </sheetView>
  </sheetViews>
  <sheetFormatPr baseColWidth="10" defaultColWidth="11.453125" defaultRowHeight="12.5"/>
  <cols>
    <col min="1" max="1" width="48.1796875" bestFit="1" customWidth="1"/>
    <col min="3" max="3" width="22.453125" customWidth="1"/>
    <col min="4" max="5" width="13.453125" customWidth="1"/>
    <col min="6" max="6" width="34" customWidth="1"/>
  </cols>
  <sheetData>
    <row r="1" spans="1:9" ht="15.5">
      <c r="A1" s="1435" t="s">
        <v>289</v>
      </c>
      <c r="B1" s="1435"/>
      <c r="C1" s="1435"/>
      <c r="D1" s="1435"/>
      <c r="E1" s="1435"/>
      <c r="F1" s="1435"/>
      <c r="I1" s="279" t="s">
        <v>290</v>
      </c>
    </row>
    <row r="2" spans="1:9" ht="14.5">
      <c r="A2" s="267" t="s">
        <v>291</v>
      </c>
      <c r="B2" s="267" t="s">
        <v>292</v>
      </c>
      <c r="C2" s="267" t="s">
        <v>293</v>
      </c>
      <c r="D2" s="267" t="s">
        <v>294</v>
      </c>
      <c r="E2" s="267" t="s">
        <v>295</v>
      </c>
      <c r="F2" s="278" t="s">
        <v>296</v>
      </c>
      <c r="I2" s="266">
        <v>1.5E-3</v>
      </c>
    </row>
    <row r="3" spans="1:9" ht="14.5">
      <c r="A3" s="258" t="s">
        <v>297</v>
      </c>
      <c r="B3" s="266">
        <v>2E-3</v>
      </c>
      <c r="C3" s="260">
        <v>0.1</v>
      </c>
      <c r="D3" s="260">
        <v>0.19</v>
      </c>
      <c r="E3" s="268" t="e">
        <f>'TIEMPO EJECUCIÓN'!$B$18</f>
        <v>#REF!</v>
      </c>
      <c r="F3" s="261" t="e">
        <f>B3*C3*(1+D3)*E3</f>
        <v>#REF!</v>
      </c>
      <c r="I3" s="266">
        <v>1.6000000000000001E-3</v>
      </c>
    </row>
    <row r="4" spans="1:9" ht="14.5">
      <c r="A4" s="262" t="s">
        <v>298</v>
      </c>
      <c r="B4" s="266">
        <v>2E-3</v>
      </c>
      <c r="C4" s="260">
        <v>0.3</v>
      </c>
      <c r="D4" s="260">
        <v>0.19</v>
      </c>
      <c r="E4" s="268" t="e">
        <f>'TIEMPO EJECUCIÓN'!$B$18</f>
        <v>#REF!</v>
      </c>
      <c r="F4" s="261" t="e">
        <f t="shared" ref="F4:F7" si="0">B4*C4*(1+D4)*E4</f>
        <v>#REF!</v>
      </c>
      <c r="I4" s="266">
        <v>1.6999999999999999E-3</v>
      </c>
    </row>
    <row r="5" spans="1:9" ht="14.5">
      <c r="A5" s="258" t="s">
        <v>299</v>
      </c>
      <c r="B5" s="266">
        <v>2E-3</v>
      </c>
      <c r="C5" s="260">
        <v>0.05</v>
      </c>
      <c r="D5" s="260">
        <v>0.19</v>
      </c>
      <c r="E5" s="268" t="e">
        <f>'TIEMPO EJECUCIÓN'!$B$18</f>
        <v>#REF!</v>
      </c>
      <c r="F5" s="261" t="e">
        <f t="shared" si="0"/>
        <v>#REF!</v>
      </c>
      <c r="I5" s="266">
        <v>1.8E-3</v>
      </c>
    </row>
    <row r="6" spans="1:9" ht="25">
      <c r="A6" s="262" t="s">
        <v>300</v>
      </c>
      <c r="B6" s="266">
        <v>2E-3</v>
      </c>
      <c r="C6" s="259" t="e">
        <f>IF(#REF!&gt;=10000,5%,IF(#REF!&gt;=5000,500*'MANO DE OBRA'!$C$5/#REF!,IF(#REF!&gt;=2500,400*'MANO DE OBRA'!$C$5/#REF!,IF(#REF!&gt;=1500,300*'MANO DE OBRA'!$C$5/#REF!,200*'MANO DE OBRA'!$C$5/#REF!))))</f>
        <v>#REF!</v>
      </c>
      <c r="D6" s="260">
        <v>0.19</v>
      </c>
      <c r="E6" s="268" t="e">
        <f>'TIEMPO EJECUCIÓN'!$B$18</f>
        <v>#REF!</v>
      </c>
      <c r="F6" s="261" t="e">
        <f t="shared" si="0"/>
        <v>#REF!</v>
      </c>
      <c r="I6" s="266">
        <v>1.9E-3</v>
      </c>
    </row>
    <row r="7" spans="1:9" ht="14.5">
      <c r="A7" s="263" t="s">
        <v>301</v>
      </c>
      <c r="B7" s="266">
        <v>2E-3</v>
      </c>
      <c r="C7" s="264">
        <v>0.2</v>
      </c>
      <c r="D7" s="264">
        <v>0.19</v>
      </c>
      <c r="E7" s="268" t="e">
        <f>'TIEMPO EJECUCIÓN'!$B$18</f>
        <v>#REF!</v>
      </c>
      <c r="F7" s="261" t="e">
        <f t="shared" si="0"/>
        <v>#REF!</v>
      </c>
      <c r="I7" s="266">
        <v>2E-3</v>
      </c>
    </row>
    <row r="8" spans="1:9" ht="14.5">
      <c r="F8" s="257" t="e">
        <f>SUM(F3:F7)</f>
        <v>#REF!</v>
      </c>
      <c r="I8" s="266">
        <v>2.0999999999999999E-3</v>
      </c>
    </row>
    <row r="9" spans="1:9" ht="14.5">
      <c r="I9" s="266">
        <v>2.2000000000000001E-3</v>
      </c>
    </row>
    <row r="10" spans="1:9">
      <c r="C10" s="60"/>
    </row>
    <row r="14" spans="1:9" ht="15.5">
      <c r="A14" s="1436" t="s">
        <v>302</v>
      </c>
      <c r="B14" s="1436"/>
      <c r="C14" s="1436"/>
      <c r="D14" s="1436"/>
      <c r="E14" s="1436"/>
      <c r="F14" s="1436"/>
    </row>
    <row r="15" spans="1:9" ht="13">
      <c r="A15" s="271" t="s">
        <v>291</v>
      </c>
      <c r="B15" s="271" t="s">
        <v>292</v>
      </c>
      <c r="C15" s="271" t="s">
        <v>293</v>
      </c>
      <c r="D15" s="271" t="s">
        <v>294</v>
      </c>
      <c r="E15" s="271" t="s">
        <v>295</v>
      </c>
      <c r="F15" s="271" t="s">
        <v>296</v>
      </c>
    </row>
    <row r="16" spans="1:9" ht="14.5">
      <c r="A16" s="272" t="s">
        <v>297</v>
      </c>
      <c r="B16" s="273">
        <v>2E-3</v>
      </c>
      <c r="C16" s="274">
        <v>0.1</v>
      </c>
      <c r="D16" s="274">
        <v>0.19</v>
      </c>
      <c r="E16" s="268" t="e">
        <f>'TIEMPO EJECUCIÓN'!$B$19</f>
        <v>#REF!</v>
      </c>
      <c r="F16" s="265" t="e">
        <f>B16*C16*(1+D16)*E16</f>
        <v>#REF!</v>
      </c>
    </row>
    <row r="17" spans="1:6" ht="14.5">
      <c r="A17" s="272" t="s">
        <v>299</v>
      </c>
      <c r="B17" s="273">
        <v>2E-3</v>
      </c>
      <c r="C17" s="274">
        <v>0.05</v>
      </c>
      <c r="D17" s="274">
        <v>0.19</v>
      </c>
      <c r="E17" s="268" t="e">
        <f>'TIEMPO EJECUCIÓN'!$B$19</f>
        <v>#REF!</v>
      </c>
      <c r="F17" s="265" t="e">
        <f t="shared" ref="F17:F18" si="1">B17*C17*(1+D17)*E17</f>
        <v>#REF!</v>
      </c>
    </row>
    <row r="18" spans="1:6" ht="25">
      <c r="A18" s="275" t="s">
        <v>300</v>
      </c>
      <c r="B18" s="273">
        <v>2E-3</v>
      </c>
      <c r="C18" s="276" t="e">
        <f>IF(INTERVENTORÍA!G2&gt;=10000,5%,IF(INTERVENTORÍA!G2&gt;=5000,500*'MANO DE OBRA'!$C$5/INTERVENTORÍA!F2,IF(INTERVENTORÍA!G2&gt;=2500,400*'MANO DE OBRA'!$C$5/INTERVENTORÍA!F2,IF(INTERVENTORÍA!G2&gt;=1500,300*'MANO DE OBRA'!$C$5/INTERVENTORÍA!F2,200*'MANO DE OBRA'!$C$5/INTERVENTORÍA!F2))))</f>
        <v>#REF!</v>
      </c>
      <c r="D18" s="274">
        <v>0.19</v>
      </c>
      <c r="E18" s="268" t="e">
        <f>'TIEMPO EJECUCIÓN'!$B$19</f>
        <v>#REF!</v>
      </c>
      <c r="F18" s="265" t="e">
        <f t="shared" si="1"/>
        <v>#REF!</v>
      </c>
    </row>
    <row r="19" spans="1:6">
      <c r="F19" s="277" t="e">
        <f>SUM(F16:F18)</f>
        <v>#REF!</v>
      </c>
    </row>
    <row r="21" spans="1:6">
      <c r="C21" s="269"/>
    </row>
    <row r="24" spans="1:6">
      <c r="C24" s="58"/>
    </row>
  </sheetData>
  <mergeCells count="2">
    <mergeCell ref="A1:F1"/>
    <mergeCell ref="A14:F14"/>
  </mergeCells>
  <dataValidations count="1">
    <dataValidation type="list" allowBlank="1" showInputMessage="1" showErrorMessage="1" sqref="B3:B7 B16:B18" xr:uid="{00000000-0002-0000-1100-000000000000}">
      <formula1>$I$2:$I$9</formula1>
    </dataValidation>
  </dataValidations>
  <pageMargins left="0.7" right="0.7" top="0.75" bottom="0.75" header="0.3" footer="0.3"/>
  <pageSetup paperSize="9" orientation="portrait" r:id="rId1"/>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59999389629810485"/>
    <pageSetUpPr fitToPage="1"/>
  </sheetPr>
  <dimension ref="A1:I47"/>
  <sheetViews>
    <sheetView view="pageBreakPreview" zoomScale="60" zoomScaleNormal="90"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2.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KW'!A24,", ",'PRES MR 10 KW'!A24,", ",'PRES MR 15 KW'!A24)</f>
        <v>ITEM:  2.2.5, 3.2.5, 4.2.5</v>
      </c>
      <c r="C3" s="1728"/>
      <c r="D3" s="1728"/>
      <c r="E3" s="1728"/>
      <c r="F3" s="1728"/>
      <c r="G3" s="6" t="s">
        <v>1229</v>
      </c>
      <c r="H3" s="7"/>
    </row>
    <row r="4" spans="1:9" ht="78.75" customHeight="1">
      <c r="B4" s="1722" t="str">
        <f>+'PRES MR 5 KW'!B24</f>
        <v>Cerramiento en malla eslabonada, tubo metálico galvanizado con brazo y tres filas de alambre puas,  incluye portón de 3 m (2 hojas), platinas y ángulos, excavación, viga de amarre en concreto reforzado de 21 MPa y concreto ciclópeo</v>
      </c>
      <c r="C4" s="1723"/>
      <c r="D4" s="1724"/>
      <c r="E4" s="328"/>
      <c r="G4" s="8" t="str">
        <f>+'PRES MR 5 KW'!C24</f>
        <v>m</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209</v>
      </c>
      <c r="B8" s="122" t="str">
        <f>VLOOKUP(A8,Materiales[],3,FALSE)</f>
        <v>Concreto simple resistencia 3000 psi - Mezcla in situ</v>
      </c>
      <c r="C8" s="121" t="str">
        <f>VLOOKUP(A8,Materiales[],4,FALSE)</f>
        <v>m3</v>
      </c>
      <c r="D8" s="333">
        <v>0.1</v>
      </c>
      <c r="E8" s="329">
        <f>VLOOKUP(A8,Materiales[],5,FALSE)*D8</f>
        <v>220</v>
      </c>
      <c r="F8" s="123">
        <f>VLOOKUP(A8,Materiales[],6,FALSE)</f>
        <v>478654</v>
      </c>
      <c r="G8" s="123">
        <f>ROUND(D8*F8,0)</f>
        <v>47865</v>
      </c>
      <c r="I8" s="33"/>
    </row>
    <row r="9" spans="1:9" ht="25.5" customHeight="1">
      <c r="A9" s="125">
        <v>210</v>
      </c>
      <c r="B9" s="122" t="str">
        <f>VLOOKUP(A9,Materiales[],3,FALSE)</f>
        <v>Concreto Ciclópeo 40% Piedra rajón y 60% Concreto de 17 Mpa - Mezcal in situ</v>
      </c>
      <c r="C9" s="121" t="str">
        <f>VLOOKUP(A9,Materiales[],4,FALSE)</f>
        <v>m3</v>
      </c>
      <c r="D9" s="333">
        <v>0.08</v>
      </c>
      <c r="E9" s="329">
        <f>VLOOKUP(A9,Materiales[],5,FALSE)*D9</f>
        <v>192</v>
      </c>
      <c r="F9" s="123">
        <f>VLOOKUP(A9,Materiales[],6,FALSE)</f>
        <v>377997</v>
      </c>
      <c r="G9" s="123">
        <f t="shared" ref="G9:G22" si="0">ROUND(D9*F9,0)</f>
        <v>30240</v>
      </c>
      <c r="I9" s="33"/>
    </row>
    <row r="10" spans="1:9" ht="25.5" customHeight="1">
      <c r="A10" s="125">
        <v>93</v>
      </c>
      <c r="B10" s="122" t="str">
        <f>VLOOKUP(A10,Materiales[],3,FALSE)</f>
        <v>Acero de refuerzo PDR-60, Fy: 4200 kg/cm2</v>
      </c>
      <c r="C10" s="121" t="str">
        <f>VLOOKUP(A10,Materiales[],4,FALSE)</f>
        <v>kg</v>
      </c>
      <c r="D10" s="333">
        <v>6.7</v>
      </c>
      <c r="E10" s="329">
        <f>VLOOKUP(A10,Materiales[],5,FALSE)*D10</f>
        <v>6.7</v>
      </c>
      <c r="F10" s="123">
        <f>VLOOKUP(A10,Materiales[],6,FALSE)</f>
        <v>5456</v>
      </c>
      <c r="G10" s="123">
        <f t="shared" si="0"/>
        <v>36555</v>
      </c>
      <c r="I10" s="33"/>
    </row>
    <row r="11" spans="1:9" ht="14.5">
      <c r="A11" s="125">
        <v>98</v>
      </c>
      <c r="B11" s="122" t="str">
        <f>VLOOKUP(A11,Materiales[],3,FALSE)</f>
        <v>Soldadura 7018</v>
      </c>
      <c r="C11" s="121" t="str">
        <f>VLOOKUP(A11,Materiales[],4,FALSE)</f>
        <v>kg</v>
      </c>
      <c r="D11" s="333">
        <v>0.1</v>
      </c>
      <c r="E11" s="329">
        <f>VLOOKUP(A11,Materiales[],5,FALSE)*D11</f>
        <v>0.1</v>
      </c>
      <c r="F11" s="123">
        <f>VLOOKUP(A11,Materiales[],6,FALSE)</f>
        <v>23039</v>
      </c>
      <c r="G11" s="123">
        <f t="shared" si="0"/>
        <v>2304</v>
      </c>
      <c r="I11" s="33"/>
    </row>
    <row r="12" spans="1:9" ht="14.5">
      <c r="A12" s="125">
        <v>94</v>
      </c>
      <c r="B12" s="122" t="str">
        <f>VLOOKUP(A12,Materiales[],3,FALSE)</f>
        <v>Alambre negro para amarre calibre 18</v>
      </c>
      <c r="C12" s="121" t="str">
        <f>VLOOKUP(A12,Materiales[],4,FALSE)</f>
        <v>kg</v>
      </c>
      <c r="D12" s="333">
        <v>0.2</v>
      </c>
      <c r="E12" s="329">
        <f>VLOOKUP(A12,Materiales[],5,FALSE)*D12</f>
        <v>0.2</v>
      </c>
      <c r="F12" s="123">
        <f>VLOOKUP(A12,Materiales[],6,FALSE)</f>
        <v>12831</v>
      </c>
      <c r="G12" s="123">
        <f t="shared" si="0"/>
        <v>2566</v>
      </c>
      <c r="I12" s="33"/>
    </row>
    <row r="13" spans="1:9" ht="14.5">
      <c r="A13" s="125">
        <v>200</v>
      </c>
      <c r="B13" s="122" t="str">
        <f>VLOOKUP(A13,Materiales[],3,FALSE)</f>
        <v>Alambre galvanizado No. 10</v>
      </c>
      <c r="C13" s="121" t="str">
        <f>VLOOKUP(A13,Materiales[],4,FALSE)</f>
        <v>m</v>
      </c>
      <c r="D13" s="333">
        <v>2.4</v>
      </c>
      <c r="E13" s="329">
        <f>VLOOKUP(A13,Materiales[],5,FALSE)*D13</f>
        <v>3.5999999999999996</v>
      </c>
      <c r="F13" s="123">
        <f>VLOOKUP(A13,Materiales[],6,FALSE)</f>
        <v>1711</v>
      </c>
      <c r="G13" s="123">
        <f t="shared" si="0"/>
        <v>4106</v>
      </c>
      <c r="I13" s="33"/>
    </row>
    <row r="14" spans="1:9" ht="14.5">
      <c r="A14" s="125">
        <v>201</v>
      </c>
      <c r="B14" s="122" t="str">
        <f>VLOOKUP(A14,Materiales[],3,FALSE)</f>
        <v xml:space="preserve">Ángulo ASTM A36 de 1 1/2"x1 1/2"x 3/16" </v>
      </c>
      <c r="C14" s="121" t="str">
        <f>VLOOKUP(A14,Materiales[],4,FALSE)</f>
        <v>m</v>
      </c>
      <c r="D14" s="333">
        <v>3</v>
      </c>
      <c r="E14" s="329">
        <f>VLOOKUP(A14,Materiales[],5,FALSE)*D14</f>
        <v>9</v>
      </c>
      <c r="F14" s="123">
        <f>VLOOKUP(A14,Materiales[],6,FALSE)</f>
        <v>16517</v>
      </c>
      <c r="G14" s="123">
        <f t="shared" si="0"/>
        <v>49551</v>
      </c>
      <c r="I14" s="33"/>
    </row>
    <row r="15" spans="1:9" ht="14.5">
      <c r="A15" s="125">
        <v>202</v>
      </c>
      <c r="B15" s="122" t="str">
        <f>VLOOKUP(A15,Materiales[],3,FALSE)</f>
        <v>Pintura anticorrosiva</v>
      </c>
      <c r="C15" s="121" t="str">
        <f>VLOOKUP(A15,Materiales[],4,FALSE)</f>
        <v>GAL</v>
      </c>
      <c r="D15" s="333">
        <v>0.08</v>
      </c>
      <c r="E15" s="329">
        <f>VLOOKUP(A15,Materiales[],5,FALSE)*D15</f>
        <v>0.32</v>
      </c>
      <c r="F15" s="123">
        <f>VLOOKUP(A15,Materiales[],6,FALSE)</f>
        <v>76613</v>
      </c>
      <c r="G15" s="123">
        <f t="shared" si="0"/>
        <v>6129</v>
      </c>
      <c r="I15" s="33"/>
    </row>
    <row r="16" spans="1:9" ht="14.5">
      <c r="A16" s="125">
        <v>203</v>
      </c>
      <c r="B16" s="122" t="str">
        <f>VLOOKUP(A16,Materiales[],3,FALSE)</f>
        <v>Platina metálica pisamalla 3/8"x1/8"</v>
      </c>
      <c r="C16" s="121" t="str">
        <f>VLOOKUP(A16,Materiales[],4,FALSE)</f>
        <v>m</v>
      </c>
      <c r="D16" s="333">
        <v>3.41</v>
      </c>
      <c r="E16" s="329">
        <f>VLOOKUP(A16,Materiales[],5,FALSE)*D16</f>
        <v>2.0459999999999998</v>
      </c>
      <c r="F16" s="123">
        <f>VLOOKUP(A16,Materiales[],6,FALSE)</f>
        <v>4180</v>
      </c>
      <c r="G16" s="123">
        <f t="shared" si="0"/>
        <v>14254</v>
      </c>
      <c r="I16" s="33"/>
    </row>
    <row r="17" spans="1:9" ht="14.5">
      <c r="A17" s="125">
        <v>105</v>
      </c>
      <c r="B17" s="122" t="str">
        <f>VLOOKUP(A17,Materiales[],3,FALSE)</f>
        <v>Malla eslabonada plastificada H=2m Cal. 10 (min)</v>
      </c>
      <c r="C17" s="121" t="str">
        <f>VLOOKUP(A17,Materiales[],4,FALSE)</f>
        <v>m2</v>
      </c>
      <c r="D17" s="333">
        <v>2</v>
      </c>
      <c r="E17" s="329">
        <f>VLOOKUP(A17,Materiales[],5,FALSE)*D17</f>
        <v>6</v>
      </c>
      <c r="F17" s="123">
        <f>VLOOKUP(A17,Materiales[],6,FALSE)</f>
        <v>26396</v>
      </c>
      <c r="G17" s="123">
        <f t="shared" ref="G17:G20" si="1">ROUND(D17*F17,0)</f>
        <v>52792</v>
      </c>
      <c r="I17" s="33"/>
    </row>
    <row r="18" spans="1:9" ht="14.5">
      <c r="A18" s="125">
        <v>204</v>
      </c>
      <c r="B18" s="122" t="str">
        <f>VLOOKUP(A18,Materiales[],3,FALSE)</f>
        <v>Alambre de puas galvanizado CAL 14</v>
      </c>
      <c r="C18" s="121" t="str">
        <f>VLOOKUP(A18,Materiales[],4,FALSE)</f>
        <v>m</v>
      </c>
      <c r="D18" s="333">
        <v>3</v>
      </c>
      <c r="E18" s="329">
        <f>VLOOKUP(A18,Materiales[],5,FALSE)*D18</f>
        <v>0.22799999999999998</v>
      </c>
      <c r="F18" s="123">
        <f>VLOOKUP(A18,Materiales[],6,FALSE)</f>
        <v>826</v>
      </c>
      <c r="G18" s="123">
        <f t="shared" si="1"/>
        <v>2478</v>
      </c>
      <c r="I18" s="33"/>
    </row>
    <row r="19" spans="1:9" ht="14.5">
      <c r="A19" s="125">
        <v>205</v>
      </c>
      <c r="B19" s="122" t="str">
        <f>VLOOKUP(A19,Materiales[],3,FALSE)</f>
        <v>Tubo cerramiento galvanizado φ1  1/2" x1.5 mm</v>
      </c>
      <c r="C19" s="121" t="str">
        <f>VLOOKUP(A19,Materiales[],4,FALSE)</f>
        <v>m</v>
      </c>
      <c r="D19" s="333">
        <v>3.2000000000000001E-2</v>
      </c>
      <c r="E19" s="329">
        <f>VLOOKUP(A19,Materiales[],5,FALSE)*D19</f>
        <v>0.33407999999999999</v>
      </c>
      <c r="F19" s="123">
        <f>VLOOKUP(A19,Materiales[],6,FALSE)</f>
        <v>22040</v>
      </c>
      <c r="G19" s="123">
        <f t="shared" si="1"/>
        <v>705</v>
      </c>
      <c r="I19" s="33"/>
    </row>
    <row r="20" spans="1:9" ht="14.5">
      <c r="A20" s="125">
        <v>206</v>
      </c>
      <c r="B20" s="122" t="str">
        <f>VLOOKUP(A20,Materiales[],3,FALSE)</f>
        <v>Tubo cerramiento galvanizado φ2" x2.5 mm</v>
      </c>
      <c r="C20" s="121" t="str">
        <f>VLOOKUP(A20,Materiales[],4,FALSE)</f>
        <v>m</v>
      </c>
      <c r="D20" s="333">
        <v>1.23</v>
      </c>
      <c r="E20" s="329">
        <f>VLOOKUP(A20,Materiales[],5,FALSE)*D20</f>
        <v>26.518799999999999</v>
      </c>
      <c r="F20" s="123">
        <f>VLOOKUP(A20,Materiales[],6,FALSE)</f>
        <v>37889</v>
      </c>
      <c r="G20" s="123">
        <f t="shared" si="1"/>
        <v>46603</v>
      </c>
      <c r="I20" s="33"/>
    </row>
    <row r="21" spans="1:9" ht="14.5">
      <c r="A21" s="125">
        <v>207</v>
      </c>
      <c r="B21" s="122" t="str">
        <f>VLOOKUP(A21,Materiales[],3,FALSE)</f>
        <v>Tubo cerramiento galvanizado φ2  1/2" x2.5 mm</v>
      </c>
      <c r="C21" s="121" t="str">
        <f>VLOOKUP(A21,Materiales[],4,FALSE)</f>
        <v>m</v>
      </c>
      <c r="D21" s="333">
        <v>4.7E-2</v>
      </c>
      <c r="E21" s="329">
        <f>VLOOKUP(A21,Materiales[],5,FALSE)*D21</f>
        <v>0.80652000000000001</v>
      </c>
      <c r="F21" s="123">
        <f>VLOOKUP(A21,Materiales[],6,FALSE)</f>
        <v>49622</v>
      </c>
      <c r="G21" s="123">
        <f t="shared" si="0"/>
        <v>2332</v>
      </c>
      <c r="I21" s="33"/>
    </row>
    <row r="22" spans="1:9" ht="14.5">
      <c r="A22" s="125">
        <v>208</v>
      </c>
      <c r="B22" s="122" t="str">
        <f>VLOOKUP(A22,Materiales[],3,FALSE)</f>
        <v>Tubo cerramiento galvanizado φ3" x3 mm</v>
      </c>
      <c r="C22" s="121" t="str">
        <f>VLOOKUP(A22,Materiales[],4,FALSE)</f>
        <v>m</v>
      </c>
      <c r="D22" s="333">
        <v>7.2999999999999995E-2</v>
      </c>
      <c r="E22" s="329">
        <f>VLOOKUP(A22,Materiales[],5,FALSE)*D22</f>
        <v>2.8178000000000001</v>
      </c>
      <c r="F22" s="123">
        <f>VLOOKUP(A22,Materiales[],6,FALSE)</f>
        <v>62642</v>
      </c>
      <c r="G22" s="123">
        <f t="shared" si="0"/>
        <v>4573</v>
      </c>
      <c r="I22" s="33"/>
    </row>
    <row r="23" spans="1:9" ht="13">
      <c r="D23" s="18"/>
      <c r="E23" s="18"/>
      <c r="F23" s="29" t="s">
        <v>1220</v>
      </c>
      <c r="G23" s="42">
        <f>SUM(G8:G22)</f>
        <v>303053</v>
      </c>
    </row>
    <row r="25" spans="1:9" ht="13">
      <c r="B25" s="20" t="s">
        <v>1221</v>
      </c>
      <c r="G25" s="39"/>
    </row>
    <row r="26" spans="1:9" ht="13">
      <c r="A26" s="119" t="s">
        <v>184</v>
      </c>
      <c r="B26" s="120" t="s">
        <v>1</v>
      </c>
      <c r="C26" s="13" t="s">
        <v>1231</v>
      </c>
      <c r="D26" s="13" t="s">
        <v>1222</v>
      </c>
      <c r="E26" s="13"/>
      <c r="F26" s="13" t="s">
        <v>307</v>
      </c>
      <c r="G26" s="13" t="s">
        <v>752</v>
      </c>
    </row>
    <row r="27" spans="1:9" ht="14.5">
      <c r="A27" s="125">
        <v>1</v>
      </c>
      <c r="B27" s="122" t="str">
        <f>VLOOKUP(A27,Equip.Herram[],2,FALSE)</f>
        <v>Herramienta menor</v>
      </c>
      <c r="C27" s="15" t="str">
        <f>VLOOKUP(A27,Equip.Herram[],3,FALSE)</f>
        <v>UN</v>
      </c>
      <c r="D27" s="36">
        <f>VLOOKUP(A27,Equip.Herram[],4,FALSE)</f>
        <v>24840</v>
      </c>
      <c r="E27" s="36"/>
      <c r="F27" s="16">
        <f>+RENDIMIENTOS!$C$53</f>
        <v>12</v>
      </c>
      <c r="G27" s="36">
        <f>ROUND(D27/F27,0)</f>
        <v>2070</v>
      </c>
    </row>
    <row r="28" spans="1:9">
      <c r="B28" s="14"/>
      <c r="C28" s="15"/>
      <c r="D28" s="17"/>
      <c r="E28" s="17"/>
      <c r="F28" s="22"/>
      <c r="G28" s="21"/>
    </row>
    <row r="29" spans="1:9">
      <c r="B29" s="14"/>
      <c r="C29" s="15"/>
      <c r="D29" s="17"/>
      <c r="E29" s="17"/>
      <c r="F29" s="22"/>
      <c r="G29" s="21"/>
    </row>
    <row r="30" spans="1:9" ht="13">
      <c r="D30" s="18"/>
      <c r="E30" s="18"/>
      <c r="F30" s="19" t="s">
        <v>1220</v>
      </c>
      <c r="G30" s="37">
        <f>SUM(G27:G29)</f>
        <v>2070</v>
      </c>
    </row>
    <row r="31" spans="1:9" ht="13">
      <c r="D31" s="18"/>
      <c r="E31" s="18"/>
      <c r="F31" s="18"/>
      <c r="G31" s="23"/>
    </row>
    <row r="32" spans="1:9" ht="13">
      <c r="B32" s="11" t="s">
        <v>1223</v>
      </c>
      <c r="G32" s="24"/>
    </row>
    <row r="33" spans="1:9" ht="13">
      <c r="A33" s="119" t="s">
        <v>184</v>
      </c>
      <c r="B33" s="12" t="s">
        <v>1</v>
      </c>
      <c r="C33" s="13" t="s">
        <v>185</v>
      </c>
      <c r="D33" s="13" t="s">
        <v>1230</v>
      </c>
      <c r="E33" s="13"/>
      <c r="F33" s="13" t="s">
        <v>1233</v>
      </c>
      <c r="G33" s="25" t="s">
        <v>752</v>
      </c>
      <c r="I33" s="39"/>
    </row>
    <row r="34" spans="1:9" ht="13.4" customHeight="1">
      <c r="A34" s="125">
        <v>3</v>
      </c>
      <c r="B34" s="122" t="str">
        <f>VLOOKUP(A34,Transporte[],2,FALSE)</f>
        <v>Carga terrestre Teorama - Comunidades</v>
      </c>
      <c r="C34" s="27" t="s">
        <v>1234</v>
      </c>
      <c r="D34" s="118">
        <f>+SUM(E10:E22)</f>
        <v>58.671199999999999</v>
      </c>
      <c r="E34" s="118"/>
      <c r="F34" s="142">
        <f>VLOOKUP(A34,Transporte[],7,FALSE)</f>
        <v>1491</v>
      </c>
      <c r="G34" s="35">
        <f>D34*F34</f>
        <v>87478.7592</v>
      </c>
    </row>
    <row r="35" spans="1:9" ht="13.4" customHeight="1">
      <c r="A35" s="125">
        <v>9</v>
      </c>
      <c r="B35" s="122" t="str">
        <f>VLOOKUP(A35,Transporte[],2,FALSE)</f>
        <v>Carga terrestre Cantera Petrea - Comunidades</v>
      </c>
      <c r="C35" s="27" t="s">
        <v>1234</v>
      </c>
      <c r="D35" s="118">
        <f>+SUM(E8:E9)</f>
        <v>412</v>
      </c>
      <c r="E35" s="118"/>
      <c r="F35" s="142">
        <f>VLOOKUP(A35,Transporte[],7,FALSE)</f>
        <v>50</v>
      </c>
      <c r="G35" s="35">
        <f>D35*F35</f>
        <v>20600</v>
      </c>
    </row>
    <row r="36" spans="1:9" ht="13">
      <c r="D36" s="18"/>
      <c r="E36" s="18"/>
      <c r="F36" s="29" t="s">
        <v>1220</v>
      </c>
      <c r="G36" s="37">
        <f>SUM(G34:G35)</f>
        <v>108078.7592</v>
      </c>
    </row>
    <row r="37" spans="1:9" ht="13">
      <c r="D37" s="18"/>
      <c r="E37" s="18"/>
      <c r="G37" s="23"/>
    </row>
    <row r="38" spans="1:9" ht="13">
      <c r="B38" s="11" t="s">
        <v>1225</v>
      </c>
      <c r="D38" s="30"/>
      <c r="E38" s="30"/>
      <c r="F38" s="31"/>
      <c r="G38" s="24"/>
    </row>
    <row r="39" spans="1:9" s="18" customFormat="1" ht="13">
      <c r="A39" s="119" t="s">
        <v>184</v>
      </c>
      <c r="B39" s="12" t="s">
        <v>1</v>
      </c>
      <c r="C39" s="13" t="s">
        <v>1226</v>
      </c>
      <c r="D39" s="13" t="s">
        <v>1227</v>
      </c>
      <c r="E39" s="13"/>
      <c r="F39" s="13" t="s">
        <v>307</v>
      </c>
      <c r="G39" s="25" t="s">
        <v>752</v>
      </c>
    </row>
    <row r="40" spans="1:9" ht="14.5">
      <c r="A40" s="125">
        <v>4</v>
      </c>
      <c r="B40" s="122" t="str">
        <f>VLOOKUP(A40,ManoObra[],2,FALSE)</f>
        <v>Oficial de obra</v>
      </c>
      <c r="C40" s="40">
        <f>VLOOKUP(A40,ManoObra[],7,FALSE)</f>
        <v>95006</v>
      </c>
      <c r="D40" s="22">
        <f>FP!$B$28</f>
        <v>1.61</v>
      </c>
      <c r="E40" s="22"/>
      <c r="F40" s="16">
        <f>+RENDIMIENTOS!$C$53</f>
        <v>12</v>
      </c>
      <c r="G40" s="36">
        <f>ROUND(C40*D40/F40,0)</f>
        <v>12747</v>
      </c>
      <c r="I40" s="81"/>
    </row>
    <row r="41" spans="1:9" ht="14.5">
      <c r="A41" s="125">
        <v>2</v>
      </c>
      <c r="B41" s="122" t="str">
        <f>VLOOKUP(A41,ManoObra[],2,FALSE)</f>
        <v>Ayudante</v>
      </c>
      <c r="C41" s="40">
        <f>VLOOKUP(A41,ManoObra[],7,FALSE)</f>
        <v>66050</v>
      </c>
      <c r="D41" s="22">
        <f>FP!$B$28</f>
        <v>1.61</v>
      </c>
      <c r="E41" s="22"/>
      <c r="F41" s="16">
        <f>+RENDIMIENTOS!$C$53</f>
        <v>12</v>
      </c>
      <c r="G41" s="36">
        <f>ROUND(C41*D41/F41,0)</f>
        <v>8862</v>
      </c>
    </row>
    <row r="42" spans="1:9" ht="13">
      <c r="D42" s="18"/>
      <c r="E42" s="18"/>
      <c r="F42" s="29" t="s">
        <v>1220</v>
      </c>
      <c r="G42" s="42">
        <f>SUM(G40:G41)</f>
        <v>21609</v>
      </c>
    </row>
    <row r="43" spans="1:9" ht="13">
      <c r="D43" s="18"/>
      <c r="E43" s="18"/>
      <c r="G43" s="24"/>
    </row>
    <row r="44" spans="1:9" ht="12.75" customHeight="1">
      <c r="A44"/>
      <c r="D44" s="1725" t="s">
        <v>1228</v>
      </c>
      <c r="E44" s="1730"/>
      <c r="F44" s="1726"/>
      <c r="G44" s="38">
        <f>G23+G30+G36+G42</f>
        <v>434810.75919999997</v>
      </c>
    </row>
    <row r="45" spans="1:9" ht="13">
      <c r="A45" s="441"/>
      <c r="B45" s="441"/>
      <c r="D45" s="18"/>
      <c r="E45" s="18"/>
      <c r="F45" s="10"/>
      <c r="G45" s="41"/>
    </row>
    <row r="46" spans="1:9" ht="14">
      <c r="A46" s="442"/>
      <c r="B46" s="840"/>
    </row>
    <row r="47" spans="1:9" ht="42">
      <c r="B47" s="1028" t="s">
        <v>1235</v>
      </c>
    </row>
  </sheetData>
  <mergeCells count="4">
    <mergeCell ref="B3:F3"/>
    <mergeCell ref="B4:D4"/>
    <mergeCell ref="D44:F44"/>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9" tint="0.59999389629810485"/>
    <pageSetUpPr fitToPage="1"/>
  </sheetPr>
  <dimension ref="A1:I36"/>
  <sheetViews>
    <sheetView view="pageBreakPreview" zoomScale="60" zoomScaleNormal="100" workbookViewId="0">
      <selection activeCell="A13" sqref="A13"/>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29.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KW'!A25,", ",'PRES MR 10 KW'!A25,", ",'PRES MR 15 KW'!A25)</f>
        <v>ITEM:  2.2.6, 3.2.6, 4.2.6</v>
      </c>
      <c r="C3" s="1728"/>
      <c r="D3" s="1728"/>
      <c r="E3" s="1728"/>
      <c r="F3" s="1728"/>
      <c r="G3" s="6" t="s">
        <v>1229</v>
      </c>
      <c r="H3" s="7"/>
    </row>
    <row r="4" spans="1:9" ht="78.75" customHeight="1">
      <c r="B4" s="1722" t="str">
        <f>+'PRES MR 5 KW'!B25</f>
        <v>Concreto simple resistencia 2000 psi - Mezcla in situ  para solado de cimentación</v>
      </c>
      <c r="C4" s="1723"/>
      <c r="D4" s="1724"/>
      <c r="E4" s="328"/>
      <c r="G4" s="8" t="str">
        <f>+'PRES MR 5 KW'!C25</f>
        <v>m3</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89</v>
      </c>
      <c r="B8" s="122" t="str">
        <f>VLOOKUP(A8,Materiales[],3,FALSE)</f>
        <v>Agua</v>
      </c>
      <c r="C8" s="121" t="str">
        <f>VLOOKUP(A8,Materiales[],4,FALSE)</f>
        <v>L</v>
      </c>
      <c r="D8" s="118">
        <v>148</v>
      </c>
      <c r="E8" s="329">
        <f>VLOOKUP(A8,Materiales[],5,FALSE)*D8</f>
        <v>148</v>
      </c>
      <c r="F8" s="123">
        <f>VLOOKUP(A8,Materiales[],6,FALSE)</f>
        <v>58</v>
      </c>
      <c r="G8" s="123">
        <f>ROUND(D8*F8,0)</f>
        <v>8584</v>
      </c>
      <c r="I8" s="33"/>
    </row>
    <row r="9" spans="1:9" ht="25.5" customHeight="1">
      <c r="A9" s="125">
        <v>91</v>
      </c>
      <c r="B9" s="122" t="str">
        <f>VLOOKUP(A9,Materiales[],3,FALSE)</f>
        <v>Agregado fino para concreto (tamaño máximo 4,75mm - arena natural o trituración de roca, gravas, y/o escorias)</v>
      </c>
      <c r="C9" s="121" t="str">
        <f>VLOOKUP(A9,Materiales[],4,FALSE)</f>
        <v>m3</v>
      </c>
      <c r="D9" s="118">
        <v>0.57999999999999996</v>
      </c>
      <c r="E9" s="329">
        <f>VLOOKUP(A9,Materiales[],5,FALSE)*D9</f>
        <v>927.99999999999989</v>
      </c>
      <c r="F9" s="123">
        <f>VLOOKUP(A9,Materiales[],6,FALSE)</f>
        <v>128168</v>
      </c>
      <c r="G9" s="123">
        <f t="shared" ref="G9:G11" si="0">ROUND(D9*F9,0)</f>
        <v>74337</v>
      </c>
      <c r="I9" s="33"/>
    </row>
    <row r="10" spans="1:9" ht="25.5" customHeight="1">
      <c r="A10" s="125">
        <v>90</v>
      </c>
      <c r="B10" s="122" t="str">
        <f>VLOOKUP(A10,Materiales[],3,FALSE)</f>
        <v>Agregado grueso (grava, grava triturada y/o roca triturada)</v>
      </c>
      <c r="C10" s="121" t="str">
        <f>VLOOKUP(A10,Materiales[],4,FALSE)</f>
        <v>m3</v>
      </c>
      <c r="D10" s="118">
        <v>0.97</v>
      </c>
      <c r="E10" s="329">
        <f>VLOOKUP(A10,Materiales[],5,FALSE)*D10</f>
        <v>1552</v>
      </c>
      <c r="F10" s="123">
        <f>VLOOKUP(A10,Materiales[],6,FALSE)</f>
        <v>105003</v>
      </c>
      <c r="G10" s="123">
        <f t="shared" si="0"/>
        <v>101853</v>
      </c>
      <c r="I10" s="33"/>
    </row>
    <row r="11" spans="1:9" ht="14.5">
      <c r="A11" s="125">
        <v>92</v>
      </c>
      <c r="B11" s="122" t="str">
        <f>VLOOKUP(A11,Materiales[],3,FALSE)</f>
        <v>Cemento hidráulico NTC 121 tipo UG</v>
      </c>
      <c r="C11" s="121" t="str">
        <f>VLOOKUP(A11,Materiales[],4,FALSE)</f>
        <v>kg</v>
      </c>
      <c r="D11" s="118">
        <v>242</v>
      </c>
      <c r="E11" s="329">
        <f>VLOOKUP(A11,Materiales[],5,FALSE)*D11</f>
        <v>242</v>
      </c>
      <c r="F11" s="123">
        <f>VLOOKUP(A11,Materiales[],6,FALSE)</f>
        <v>754</v>
      </c>
      <c r="G11" s="123">
        <f t="shared" si="0"/>
        <v>182468</v>
      </c>
      <c r="I11" s="33"/>
    </row>
    <row r="12" spans="1:9" ht="13">
      <c r="D12" s="18"/>
      <c r="E12" s="18"/>
      <c r="F12" s="29" t="s">
        <v>1220</v>
      </c>
      <c r="G12" s="42">
        <f>SUM(G8:G11)</f>
        <v>367242</v>
      </c>
    </row>
    <row r="14" spans="1:9" ht="13">
      <c r="B14" s="20" t="s">
        <v>1221</v>
      </c>
      <c r="G14" s="39"/>
    </row>
    <row r="15" spans="1:9" ht="13">
      <c r="A15" s="119" t="s">
        <v>184</v>
      </c>
      <c r="B15" s="120" t="s">
        <v>1</v>
      </c>
      <c r="C15" s="13" t="s">
        <v>1231</v>
      </c>
      <c r="D15" s="13" t="s">
        <v>1222</v>
      </c>
      <c r="E15" s="13"/>
      <c r="F15" s="13" t="s">
        <v>307</v>
      </c>
      <c r="G15" s="13" t="s">
        <v>752</v>
      </c>
    </row>
    <row r="16" spans="1:9" ht="14.5">
      <c r="A16" s="125">
        <v>1</v>
      </c>
      <c r="B16" s="122" t="str">
        <f>VLOOKUP(A16,Equip.Herram[],2,FALSE)</f>
        <v>Herramienta menor</v>
      </c>
      <c r="C16" s="15" t="str">
        <f>VLOOKUP(A16,Equip.Herram[],3,FALSE)</f>
        <v>UN</v>
      </c>
      <c r="D16" s="36">
        <f>VLOOKUP(A16,Equip.Herram[],4,FALSE)</f>
        <v>24840</v>
      </c>
      <c r="E16" s="36"/>
      <c r="F16" s="16">
        <f>+RENDIMIENTOS!$C$54</f>
        <v>8</v>
      </c>
      <c r="G16" s="36">
        <f>ROUND(D16/F16,0)</f>
        <v>3105</v>
      </c>
    </row>
    <row r="17" spans="1:9" ht="14.5">
      <c r="A17" s="125">
        <v>5</v>
      </c>
      <c r="B17" s="122" t="str">
        <f>VLOOKUP(A17,Equip.Herram[],2,FALSE)</f>
        <v xml:space="preserve">Mezcladora de concreto tipo trompo						</v>
      </c>
      <c r="C17" s="15" t="str">
        <f>VLOOKUP(A17,Equip.Herram[],3,FALSE)</f>
        <v>HORA</v>
      </c>
      <c r="D17" s="36">
        <f>VLOOKUP(A17,Equip.Herram[],4,FALSE)</f>
        <v>16285</v>
      </c>
      <c r="E17" s="36"/>
      <c r="F17" s="48">
        <v>1.1428571428571428</v>
      </c>
      <c r="G17" s="36">
        <f t="shared" ref="G17:G18" si="1">ROUND(D17/F17,0)</f>
        <v>14249</v>
      </c>
    </row>
    <row r="18" spans="1:9" ht="25">
      <c r="A18" s="125">
        <v>6</v>
      </c>
      <c r="B18" s="122" t="str">
        <f>VLOOKUP(A18,Equip.Herram[],2,FALSE)</f>
        <v>Vibrador de concreto, potencia aproximada de 3 hp, mangueras de 4 a 6 metros</v>
      </c>
      <c r="C18" s="15" t="str">
        <f>VLOOKUP(A18,Equip.Herram[],3,FALSE)</f>
        <v>HORA</v>
      </c>
      <c r="D18" s="36">
        <f>VLOOKUP(A18,Equip.Herram[],4,FALSE)</f>
        <v>7367</v>
      </c>
      <c r="E18" s="36"/>
      <c r="F18" s="48">
        <v>0.8</v>
      </c>
      <c r="G18" s="36">
        <f t="shared" si="1"/>
        <v>9209</v>
      </c>
    </row>
    <row r="19" spans="1:9" ht="13">
      <c r="D19" s="18"/>
      <c r="E19" s="18"/>
      <c r="F19" s="19" t="s">
        <v>1220</v>
      </c>
      <c r="G19" s="37">
        <f>SUM(G16:G18)</f>
        <v>26563</v>
      </c>
    </row>
    <row r="20" spans="1:9" ht="13">
      <c r="D20" s="18"/>
      <c r="E20" s="18"/>
      <c r="F20" s="18"/>
      <c r="G20" s="23"/>
    </row>
    <row r="21" spans="1:9" ht="13">
      <c r="B21" s="11" t="s">
        <v>1223</v>
      </c>
      <c r="G21" s="24"/>
    </row>
    <row r="22" spans="1:9" ht="13">
      <c r="A22" s="119" t="s">
        <v>184</v>
      </c>
      <c r="B22" s="12" t="s">
        <v>1</v>
      </c>
      <c r="C22" s="13" t="s">
        <v>185</v>
      </c>
      <c r="D22" s="13" t="s">
        <v>1230</v>
      </c>
      <c r="E22" s="13"/>
      <c r="F22" s="13" t="s">
        <v>1233</v>
      </c>
      <c r="G22" s="25" t="s">
        <v>752</v>
      </c>
      <c r="I22" s="39"/>
    </row>
    <row r="23" spans="1:9" ht="13.4" customHeight="1">
      <c r="A23" s="125">
        <v>3</v>
      </c>
      <c r="B23" s="122" t="str">
        <f>VLOOKUP(A23,Transporte[],2,FALSE)</f>
        <v>Carga terrestre Teorama - Comunidades</v>
      </c>
      <c r="C23" s="27" t="s">
        <v>1234</v>
      </c>
      <c r="D23" s="118">
        <f>+SUM(E8,E11)</f>
        <v>390</v>
      </c>
      <c r="E23" s="118"/>
      <c r="F23" s="142">
        <f>VLOOKUP(A23,Transporte[],7,FALSE)</f>
        <v>1491</v>
      </c>
      <c r="G23" s="35">
        <f>D23*F23</f>
        <v>581490</v>
      </c>
    </row>
    <row r="24" spans="1:9" ht="13.4" customHeight="1">
      <c r="A24" s="125">
        <v>9</v>
      </c>
      <c r="B24" s="122" t="str">
        <f>VLOOKUP(A24,Transporte[],2,FALSE)</f>
        <v>Carga terrestre Cantera Petrea - Comunidades</v>
      </c>
      <c r="C24" s="27" t="s">
        <v>1234</v>
      </c>
      <c r="D24" s="118">
        <f>+SUM(E9:E10)</f>
        <v>2480</v>
      </c>
      <c r="E24" s="118"/>
      <c r="F24" s="142">
        <f>VLOOKUP(A24,Transporte[],7,FALSE)</f>
        <v>50</v>
      </c>
      <c r="G24" s="35">
        <f>D24*F24</f>
        <v>124000</v>
      </c>
    </row>
    <row r="25" spans="1:9" ht="13">
      <c r="D25" s="18"/>
      <c r="E25" s="18"/>
      <c r="F25" s="29" t="s">
        <v>1220</v>
      </c>
      <c r="G25" s="37">
        <f>SUM(G23:G24)</f>
        <v>705490</v>
      </c>
    </row>
    <row r="26" spans="1:9" ht="13">
      <c r="D26" s="18"/>
      <c r="E26" s="18"/>
      <c r="G26" s="23"/>
    </row>
    <row r="27" spans="1:9" ht="13">
      <c r="B27" s="11" t="s">
        <v>1225</v>
      </c>
      <c r="D27" s="30"/>
      <c r="E27" s="30"/>
      <c r="F27" s="31"/>
      <c r="G27" s="24"/>
    </row>
    <row r="28" spans="1:9" s="18" customFormat="1" ht="13">
      <c r="A28" s="119" t="s">
        <v>184</v>
      </c>
      <c r="B28" s="12" t="s">
        <v>1</v>
      </c>
      <c r="C28" s="13" t="s">
        <v>1226</v>
      </c>
      <c r="D28" s="13" t="s">
        <v>1227</v>
      </c>
      <c r="E28" s="13"/>
      <c r="F28" s="13" t="s">
        <v>307</v>
      </c>
      <c r="G28" s="25" t="s">
        <v>752</v>
      </c>
    </row>
    <row r="29" spans="1:9" ht="14.5">
      <c r="A29" s="125">
        <v>4</v>
      </c>
      <c r="B29" s="122" t="str">
        <f>VLOOKUP(A29,ManoObra[],2,FALSE)</f>
        <v>Oficial de obra</v>
      </c>
      <c r="C29" s="40">
        <f>VLOOKUP(A29,ManoObra[],7,FALSE)</f>
        <v>95006</v>
      </c>
      <c r="D29" s="22">
        <f>FP!$B$28</f>
        <v>1.61</v>
      </c>
      <c r="E29" s="22"/>
      <c r="F29" s="16">
        <f>+RENDIMIENTOS!$C$54</f>
        <v>8</v>
      </c>
      <c r="G29" s="36">
        <f>ROUND(C29*D29/F29,0)</f>
        <v>19120</v>
      </c>
      <c r="I29" s="81"/>
    </row>
    <row r="30" spans="1:9" ht="14.5">
      <c r="A30" s="125">
        <v>2</v>
      </c>
      <c r="B30" s="122" t="str">
        <f>VLOOKUP(A30,ManoObra[],2,FALSE)</f>
        <v>Ayudante</v>
      </c>
      <c r="C30" s="40">
        <f>VLOOKUP(A30,ManoObra[],7,FALSE)</f>
        <v>66050</v>
      </c>
      <c r="D30" s="22">
        <f>FP!$B$28</f>
        <v>1.61</v>
      </c>
      <c r="E30" s="22"/>
      <c r="F30" s="16">
        <f>+RENDIMIENTOS!$C$54</f>
        <v>8</v>
      </c>
      <c r="G30" s="36">
        <f>ROUND(C30*D30/F30,0)</f>
        <v>13293</v>
      </c>
    </row>
    <row r="31" spans="1:9" ht="13">
      <c r="D31" s="18"/>
      <c r="E31" s="18"/>
      <c r="F31" s="29" t="s">
        <v>1220</v>
      </c>
      <c r="G31" s="42">
        <f>SUM(G29:G30)</f>
        <v>32413</v>
      </c>
    </row>
    <row r="32" spans="1:9" ht="13">
      <c r="D32" s="18"/>
      <c r="E32" s="18"/>
      <c r="G32" s="24"/>
    </row>
    <row r="33" spans="1:7" ht="12.75" customHeight="1">
      <c r="A33"/>
      <c r="D33" s="1725" t="s">
        <v>1228</v>
      </c>
      <c r="E33" s="1730"/>
      <c r="F33" s="1726"/>
      <c r="G33" s="38">
        <f>G12+G19+G25+G31</f>
        <v>1131708</v>
      </c>
    </row>
    <row r="34" spans="1:7" ht="13">
      <c r="A34" s="441"/>
      <c r="B34" s="441"/>
      <c r="D34" s="18"/>
      <c r="E34" s="18"/>
      <c r="F34" s="10"/>
      <c r="G34" s="41"/>
    </row>
    <row r="35" spans="1:7" ht="14">
      <c r="A35" s="442"/>
      <c r="B35" s="840"/>
    </row>
    <row r="36" spans="1:7" ht="42">
      <c r="B36" s="1028" t="s">
        <v>1235</v>
      </c>
    </row>
  </sheetData>
  <mergeCells count="4">
    <mergeCell ref="B3:F3"/>
    <mergeCell ref="B4:D4"/>
    <mergeCell ref="D33:F33"/>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9" tint="0.59999389629810485"/>
    <pageSetUpPr fitToPage="1"/>
  </sheetPr>
  <dimension ref="A1:I37"/>
  <sheetViews>
    <sheetView view="pageBreakPreview" zoomScale="60" zoomScaleNormal="80" workbookViewId="0">
      <selection activeCell="D25" sqref="D25"/>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2.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KW'!A26,", ",'PRES MR 10 KW'!A26,", ",'PRES MR 15 KW'!A26)</f>
        <v>ITEM:  2.2.7, 3.2.7, 4.2.7</v>
      </c>
      <c r="C3" s="1728"/>
      <c r="D3" s="1728"/>
      <c r="E3" s="1728"/>
      <c r="F3" s="1728"/>
      <c r="G3" s="6" t="s">
        <v>1229</v>
      </c>
      <c r="H3" s="7"/>
    </row>
    <row r="4" spans="1:9" ht="78.75" customHeight="1">
      <c r="B4" s="1722" t="str">
        <f>+'PRES MR 5 KW'!B26</f>
        <v xml:space="preserve">Concreto simple resistencia 3000 psi - Mezcla in situ  para cimentación de envolvente, incluye formaleta de madera </v>
      </c>
      <c r="C4" s="1723"/>
      <c r="D4" s="1724"/>
      <c r="E4" s="328"/>
      <c r="G4" s="8" t="str">
        <f>+'PRES MR 5 KW'!C26</f>
        <v>m3</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89</v>
      </c>
      <c r="B8" s="122" t="str">
        <f>VLOOKUP(A8,Materiales[],3,FALSE)</f>
        <v>Agua</v>
      </c>
      <c r="C8" s="121" t="str">
        <f>VLOOKUP(A8,Materiales[],4,FALSE)</f>
        <v>L</v>
      </c>
      <c r="D8" s="118">
        <v>170</v>
      </c>
      <c r="E8" s="329">
        <f>VLOOKUP(A8,Materiales[],5,FALSE)*D8</f>
        <v>170</v>
      </c>
      <c r="F8" s="123">
        <f>VLOOKUP(A8,Materiales[],6,FALSE)</f>
        <v>58</v>
      </c>
      <c r="G8" s="123">
        <f>ROUND(D8*F8,0)</f>
        <v>9860</v>
      </c>
      <c r="I8" s="33"/>
    </row>
    <row r="9" spans="1:9" ht="25.5" customHeight="1">
      <c r="A9" s="125">
        <v>91</v>
      </c>
      <c r="B9" s="122" t="str">
        <f>VLOOKUP(A9,Materiales[],3,FALSE)</f>
        <v>Agregado fino para concreto (tamaño máximo 4,75mm - arena natural o trituración de roca, gravas, y/o escorias)</v>
      </c>
      <c r="C9" s="121" t="str">
        <f>VLOOKUP(A9,Materiales[],4,FALSE)</f>
        <v>m3</v>
      </c>
      <c r="D9" s="333">
        <v>0.95</v>
      </c>
      <c r="E9" s="329">
        <f>VLOOKUP(A9,Materiales[],5,FALSE)*D9</f>
        <v>1520</v>
      </c>
      <c r="F9" s="123">
        <f>VLOOKUP(A9,Materiales[],6,FALSE)</f>
        <v>128168</v>
      </c>
      <c r="G9" s="123">
        <f t="shared" ref="G9:G11" si="0">ROUND(D9*F9,0)</f>
        <v>121760</v>
      </c>
      <c r="I9" s="33"/>
    </row>
    <row r="10" spans="1:9" ht="25.5" customHeight="1">
      <c r="A10" s="125">
        <v>90</v>
      </c>
      <c r="B10" s="122" t="str">
        <f>VLOOKUP(A10,Materiales[],3,FALSE)</f>
        <v>Agregado grueso (grava, grava triturada y/o roca triturada)</v>
      </c>
      <c r="C10" s="121" t="str">
        <f>VLOOKUP(A10,Materiales[],4,FALSE)</f>
        <v>m3</v>
      </c>
      <c r="D10" s="333">
        <v>0.55000000000000004</v>
      </c>
      <c r="E10" s="329">
        <f>VLOOKUP(A10,Materiales[],5,FALSE)*D10</f>
        <v>880.00000000000011</v>
      </c>
      <c r="F10" s="123">
        <f>VLOOKUP(A10,Materiales[],6,FALSE)</f>
        <v>105003</v>
      </c>
      <c r="G10" s="123">
        <f t="shared" si="0"/>
        <v>57752</v>
      </c>
      <c r="I10" s="33"/>
    </row>
    <row r="11" spans="1:9" ht="14.5">
      <c r="A11" s="125">
        <v>92</v>
      </c>
      <c r="B11" s="122" t="str">
        <f>VLOOKUP(A11,Materiales[],3,FALSE)</f>
        <v>Cemento hidráulico NTC 121 tipo UG</v>
      </c>
      <c r="C11" s="121" t="str">
        <f>VLOOKUP(A11,Materiales[],4,FALSE)</f>
        <v>kg</v>
      </c>
      <c r="D11" s="118">
        <v>330</v>
      </c>
      <c r="E11" s="329">
        <f>VLOOKUP(A11,Materiales[],5,FALSE)*D11</f>
        <v>330</v>
      </c>
      <c r="F11" s="123">
        <f>VLOOKUP(A11,Materiales[],6,FALSE)</f>
        <v>754</v>
      </c>
      <c r="G11" s="123">
        <f t="shared" si="0"/>
        <v>248820</v>
      </c>
      <c r="I11" s="33"/>
    </row>
    <row r="12" spans="1:9" ht="14.5">
      <c r="A12" s="125">
        <v>88</v>
      </c>
      <c r="B12" s="122" t="str">
        <f>VLOOKUP(A12,Materiales[],3,FALSE)</f>
        <v xml:space="preserve">Formaleta de madera para concreto				</v>
      </c>
      <c r="C12" s="121" t="str">
        <f>VLOOKUP(A12,Materiales[],4,FALSE)</f>
        <v>m2</v>
      </c>
      <c r="D12" s="332">
        <v>1.8</v>
      </c>
      <c r="E12" s="395">
        <f>VLOOKUP(A12,Materiales[],5,FALSE)*D12</f>
        <v>9</v>
      </c>
      <c r="F12" s="123">
        <f>VLOOKUP(A12,Materiales[],6,FALSE)</f>
        <v>35075</v>
      </c>
      <c r="G12" s="123">
        <f t="shared" ref="G12" si="1">ROUND(D12*F12,0)</f>
        <v>63135</v>
      </c>
      <c r="I12" s="33"/>
    </row>
    <row r="13" spans="1:9" ht="13">
      <c r="D13" s="18"/>
      <c r="E13" s="18"/>
      <c r="F13" s="29" t="s">
        <v>1220</v>
      </c>
      <c r="G13" s="42">
        <f>SUM(G8:G12)</f>
        <v>501327</v>
      </c>
    </row>
    <row r="15" spans="1:9" ht="13">
      <c r="B15" s="20" t="s">
        <v>1221</v>
      </c>
      <c r="G15" s="39"/>
    </row>
    <row r="16" spans="1:9" ht="13">
      <c r="A16" s="119" t="s">
        <v>184</v>
      </c>
      <c r="B16" s="120" t="s">
        <v>1</v>
      </c>
      <c r="C16" s="13" t="s">
        <v>1231</v>
      </c>
      <c r="D16" s="13" t="s">
        <v>1222</v>
      </c>
      <c r="E16" s="13"/>
      <c r="F16" s="13" t="s">
        <v>307</v>
      </c>
      <c r="G16" s="13" t="s">
        <v>752</v>
      </c>
    </row>
    <row r="17" spans="1:9" ht="14.5">
      <c r="A17" s="125">
        <v>1</v>
      </c>
      <c r="B17" s="122" t="str">
        <f>VLOOKUP(A17,Equip.Herram[],2,FALSE)</f>
        <v>Herramienta menor</v>
      </c>
      <c r="C17" s="15" t="str">
        <f>VLOOKUP(A17,Equip.Herram[],3,FALSE)</f>
        <v>UN</v>
      </c>
      <c r="D17" s="36">
        <f>VLOOKUP(A17,Equip.Herram[],4,FALSE)</f>
        <v>24840</v>
      </c>
      <c r="E17" s="36"/>
      <c r="F17" s="16">
        <f>+RENDIMIENTOS!$C$55</f>
        <v>8</v>
      </c>
      <c r="G17" s="36">
        <f>ROUND(D17/F17,0)</f>
        <v>3105</v>
      </c>
    </row>
    <row r="18" spans="1:9" ht="14.5">
      <c r="A18" s="125">
        <v>5</v>
      </c>
      <c r="B18" s="122" t="str">
        <f>VLOOKUP(A18,Equip.Herram[],2,FALSE)</f>
        <v xml:space="preserve">Mezcladora de concreto tipo trompo						</v>
      </c>
      <c r="C18" s="15" t="str">
        <f>VLOOKUP(A18,Equip.Herram[],3,FALSE)</f>
        <v>HORA</v>
      </c>
      <c r="D18" s="36">
        <f>VLOOKUP(A18,Equip.Herram[],4,FALSE)</f>
        <v>16285</v>
      </c>
      <c r="E18" s="36"/>
      <c r="F18" s="48">
        <v>1</v>
      </c>
      <c r="G18" s="36">
        <f t="shared" ref="G18:G19" si="2">ROUND(D18/F18,0)</f>
        <v>16285</v>
      </c>
    </row>
    <row r="19" spans="1:9" ht="25">
      <c r="A19" s="125">
        <v>6</v>
      </c>
      <c r="B19" s="122" t="str">
        <f>VLOOKUP(A19,Equip.Herram[],2,FALSE)</f>
        <v>Vibrador de concreto, potencia aproximada de 3 hp, mangueras de 4 a 6 metros</v>
      </c>
      <c r="C19" s="15" t="str">
        <f>VLOOKUP(A19,Equip.Herram[],3,FALSE)</f>
        <v>HORA</v>
      </c>
      <c r="D19" s="36">
        <f>VLOOKUP(A19,Equip.Herram[],4,FALSE)</f>
        <v>7367</v>
      </c>
      <c r="E19" s="36"/>
      <c r="F19" s="48">
        <v>0.8</v>
      </c>
      <c r="G19" s="36">
        <f t="shared" si="2"/>
        <v>9209</v>
      </c>
    </row>
    <row r="20" spans="1:9" ht="13">
      <c r="D20" s="18"/>
      <c r="E20" s="18"/>
      <c r="F20" s="19" t="s">
        <v>1220</v>
      </c>
      <c r="G20" s="37">
        <f>SUM(G17:G19)</f>
        <v>28599</v>
      </c>
    </row>
    <row r="21" spans="1:9" ht="13">
      <c r="D21" s="18"/>
      <c r="E21" s="18"/>
      <c r="F21" s="18"/>
      <c r="G21" s="23"/>
    </row>
    <row r="22" spans="1:9" ht="13">
      <c r="B22" s="11" t="s">
        <v>1223</v>
      </c>
      <c r="G22" s="24"/>
    </row>
    <row r="23" spans="1:9" ht="13">
      <c r="A23" s="119" t="s">
        <v>184</v>
      </c>
      <c r="B23" s="12" t="s">
        <v>1</v>
      </c>
      <c r="C23" s="13" t="s">
        <v>185</v>
      </c>
      <c r="D23" s="13" t="s">
        <v>1230</v>
      </c>
      <c r="E23" s="13"/>
      <c r="F23" s="13" t="s">
        <v>1233</v>
      </c>
      <c r="G23" s="25" t="s">
        <v>752</v>
      </c>
      <c r="I23" s="39"/>
    </row>
    <row r="24" spans="1:9" ht="13.4" customHeight="1">
      <c r="A24" s="125">
        <v>3</v>
      </c>
      <c r="B24" s="122" t="str">
        <f>VLOOKUP(A24,Transporte[],2,FALSE)</f>
        <v>Carga terrestre Teorama - Comunidades</v>
      </c>
      <c r="C24" s="27" t="s">
        <v>1234</v>
      </c>
      <c r="D24" s="118">
        <f>+SUM(E8,E11)</f>
        <v>500</v>
      </c>
      <c r="E24" s="118"/>
      <c r="F24" s="142">
        <f>VLOOKUP(A24,Transporte[],7,FALSE)</f>
        <v>1491</v>
      </c>
      <c r="G24" s="35">
        <f>D24*F24</f>
        <v>745500</v>
      </c>
    </row>
    <row r="25" spans="1:9" ht="13.4" customHeight="1">
      <c r="A25" s="125">
        <v>9</v>
      </c>
      <c r="B25" s="122" t="str">
        <f>VLOOKUP(A25,Transporte[],2,FALSE)</f>
        <v>Carga terrestre Cantera Petrea - Comunidades</v>
      </c>
      <c r="C25" s="27" t="s">
        <v>1234</v>
      </c>
      <c r="D25" s="118">
        <f>+SUM(E9:E10)</f>
        <v>2400</v>
      </c>
      <c r="E25" s="118"/>
      <c r="F25" s="142">
        <f>VLOOKUP(A25,Transporte[],7,FALSE)</f>
        <v>50</v>
      </c>
      <c r="G25" s="35">
        <f>D25*F25</f>
        <v>120000</v>
      </c>
    </row>
    <row r="26" spans="1:9" ht="13">
      <c r="D26" s="18"/>
      <c r="E26" s="18"/>
      <c r="F26" s="29" t="s">
        <v>1220</v>
      </c>
      <c r="G26" s="37">
        <f>SUM(G24:G25)</f>
        <v>865500</v>
      </c>
    </row>
    <row r="27" spans="1:9" ht="13">
      <c r="D27" s="18"/>
      <c r="E27" s="18"/>
      <c r="G27" s="23"/>
    </row>
    <row r="28" spans="1:9" ht="13">
      <c r="B28" s="11" t="s">
        <v>1225</v>
      </c>
      <c r="D28" s="30"/>
      <c r="E28" s="30"/>
      <c r="F28" s="31"/>
      <c r="G28" s="24"/>
    </row>
    <row r="29" spans="1:9" s="18" customFormat="1" ht="13">
      <c r="A29" s="119" t="s">
        <v>184</v>
      </c>
      <c r="B29" s="12" t="s">
        <v>1</v>
      </c>
      <c r="C29" s="13" t="s">
        <v>1226</v>
      </c>
      <c r="D29" s="13" t="s">
        <v>1227</v>
      </c>
      <c r="E29" s="13"/>
      <c r="F29" s="13" t="s">
        <v>307</v>
      </c>
      <c r="G29" s="25" t="s">
        <v>752</v>
      </c>
    </row>
    <row r="30" spans="1:9" ht="14.5">
      <c r="A30" s="125">
        <v>4</v>
      </c>
      <c r="B30" s="122" t="str">
        <f>VLOOKUP(A30,ManoObra[],2,FALSE)</f>
        <v>Oficial de obra</v>
      </c>
      <c r="C30" s="40">
        <f>VLOOKUP(A30,ManoObra[],7,FALSE)</f>
        <v>95006</v>
      </c>
      <c r="D30" s="22">
        <f>FP!$B$28</f>
        <v>1.61</v>
      </c>
      <c r="E30" s="22"/>
      <c r="F30" s="16">
        <v>10</v>
      </c>
      <c r="G30" s="36">
        <f>ROUND(C30*D30/F30,0)</f>
        <v>15296</v>
      </c>
      <c r="I30" s="81"/>
    </row>
    <row r="31" spans="1:9" ht="14.5">
      <c r="A31" s="125">
        <v>2</v>
      </c>
      <c r="B31" s="122" t="str">
        <f>VLOOKUP(A31,ManoObra[],2,FALSE)</f>
        <v>Ayudante</v>
      </c>
      <c r="C31" s="40">
        <f>VLOOKUP(A31,ManoObra[],7,FALSE)</f>
        <v>66050</v>
      </c>
      <c r="D31" s="22">
        <f>FP!$B$28</f>
        <v>1.61</v>
      </c>
      <c r="E31" s="22"/>
      <c r="F31" s="16">
        <v>10</v>
      </c>
      <c r="G31" s="36">
        <f>ROUND(C31*D31/F31,0)</f>
        <v>10634</v>
      </c>
    </row>
    <row r="32" spans="1:9" ht="13">
      <c r="D32" s="18"/>
      <c r="E32" s="18"/>
      <c r="F32" s="29" t="s">
        <v>1220</v>
      </c>
      <c r="G32" s="42">
        <f>SUM(G30:G31)</f>
        <v>25930</v>
      </c>
    </row>
    <row r="33" spans="1:7" ht="13">
      <c r="D33" s="18"/>
      <c r="E33" s="18"/>
      <c r="G33" s="24"/>
    </row>
    <row r="34" spans="1:7" ht="12.75" customHeight="1">
      <c r="A34"/>
      <c r="D34" s="1725" t="s">
        <v>1228</v>
      </c>
      <c r="E34" s="1730"/>
      <c r="F34" s="1726"/>
      <c r="G34" s="38">
        <f>G13+G20+G26+G32</f>
        <v>1421356</v>
      </c>
    </row>
    <row r="35" spans="1:7" ht="13">
      <c r="A35" s="441"/>
      <c r="B35" s="441"/>
      <c r="D35" s="18"/>
      <c r="E35" s="18"/>
      <c r="F35" s="10"/>
      <c r="G35" s="41"/>
    </row>
    <row r="36" spans="1:7" ht="14">
      <c r="A36" s="442"/>
      <c r="B36" s="840"/>
    </row>
    <row r="37" spans="1:7" ht="42">
      <c r="B37" s="1028" t="s">
        <v>1235</v>
      </c>
    </row>
  </sheetData>
  <mergeCells count="4">
    <mergeCell ref="B3:F3"/>
    <mergeCell ref="B4:D4"/>
    <mergeCell ref="D34:F34"/>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9" tint="0.59999389629810485"/>
    <pageSetUpPr fitToPage="1"/>
  </sheetPr>
  <dimension ref="A1:I32"/>
  <sheetViews>
    <sheetView view="pageBreakPreview" zoomScale="90" zoomScaleNormal="100" zoomScaleSheetLayoutView="90" workbookViewId="0">
      <selection activeCell="D25" sqref="D25"/>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3.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KW'!A27,", ",'PRES MR 10 KW'!A27,", ",'PRES MR 15 KW'!A27)</f>
        <v>ITEM:  2.2.8, 3.2.8, 4.2.8</v>
      </c>
      <c r="C3" s="1728"/>
      <c r="D3" s="1728"/>
      <c r="E3" s="1728"/>
      <c r="F3" s="1728"/>
      <c r="G3" s="6" t="s">
        <v>1229</v>
      </c>
      <c r="H3" s="7"/>
    </row>
    <row r="4" spans="1:9" ht="78.75" customHeight="1">
      <c r="B4" s="1722" t="str">
        <f>+'PRES MR 5 KW'!B27</f>
        <v>Acero de refuerzo Fy 4200 kg/cm2, para cimentación de envolvente</v>
      </c>
      <c r="C4" s="1723"/>
      <c r="D4" s="1724"/>
      <c r="E4" s="328"/>
      <c r="G4" s="8" t="str">
        <f>+'PRES MR 5 KW'!C27</f>
        <v>kg</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93</v>
      </c>
      <c r="B8" s="122" t="str">
        <f>VLOOKUP(A8,Materiales[],3,FALSE)</f>
        <v>Acero de refuerzo PDR-60, Fy: 4200 kg/cm2</v>
      </c>
      <c r="C8" s="121" t="str">
        <f>VLOOKUP(A8,Materiales[],4,FALSE)</f>
        <v>kg</v>
      </c>
      <c r="D8" s="333">
        <v>1.05</v>
      </c>
      <c r="E8" s="329">
        <f>VLOOKUP(A8,Materiales[],5,FALSE)*D8</f>
        <v>1.05</v>
      </c>
      <c r="F8" s="123">
        <f>VLOOKUP(A8,Materiales[],6,FALSE)</f>
        <v>5456</v>
      </c>
      <c r="G8" s="123">
        <f>ROUND(D8*F8,0)</f>
        <v>5729</v>
      </c>
      <c r="I8" s="33"/>
    </row>
    <row r="9" spans="1:9" ht="25.5" customHeight="1">
      <c r="A9" s="125">
        <v>94</v>
      </c>
      <c r="B9" s="122" t="str">
        <f>VLOOKUP(A9,Materiales[],3,FALSE)</f>
        <v>Alambre negro para amarre calibre 18</v>
      </c>
      <c r="C9" s="121" t="str">
        <f>VLOOKUP(A9,Materiales[],4,FALSE)</f>
        <v>kg</v>
      </c>
      <c r="D9" s="333">
        <v>0.08</v>
      </c>
      <c r="E9" s="329">
        <f>VLOOKUP(A9,Materiales[],5,FALSE)*D9</f>
        <v>0.08</v>
      </c>
      <c r="F9" s="123">
        <f>VLOOKUP(A9,Materiales[],6,FALSE)</f>
        <v>12831</v>
      </c>
      <c r="G9" s="123">
        <f t="shared" ref="G9" si="0">ROUND(D9*F9,0)</f>
        <v>1026</v>
      </c>
      <c r="I9" s="33"/>
    </row>
    <row r="10" spans="1:9" ht="13">
      <c r="D10" s="18"/>
      <c r="E10" s="18"/>
      <c r="F10" s="29" t="s">
        <v>1220</v>
      </c>
      <c r="G10" s="42">
        <f>SUM(G8:G9)</f>
        <v>6755</v>
      </c>
    </row>
    <row r="12" spans="1:9" ht="13">
      <c r="B12" s="20" t="s">
        <v>1221</v>
      </c>
      <c r="G12" s="39"/>
    </row>
    <row r="13" spans="1:9" ht="13">
      <c r="A13" s="119" t="s">
        <v>184</v>
      </c>
      <c r="B13" s="120" t="s">
        <v>1</v>
      </c>
      <c r="C13" s="13" t="s">
        <v>1231</v>
      </c>
      <c r="D13" s="13" t="s">
        <v>1222</v>
      </c>
      <c r="E13" s="13"/>
      <c r="F13" s="13" t="s">
        <v>307</v>
      </c>
      <c r="G13" s="13" t="s">
        <v>752</v>
      </c>
    </row>
    <row r="14" spans="1:9" ht="14.5">
      <c r="A14" s="125">
        <v>1</v>
      </c>
      <c r="B14" s="122" t="str">
        <f>VLOOKUP(A14,Equip.Herram[],2,FALSE)</f>
        <v>Herramienta menor</v>
      </c>
      <c r="C14" s="15" t="str">
        <f>VLOOKUP(A14,Equip.Herram[],3,FALSE)</f>
        <v>UN</v>
      </c>
      <c r="D14" s="36">
        <f>VLOOKUP(A14,Equip.Herram[],4,FALSE)</f>
        <v>24840</v>
      </c>
      <c r="E14" s="36"/>
      <c r="F14" s="16">
        <f>+RENDIMIENTOS!$C$56</f>
        <v>250</v>
      </c>
      <c r="G14" s="36">
        <f>ROUND(D14/F14,0)</f>
        <v>99</v>
      </c>
    </row>
    <row r="15" spans="1:9" ht="13">
      <c r="D15" s="18"/>
      <c r="E15" s="18"/>
      <c r="F15" s="19" t="s">
        <v>1220</v>
      </c>
      <c r="G15" s="37">
        <f>SUM(G14:G14)</f>
        <v>99</v>
      </c>
    </row>
    <row r="16" spans="1:9" ht="13">
      <c r="D16" s="18"/>
      <c r="E16" s="18"/>
      <c r="F16" s="18"/>
      <c r="G16" s="23"/>
    </row>
    <row r="17" spans="1:9" ht="13">
      <c r="B17" s="11" t="s">
        <v>1223</v>
      </c>
      <c r="G17" s="24"/>
    </row>
    <row r="18" spans="1:9" ht="13">
      <c r="A18" s="119" t="s">
        <v>184</v>
      </c>
      <c r="B18" s="12" t="s">
        <v>1</v>
      </c>
      <c r="C18" s="13" t="s">
        <v>185</v>
      </c>
      <c r="D18" s="13" t="s">
        <v>1230</v>
      </c>
      <c r="E18" s="13"/>
      <c r="F18" s="13" t="s">
        <v>1233</v>
      </c>
      <c r="G18" s="25" t="s">
        <v>752</v>
      </c>
      <c r="I18" s="39"/>
    </row>
    <row r="19" spans="1:9" ht="13.4" customHeight="1">
      <c r="A19" s="125">
        <v>1</v>
      </c>
      <c r="B19" s="122" t="str">
        <f>VLOOKUP(A19,Transporte[],2,FALSE)</f>
        <v>Carga terrestre Bogotá - Teorama</v>
      </c>
      <c r="C19" s="27" t="s">
        <v>1234</v>
      </c>
      <c r="D19" s="333">
        <f>+SUM($E$8:$E$9)</f>
        <v>1.1300000000000001</v>
      </c>
      <c r="E19" s="118"/>
      <c r="F19" s="142">
        <f>VLOOKUP(A19,Transporte[],7,FALSE)</f>
        <v>214.17955999999998</v>
      </c>
      <c r="G19" s="35">
        <f>D19*F19</f>
        <v>242.0229028</v>
      </c>
    </row>
    <row r="20" spans="1:9" ht="13.4" customHeight="1">
      <c r="A20" s="125">
        <v>3</v>
      </c>
      <c r="B20" s="122" t="str">
        <f>VLOOKUP(A20,Transporte[],2,FALSE)</f>
        <v>Carga terrestre Teorama - Comunidades</v>
      </c>
      <c r="C20" s="27" t="s">
        <v>1234</v>
      </c>
      <c r="D20" s="333">
        <f>+SUM($E$8:$E$9)</f>
        <v>1.1300000000000001</v>
      </c>
      <c r="E20" s="118"/>
      <c r="F20" s="142">
        <f>VLOOKUP(A20,Transporte[],7,FALSE)</f>
        <v>1491</v>
      </c>
      <c r="G20" s="35">
        <f>D20*F20</f>
        <v>1684.8300000000002</v>
      </c>
    </row>
    <row r="21" spans="1:9" ht="13">
      <c r="D21" s="18"/>
      <c r="E21" s="18"/>
      <c r="F21" s="29" t="s">
        <v>1220</v>
      </c>
      <c r="G21" s="37">
        <f>SUM(G19:G20)</f>
        <v>1926.8529028000003</v>
      </c>
    </row>
    <row r="22" spans="1:9" ht="13">
      <c r="D22" s="18"/>
      <c r="E22" s="18"/>
      <c r="G22" s="23"/>
    </row>
    <row r="23" spans="1:9" ht="13">
      <c r="B23" s="11" t="s">
        <v>1225</v>
      </c>
      <c r="D23" s="30"/>
      <c r="E23" s="30"/>
      <c r="F23" s="31"/>
      <c r="G23" s="24"/>
    </row>
    <row r="24" spans="1:9" s="18" customFormat="1" ht="13">
      <c r="A24" s="119" t="s">
        <v>184</v>
      </c>
      <c r="B24" s="12" t="s">
        <v>1</v>
      </c>
      <c r="C24" s="13" t="s">
        <v>1226</v>
      </c>
      <c r="D24" s="13" t="s">
        <v>1227</v>
      </c>
      <c r="E24" s="13"/>
      <c r="F24" s="13" t="s">
        <v>307</v>
      </c>
      <c r="G24" s="25" t="s">
        <v>752</v>
      </c>
    </row>
    <row r="25" spans="1:9" ht="14.5">
      <c r="A25" s="125">
        <v>4</v>
      </c>
      <c r="B25" s="122" t="str">
        <f>VLOOKUP(A25,ManoObra[],2,FALSE)</f>
        <v>Oficial de obra</v>
      </c>
      <c r="C25" s="40">
        <f>VLOOKUP(A25,ManoObra[],7,FALSE)</f>
        <v>95006</v>
      </c>
      <c r="D25" s="22">
        <f>FP!$B$28</f>
        <v>1.61</v>
      </c>
      <c r="E25" s="22"/>
      <c r="F25" s="16">
        <f>+RENDIMIENTOS!$C$56</f>
        <v>250</v>
      </c>
      <c r="G25" s="36">
        <f>ROUND(C25*D25/F25,0)</f>
        <v>612</v>
      </c>
      <c r="I25" s="81"/>
    </row>
    <row r="26" spans="1:9" ht="14.5">
      <c r="A26" s="125">
        <v>2</v>
      </c>
      <c r="B26" s="122" t="str">
        <f>VLOOKUP(A26,ManoObra[],2,FALSE)</f>
        <v>Ayudante</v>
      </c>
      <c r="C26" s="40">
        <f>VLOOKUP(A26,ManoObra[],7,FALSE)</f>
        <v>66050</v>
      </c>
      <c r="D26" s="22">
        <f>FP!$B$28</f>
        <v>1.61</v>
      </c>
      <c r="E26" s="22"/>
      <c r="F26" s="16">
        <f>+RENDIMIENTOS!$C$56</f>
        <v>250</v>
      </c>
      <c r="G26" s="36">
        <f>ROUND(C26*D26/F26,0)</f>
        <v>425</v>
      </c>
    </row>
    <row r="27" spans="1:9" ht="13">
      <c r="D27" s="18"/>
      <c r="E27" s="18"/>
      <c r="F27" s="29" t="s">
        <v>1220</v>
      </c>
      <c r="G27" s="42">
        <f>SUM(G25:G26)</f>
        <v>1037</v>
      </c>
    </row>
    <row r="28" spans="1:9" ht="13">
      <c r="D28" s="18"/>
      <c r="E28" s="18"/>
      <c r="G28" s="24"/>
    </row>
    <row r="29" spans="1:9" ht="12.75" customHeight="1">
      <c r="A29"/>
      <c r="D29" s="1725" t="s">
        <v>1228</v>
      </c>
      <c r="E29" s="1730"/>
      <c r="F29" s="1726"/>
      <c r="G29" s="38">
        <f>G10+G15+G21+G27</f>
        <v>9817.8529028000012</v>
      </c>
    </row>
    <row r="30" spans="1:9" ht="13">
      <c r="A30" s="441"/>
      <c r="B30" s="441"/>
      <c r="D30" s="18"/>
      <c r="E30" s="18"/>
      <c r="F30" s="10"/>
      <c r="G30" s="41"/>
    </row>
    <row r="31" spans="1:9" ht="14">
      <c r="A31" s="442"/>
      <c r="B31" s="840"/>
    </row>
    <row r="32" spans="1:9" ht="42">
      <c r="B32" s="1028" t="s">
        <v>1235</v>
      </c>
    </row>
  </sheetData>
  <mergeCells count="4">
    <mergeCell ref="B3:F3"/>
    <mergeCell ref="B4:D4"/>
    <mergeCell ref="D29:F29"/>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tint="0.59999389629810485"/>
    <pageSetUpPr fitToPage="1"/>
  </sheetPr>
  <dimension ref="A1:I33"/>
  <sheetViews>
    <sheetView view="pageBreakPreview" zoomScale="60" zoomScaleNormal="80" workbookViewId="0">
      <selection activeCell="D25" sqref="D25"/>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29.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KW'!A28,", ",'PRES MR 10 KW'!A28,", ",'PRES MR 15 KW'!A28)</f>
        <v>ITEM:  2.2.9, 3.2.9, 4.2.9</v>
      </c>
      <c r="C3" s="1728"/>
      <c r="D3" s="1728"/>
      <c r="E3" s="1728"/>
      <c r="F3" s="1728"/>
      <c r="G3" s="6" t="s">
        <v>1229</v>
      </c>
      <c r="H3" s="7"/>
    </row>
    <row r="4" spans="1:9" ht="78.75" customHeight="1">
      <c r="B4" s="1722" t="str">
        <f>+'PRES MR 5 KW'!B28</f>
        <v>Suministro, transporte e instalación de envolvente para equipos (B=3.0 m, L=4.0 m, H=2.3-2.85 m),  en estructura interlocking de WPC, puerta de acceso metálica con pintura electrostática, teja termo acústica en PVC acanalada blanca por ambas caras  2.5 mm de espesor con caballetes.</v>
      </c>
      <c r="C4" s="1723"/>
      <c r="D4" s="1724"/>
      <c r="E4" s="328"/>
      <c r="G4" s="121" t="s">
        <v>1130</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64.400000000000006" customHeight="1">
      <c r="A8" s="125">
        <v>211</v>
      </c>
      <c r="B8" s="122" t="str">
        <f>VLOOKUP(A8,Materiales[],3,FALSE)</f>
        <v xml:space="preserve">Kit para construcción de depósito 9m2. Incluye muros en WPC sistema interlocking, cubierta en teja termoacústica en PVC color blanca, puerta metálica doble hoja, tornillería y piezas de sujeción </v>
      </c>
      <c r="C8" s="121" t="str">
        <f>VLOOKUP(A8,Materiales[],4,FALSE)</f>
        <v>m2</v>
      </c>
      <c r="D8" s="333">
        <v>1</v>
      </c>
      <c r="E8" s="329">
        <f>VLOOKUP(A8,Materiales[],5,FALSE)*D8</f>
        <v>10</v>
      </c>
      <c r="F8" s="123">
        <f>VLOOKUP(A8,Materiales[],6,FALSE)</f>
        <v>1188333</v>
      </c>
      <c r="G8" s="123">
        <f>ROUND(D8*F8,0)</f>
        <v>1188333</v>
      </c>
      <c r="I8" s="33"/>
    </row>
    <row r="9" spans="1:9" ht="13">
      <c r="D9" s="18"/>
      <c r="E9" s="18"/>
      <c r="F9" s="29" t="s">
        <v>1220</v>
      </c>
      <c r="G9" s="37">
        <f>SUM(G7:G8)</f>
        <v>1188333</v>
      </c>
    </row>
    <row r="11" spans="1:9" ht="13">
      <c r="B11" s="20" t="s">
        <v>1221</v>
      </c>
      <c r="G11" s="39"/>
    </row>
    <row r="12" spans="1:9" ht="13">
      <c r="A12" s="119" t="s">
        <v>184</v>
      </c>
      <c r="B12" s="120" t="s">
        <v>1</v>
      </c>
      <c r="C12" s="13" t="s">
        <v>1231</v>
      </c>
      <c r="D12" s="13" t="s">
        <v>1222</v>
      </c>
      <c r="E12" s="13"/>
      <c r="F12" s="13" t="s">
        <v>307</v>
      </c>
      <c r="G12" s="13" t="s">
        <v>752</v>
      </c>
    </row>
    <row r="13" spans="1:9" ht="14.5">
      <c r="A13" s="125">
        <v>1</v>
      </c>
      <c r="B13" s="122" t="str">
        <f>VLOOKUP(A13,Equip.Herram[],2,FALSE)</f>
        <v>Herramienta menor</v>
      </c>
      <c r="C13" s="15" t="str">
        <f>VLOOKUP(A13,Equip.Herram[],3,FALSE)</f>
        <v>UN</v>
      </c>
      <c r="D13" s="36">
        <f>VLOOKUP(A13,Equip.Herram[],4,FALSE)</f>
        <v>24840</v>
      </c>
      <c r="E13" s="36"/>
      <c r="F13" s="16">
        <f>+RENDIMIENTOS!$C$57</f>
        <v>1</v>
      </c>
      <c r="G13" s="36">
        <f>ROUND(D13/F13,0)</f>
        <v>24840</v>
      </c>
    </row>
    <row r="14" spans="1:9">
      <c r="B14" s="14"/>
      <c r="C14" s="15"/>
      <c r="D14" s="17"/>
      <c r="E14" s="17"/>
      <c r="F14" s="22"/>
      <c r="G14" s="21"/>
    </row>
    <row r="15" spans="1:9" ht="13">
      <c r="D15" s="18"/>
      <c r="E15" s="18"/>
      <c r="F15" s="19" t="s">
        <v>1220</v>
      </c>
      <c r="G15" s="37">
        <f>SUM(G13:G14)</f>
        <v>24840</v>
      </c>
    </row>
    <row r="16" spans="1:9" ht="13">
      <c r="D16" s="18"/>
      <c r="E16" s="18"/>
      <c r="F16" s="18"/>
      <c r="G16" s="23"/>
    </row>
    <row r="17" spans="1:9" ht="13">
      <c r="B17" s="11" t="s">
        <v>1223</v>
      </c>
      <c r="G17" s="24"/>
    </row>
    <row r="18" spans="1:9" ht="13">
      <c r="A18" s="119" t="s">
        <v>184</v>
      </c>
      <c r="B18" s="12" t="s">
        <v>1</v>
      </c>
      <c r="C18" s="13" t="s">
        <v>185</v>
      </c>
      <c r="D18" s="13" t="s">
        <v>1230</v>
      </c>
      <c r="E18" s="13"/>
      <c r="F18" s="13" t="s">
        <v>1233</v>
      </c>
      <c r="G18" s="25" t="s">
        <v>752</v>
      </c>
      <c r="I18" s="39"/>
    </row>
    <row r="19" spans="1:9" ht="13.4" customHeight="1">
      <c r="A19" s="125">
        <v>1</v>
      </c>
      <c r="B19" s="122" t="str">
        <f>VLOOKUP(A19,Transporte[],2,FALSE)</f>
        <v>Carga terrestre Bogotá - Teorama</v>
      </c>
      <c r="C19" s="27" t="s">
        <v>1234</v>
      </c>
      <c r="D19" s="118">
        <v>95</v>
      </c>
      <c r="E19" s="118"/>
      <c r="F19" s="142">
        <f>VLOOKUP(A19,Transporte[],7,FALSE)</f>
        <v>214.17955999999998</v>
      </c>
      <c r="G19" s="35">
        <f>D19*F19</f>
        <v>20347.058199999999</v>
      </c>
    </row>
    <row r="20" spans="1:9" ht="13.4" customHeight="1">
      <c r="A20" s="125">
        <v>3</v>
      </c>
      <c r="B20" s="122" t="str">
        <f>VLOOKUP(A20,Transporte[],2,FALSE)</f>
        <v>Carga terrestre Teorama - Comunidades</v>
      </c>
      <c r="C20" s="27" t="s">
        <v>1234</v>
      </c>
      <c r="D20" s="118">
        <f>+D19</f>
        <v>95</v>
      </c>
      <c r="E20" s="118"/>
      <c r="F20" s="142">
        <f>VLOOKUP(A20,Transporte[],7,FALSE)</f>
        <v>1491</v>
      </c>
      <c r="G20" s="35">
        <f>D20*F20</f>
        <v>141645</v>
      </c>
    </row>
    <row r="21" spans="1:9" ht="13">
      <c r="D21" s="18"/>
      <c r="E21" s="18"/>
      <c r="F21" s="29" t="s">
        <v>1220</v>
      </c>
      <c r="G21" s="37">
        <f>SUM(G19:G20)</f>
        <v>161992.0582</v>
      </c>
    </row>
    <row r="22" spans="1:9" ht="13">
      <c r="D22" s="18"/>
      <c r="E22" s="18"/>
      <c r="G22" s="23"/>
    </row>
    <row r="23" spans="1:9" ht="13">
      <c r="B23" s="11" t="s">
        <v>1225</v>
      </c>
      <c r="D23" s="30"/>
      <c r="E23" s="30"/>
      <c r="F23" s="31"/>
      <c r="G23" s="24"/>
    </row>
    <row r="24" spans="1:9" s="18" customFormat="1" ht="13">
      <c r="A24" s="119" t="s">
        <v>184</v>
      </c>
      <c r="B24" s="12" t="s">
        <v>1</v>
      </c>
      <c r="C24" s="13" t="s">
        <v>1226</v>
      </c>
      <c r="D24" s="13" t="s">
        <v>1227</v>
      </c>
      <c r="E24" s="13"/>
      <c r="F24" s="13" t="s">
        <v>307</v>
      </c>
      <c r="G24" s="25" t="s">
        <v>752</v>
      </c>
    </row>
    <row r="25" spans="1:9" ht="14.5">
      <c r="A25" s="125">
        <v>4</v>
      </c>
      <c r="B25" s="122" t="str">
        <f>VLOOKUP(A25,ManoObra[],2,FALSE)</f>
        <v>Oficial de obra</v>
      </c>
      <c r="C25" s="40">
        <f>VLOOKUP(A25,ManoObra[],7,FALSE)</f>
        <v>95006</v>
      </c>
      <c r="D25" s="22">
        <f>FP!$B$28</f>
        <v>1.61</v>
      </c>
      <c r="E25" s="22"/>
      <c r="F25" s="16">
        <v>4.5</v>
      </c>
      <c r="G25" s="36">
        <f>ROUND(C25*D25/F25,0)</f>
        <v>33991</v>
      </c>
      <c r="I25" s="81"/>
    </row>
    <row r="26" spans="1:9" ht="14.5">
      <c r="A26" s="125">
        <v>2</v>
      </c>
      <c r="B26" s="122" t="str">
        <f>VLOOKUP(A26,ManoObra[],2,FALSE)</f>
        <v>Ayudante</v>
      </c>
      <c r="C26" s="40">
        <f>VLOOKUP(A26,ManoObra[],7,FALSE)</f>
        <v>66050</v>
      </c>
      <c r="D26" s="22">
        <f>FP!$B$28</f>
        <v>1.61</v>
      </c>
      <c r="E26" s="22"/>
      <c r="F26" s="16">
        <v>4.5</v>
      </c>
      <c r="G26" s="36">
        <f>ROUND(C26*D26/F26,0)</f>
        <v>23631</v>
      </c>
      <c r="I26" s="81"/>
    </row>
    <row r="27" spans="1:9" ht="14.5">
      <c r="A27" s="125">
        <v>2</v>
      </c>
      <c r="B27" s="122" t="str">
        <f>VLOOKUP(A27,ManoObra[],2,FALSE)</f>
        <v>Ayudante</v>
      </c>
      <c r="C27" s="40">
        <f>VLOOKUP(A27,ManoObra[],7,FALSE)</f>
        <v>66050</v>
      </c>
      <c r="D27" s="22">
        <f>FP!$B$28</f>
        <v>1.61</v>
      </c>
      <c r="E27" s="22"/>
      <c r="F27" s="16">
        <v>4.5</v>
      </c>
      <c r="G27" s="36">
        <f>ROUND(C27*D27/F27,0)</f>
        <v>23631</v>
      </c>
    </row>
    <row r="28" spans="1:9" ht="13">
      <c r="D28" s="18"/>
      <c r="E28" s="18"/>
      <c r="F28" s="29" t="s">
        <v>1220</v>
      </c>
      <c r="G28" s="42">
        <f>SUM(G25:G27)</f>
        <v>81253</v>
      </c>
    </row>
    <row r="29" spans="1:9" ht="13">
      <c r="D29" s="18"/>
      <c r="E29" s="18"/>
      <c r="G29" s="24"/>
    </row>
    <row r="30" spans="1:9" ht="12.75" customHeight="1">
      <c r="A30"/>
      <c r="D30" s="1725" t="s">
        <v>1228</v>
      </c>
      <c r="E30" s="1730"/>
      <c r="F30" s="1726"/>
      <c r="G30" s="38">
        <f>G9+G15+G21+G28</f>
        <v>1456418.0582000001</v>
      </c>
    </row>
    <row r="31" spans="1:9" ht="13">
      <c r="A31" s="441"/>
      <c r="B31" s="441"/>
      <c r="D31" s="18"/>
      <c r="E31" s="18"/>
      <c r="F31" s="10"/>
      <c r="G31" s="41"/>
    </row>
    <row r="32" spans="1:9" ht="14">
      <c r="A32" s="442"/>
      <c r="B32" s="840"/>
    </row>
    <row r="33" spans="2:2" ht="42">
      <c r="B33" s="1028" t="s">
        <v>1235</v>
      </c>
    </row>
  </sheetData>
  <mergeCells count="4">
    <mergeCell ref="B3:F3"/>
    <mergeCell ref="B4:D4"/>
    <mergeCell ref="D30:F30"/>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9" tint="0.59999389629810485"/>
    <pageSetUpPr fitToPage="1"/>
  </sheetPr>
  <dimension ref="A1:N36"/>
  <sheetViews>
    <sheetView view="pageBreakPreview" zoomScale="60" zoomScaleNormal="90" workbookViewId="0">
      <selection activeCell="D25" sqref="D25"/>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6" style="5" customWidth="1"/>
    <col min="11" max="16384" width="11.453125" style="5"/>
  </cols>
  <sheetData>
    <row r="1" spans="1:11" ht="35.1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11" ht="12.75" customHeight="1">
      <c r="B3" s="1727" t="str">
        <f>CONCATENATE("ITEM:  ",'PRES MR 5 KW'!A29,", ",'PRES MR 10 KW'!A29,", ",'PRES MR 15 KW'!A29)</f>
        <v>ITEM:  2.2.10, 3.2.10, 4.2.10</v>
      </c>
      <c r="C3" s="1728"/>
      <c r="D3" s="1728"/>
      <c r="E3" s="1728"/>
      <c r="F3" s="1728"/>
      <c r="G3" s="6" t="s">
        <v>1229</v>
      </c>
      <c r="H3" s="7"/>
    </row>
    <row r="4" spans="1:11" ht="78.75" customHeight="1">
      <c r="B4" s="1722" t="str">
        <f>+'PRES MR 5 KW'!B29</f>
        <v>Suministro, transporte e instalación de estructura en acero galvanizado para soporte de paneles según diseño. Incluye cortes, perforaciones, conexiones, unión a envolente, elementos de sujeción de paneles en aluminio 6005-T6 y pintura anticorrosiva.</v>
      </c>
      <c r="C4" s="1723"/>
      <c r="D4" s="1724"/>
      <c r="E4" s="328"/>
      <c r="G4" s="8" t="str">
        <f>+'PRES MR 5 KW'!C29</f>
        <v>kg</v>
      </c>
    </row>
    <row r="5" spans="1:11" ht="13">
      <c r="B5" s="9"/>
      <c r="G5" s="10"/>
    </row>
    <row r="6" spans="1:11" ht="13">
      <c r="B6" s="20" t="s">
        <v>1219</v>
      </c>
    </row>
    <row r="7" spans="1:11" ht="13">
      <c r="A7" s="119" t="s">
        <v>184</v>
      </c>
      <c r="B7" s="120" t="s">
        <v>1</v>
      </c>
      <c r="C7" s="120" t="s">
        <v>185</v>
      </c>
      <c r="D7" s="120" t="s">
        <v>334</v>
      </c>
      <c r="E7" s="120" t="s">
        <v>1230</v>
      </c>
      <c r="F7" s="120" t="s">
        <v>751</v>
      </c>
      <c r="G7" s="120" t="s">
        <v>752</v>
      </c>
    </row>
    <row r="8" spans="1:11" ht="14.5">
      <c r="A8" s="125">
        <v>224</v>
      </c>
      <c r="B8" s="122" t="str">
        <f>VLOOKUP(A8,Materiales[],3,FALSE)</f>
        <v xml:space="preserve">Tubería cuadrada   ASTM A-500 Gr. C </v>
      </c>
      <c r="C8" s="121" t="str">
        <f>VLOOKUP(A8,Materiales[],4,FALSE)</f>
        <v>kg</v>
      </c>
      <c r="D8" s="332">
        <v>0.9</v>
      </c>
      <c r="E8" s="415">
        <f>+D8</f>
        <v>0.9</v>
      </c>
      <c r="F8" s="123">
        <f>VLOOKUP(A8,Materiales[],6,FALSE)</f>
        <v>8587</v>
      </c>
      <c r="G8" s="123">
        <f>ROUND(D8*F8,0)</f>
        <v>7728</v>
      </c>
      <c r="I8" s="33"/>
    </row>
    <row r="9" spans="1:11" ht="62.5">
      <c r="A9" s="125">
        <v>229</v>
      </c>
      <c r="B9" s="122" t="str">
        <f>VLOOKUP(A9,Materiales[],3,FALSE)</f>
        <v>Rieles y accesorios de fijación para paneles solares en Aluminio 6005 T6 fabricada bajo la norma ANSI 35.2 con Certificaciones UL2703 y ASTM B221, incluye Tornillería en Acero Inoxidable Serie 300 (Tornillo Expansivo 3/8"x2")</v>
      </c>
      <c r="C9" s="121" t="s">
        <v>1147</v>
      </c>
      <c r="D9" s="332">
        <v>0.1</v>
      </c>
      <c r="E9" s="414">
        <f>+D9</f>
        <v>0.1</v>
      </c>
      <c r="F9" s="123">
        <f>VLOOKUP(A9,Materiales[],6,FALSE)</f>
        <v>37667</v>
      </c>
      <c r="G9" s="123">
        <f t="shared" ref="G9:G10" si="0">ROUND(D9*F9,0)</f>
        <v>3767</v>
      </c>
      <c r="I9" s="33"/>
    </row>
    <row r="10" spans="1:11" ht="14.5">
      <c r="A10" s="125">
        <v>202</v>
      </c>
      <c r="B10" s="122" t="str">
        <f>VLOOKUP(A10,Materiales[],3,FALSE)</f>
        <v>Pintura anticorrosiva</v>
      </c>
      <c r="C10" s="121" t="str">
        <f>VLOOKUP(A10,Materiales[],4,FALSE)</f>
        <v>GAL</v>
      </c>
      <c r="D10" s="333">
        <v>0.02</v>
      </c>
      <c r="E10" s="335">
        <f>VLOOKUP(A10,Materiales[],5,FALSE)*D10</f>
        <v>0.08</v>
      </c>
      <c r="F10" s="123">
        <f>VLOOKUP(A10,Materiales[],6,FALSE)</f>
        <v>76613</v>
      </c>
      <c r="G10" s="123">
        <f t="shared" si="0"/>
        <v>1532</v>
      </c>
      <c r="I10" s="33"/>
    </row>
    <row r="11" spans="1:11" ht="13">
      <c r="D11" s="18"/>
      <c r="E11" s="18"/>
      <c r="F11" s="29" t="s">
        <v>1220</v>
      </c>
      <c r="G11" s="42">
        <f>SUM(G8:G10)</f>
        <v>13027</v>
      </c>
    </row>
    <row r="13" spans="1:11" ht="13">
      <c r="B13" s="20" t="s">
        <v>1221</v>
      </c>
      <c r="G13" s="39"/>
    </row>
    <row r="14" spans="1:11" ht="13">
      <c r="A14" s="119" t="s">
        <v>184</v>
      </c>
      <c r="B14" s="120" t="s">
        <v>1</v>
      </c>
      <c r="C14" s="13" t="s">
        <v>1231</v>
      </c>
      <c r="D14" s="13" t="s">
        <v>1222</v>
      </c>
      <c r="E14" s="13"/>
      <c r="F14" s="13" t="s">
        <v>307</v>
      </c>
      <c r="G14" s="13" t="s">
        <v>752</v>
      </c>
    </row>
    <row r="15" spans="1:11" ht="14.5">
      <c r="A15" s="125">
        <v>1</v>
      </c>
      <c r="B15" s="122" t="str">
        <f>VLOOKUP(A15,Equip.Herram[],2,FALSE)</f>
        <v>Herramienta menor</v>
      </c>
      <c r="C15" s="15" t="str">
        <f>VLOOKUP(A15,Equip.Herram[],3,FALSE)</f>
        <v>UN</v>
      </c>
      <c r="D15" s="36">
        <f>VLOOKUP(A15,Equip.Herram[],4,FALSE)</f>
        <v>24840</v>
      </c>
      <c r="E15" s="36"/>
      <c r="F15" s="16">
        <f>+RENDIMIENTOS!$C$58</f>
        <v>40</v>
      </c>
      <c r="G15" s="36">
        <f>ROUND(D15/F15,0)</f>
        <v>621</v>
      </c>
    </row>
    <row r="16" spans="1:11" ht="25.5" customHeight="1">
      <c r="A16" s="125">
        <v>9</v>
      </c>
      <c r="B16" s="122" t="str">
        <f>VLOOKUP(A16,Equip.Herram[],2,FALSE)</f>
        <v>Equipo de oxicorte y soldadura, capacidad de corte 6"-14", incluye soldadura</v>
      </c>
      <c r="C16" s="15" t="str">
        <f>VLOOKUP(A16,Equip.Herram[],3,FALSE)</f>
        <v>HORA</v>
      </c>
      <c r="D16" s="36">
        <f>VLOOKUP(A16,Equip.Herram[],4,FALSE)</f>
        <v>13408</v>
      </c>
      <c r="E16" s="36"/>
      <c r="F16" s="22">
        <f>+RENDIMIENTOS!$C$58/4</f>
        <v>10</v>
      </c>
      <c r="G16" s="36">
        <f>ROUND(D16/F16,0)</f>
        <v>1341</v>
      </c>
      <c r="K16" s="31"/>
    </row>
    <row r="17" spans="1:14">
      <c r="B17" s="14"/>
      <c r="C17" s="15"/>
      <c r="D17" s="17"/>
      <c r="E17" s="17"/>
      <c r="F17" s="22"/>
      <c r="G17" s="21"/>
    </row>
    <row r="18" spans="1:14" ht="13">
      <c r="D18" s="18"/>
      <c r="E18" s="18"/>
      <c r="F18" s="19" t="s">
        <v>1220</v>
      </c>
      <c r="G18" s="37">
        <f>SUM(G15:G17)</f>
        <v>1962</v>
      </c>
    </row>
    <row r="19" spans="1:14" ht="13">
      <c r="D19" s="18"/>
      <c r="E19" s="18"/>
      <c r="F19" s="18"/>
      <c r="G19" s="23"/>
      <c r="J19" s="434" t="s">
        <v>1298</v>
      </c>
      <c r="K19" s="5">
        <f>2.8*2+3.53*2+(6*3)+1.59*6</f>
        <v>40.200000000000003</v>
      </c>
      <c r="L19" s="5" t="s">
        <v>1299</v>
      </c>
    </row>
    <row r="20" spans="1:14" ht="13">
      <c r="B20" s="11" t="s">
        <v>1223</v>
      </c>
      <c r="G20" s="24"/>
      <c r="J20" s="5" t="s">
        <v>1300</v>
      </c>
      <c r="K20" s="5">
        <v>12</v>
      </c>
      <c r="L20" s="5">
        <f>8*4.7*2</f>
        <v>75.2</v>
      </c>
    </row>
    <row r="21" spans="1:14" ht="13">
      <c r="A21" s="119" t="s">
        <v>184</v>
      </c>
      <c r="B21" s="12" t="s">
        <v>1</v>
      </c>
      <c r="C21" s="13" t="s">
        <v>185</v>
      </c>
      <c r="D21" s="13" t="s">
        <v>1230</v>
      </c>
      <c r="E21" s="13"/>
      <c r="F21" s="13" t="s">
        <v>1233</v>
      </c>
      <c r="G21" s="25" t="s">
        <v>752</v>
      </c>
      <c r="I21" s="39"/>
      <c r="K21" s="5">
        <f>+K19*K20</f>
        <v>482.40000000000003</v>
      </c>
      <c r="L21" s="436">
        <f>+L20+K21</f>
        <v>557.6</v>
      </c>
      <c r="M21" s="437">
        <f>+L20/L21</f>
        <v>0.13486370157819225</v>
      </c>
      <c r="N21" s="435">
        <f>1-M21</f>
        <v>0.86513629842180773</v>
      </c>
    </row>
    <row r="22" spans="1:14" ht="13.4" customHeight="1">
      <c r="A22" s="125">
        <v>1</v>
      </c>
      <c r="B22" s="122" t="str">
        <f>VLOOKUP(A22,Transporte[],2,FALSE)</f>
        <v>Carga terrestre Bogotá - Teorama</v>
      </c>
      <c r="C22" s="27" t="s">
        <v>1234</v>
      </c>
      <c r="D22" s="332">
        <f>+SUM(E8:E10)</f>
        <v>1.08</v>
      </c>
      <c r="E22" s="118"/>
      <c r="F22" s="142">
        <f>VLOOKUP(A22,Transporte[],7,FALSE)</f>
        <v>214.17955999999998</v>
      </c>
      <c r="G22" s="35">
        <f>D22*F22</f>
        <v>231.3139248</v>
      </c>
      <c r="J22" s="5" t="s">
        <v>1301</v>
      </c>
      <c r="K22" s="5">
        <v>18.72</v>
      </c>
    </row>
    <row r="23" spans="1:14" ht="13.4" customHeight="1">
      <c r="A23" s="125">
        <v>3</v>
      </c>
      <c r="B23" s="122" t="str">
        <f>VLOOKUP(A23,Transporte[],2,FALSE)</f>
        <v>Carga terrestre Teorama - Comunidades</v>
      </c>
      <c r="C23" s="27" t="s">
        <v>1234</v>
      </c>
      <c r="D23" s="332">
        <f>+D22</f>
        <v>1.08</v>
      </c>
      <c r="E23" s="118"/>
      <c r="F23" s="142">
        <f>VLOOKUP(A23,Transporte[],7,FALSE)</f>
        <v>1491</v>
      </c>
      <c r="G23" s="35">
        <f>D23*F23</f>
        <v>1610.2800000000002</v>
      </c>
      <c r="K23" s="436">
        <f>+K19*K22</f>
        <v>752.54399999999998</v>
      </c>
      <c r="L23" s="436">
        <f>+L20+K23</f>
        <v>827.74400000000003</v>
      </c>
      <c r="M23" s="437">
        <f>+L20/L23</f>
        <v>9.0849344724939107E-2</v>
      </c>
      <c r="N23" s="435">
        <f>1-M23</f>
        <v>0.90915065527506089</v>
      </c>
    </row>
    <row r="24" spans="1:14" ht="13">
      <c r="D24" s="18"/>
      <c r="E24" s="18"/>
      <c r="F24" s="29" t="s">
        <v>1220</v>
      </c>
      <c r="G24" s="37">
        <f>SUM(G22:G23)</f>
        <v>1841.5939248000002</v>
      </c>
    </row>
    <row r="25" spans="1:14" ht="13">
      <c r="D25" s="18"/>
      <c r="E25" s="18"/>
      <c r="G25" s="23"/>
    </row>
    <row r="26" spans="1:14" ht="13">
      <c r="B26" s="11" t="s">
        <v>1225</v>
      </c>
      <c r="D26" s="30"/>
      <c r="E26" s="30"/>
      <c r="F26" s="31"/>
      <c r="G26" s="24"/>
    </row>
    <row r="27" spans="1:14" s="18" customFormat="1" ht="13">
      <c r="A27" s="119" t="s">
        <v>184</v>
      </c>
      <c r="B27" s="12" t="s">
        <v>1</v>
      </c>
      <c r="C27" s="13" t="s">
        <v>1226</v>
      </c>
      <c r="D27" s="13" t="s">
        <v>1227</v>
      </c>
      <c r="E27" s="13"/>
      <c r="F27" s="13" t="s">
        <v>307</v>
      </c>
      <c r="G27" s="25" t="s">
        <v>752</v>
      </c>
    </row>
    <row r="28" spans="1:14" ht="14.5">
      <c r="A28" s="125">
        <v>4</v>
      </c>
      <c r="B28" s="122" t="str">
        <f>VLOOKUP(A28,ManoObra[],2,FALSE)</f>
        <v>Oficial de obra</v>
      </c>
      <c r="C28" s="40">
        <f>VLOOKUP(A28,ManoObra[],7,FALSE)</f>
        <v>95006</v>
      </c>
      <c r="D28" s="22">
        <f>FP!$B$28</f>
        <v>1.61</v>
      </c>
      <c r="E28" s="22"/>
      <c r="F28" s="16">
        <v>100</v>
      </c>
      <c r="G28" s="36">
        <f>ROUND(C28*D28/F28,0)</f>
        <v>1530</v>
      </c>
      <c r="I28" s="81"/>
    </row>
    <row r="29" spans="1:14" ht="14.5">
      <c r="A29" s="125">
        <v>20</v>
      </c>
      <c r="B29" s="122" t="str">
        <f>VLOOKUP(A29,ManoObra[],2,FALSE)</f>
        <v>Tecnólogo en obras civiles</v>
      </c>
      <c r="C29" s="40">
        <f>VLOOKUP(A29,ManoObra[],7,FALSE)</f>
        <v>85498</v>
      </c>
      <c r="D29" s="22">
        <f>FP!$B$28</f>
        <v>1.61</v>
      </c>
      <c r="E29" s="22"/>
      <c r="F29" s="16">
        <v>100</v>
      </c>
      <c r="G29" s="36">
        <f>ROUND(C29*D29/F29,0)</f>
        <v>1377</v>
      </c>
      <c r="I29" s="81"/>
    </row>
    <row r="30" spans="1:14" ht="14.5">
      <c r="A30" s="125">
        <v>2</v>
      </c>
      <c r="B30" s="122" t="str">
        <f>VLOOKUP(A30,ManoObra[],2,FALSE)</f>
        <v>Ayudante</v>
      </c>
      <c r="C30" s="40">
        <f>VLOOKUP(A30,ManoObra[],7,FALSE)</f>
        <v>66050</v>
      </c>
      <c r="D30" s="22">
        <f>FP!$B$28</f>
        <v>1.61</v>
      </c>
      <c r="E30" s="22"/>
      <c r="F30" s="16">
        <v>100</v>
      </c>
      <c r="G30" s="36">
        <f>ROUND(C30*D30/F30,0)</f>
        <v>1063</v>
      </c>
    </row>
    <row r="31" spans="1:14" ht="13">
      <c r="D31" s="18"/>
      <c r="E31" s="18"/>
      <c r="F31" s="29" t="s">
        <v>1220</v>
      </c>
      <c r="G31" s="42">
        <f>SUM(G28:G30)</f>
        <v>3970</v>
      </c>
    </row>
    <row r="32" spans="1:14" ht="13">
      <c r="D32" s="18"/>
      <c r="E32" s="18"/>
      <c r="G32" s="24"/>
    </row>
    <row r="33" spans="1:7" ht="12.75" customHeight="1">
      <c r="A33"/>
      <c r="D33" s="1725" t="s">
        <v>1228</v>
      </c>
      <c r="E33" s="1730"/>
      <c r="F33" s="1726"/>
      <c r="G33" s="38">
        <f>G11+G18+G24+G31</f>
        <v>20800.5939248</v>
      </c>
    </row>
    <row r="34" spans="1:7" ht="13">
      <c r="A34" s="441"/>
      <c r="B34" s="441"/>
      <c r="D34" s="18"/>
      <c r="E34" s="18"/>
      <c r="F34" s="10"/>
      <c r="G34" s="41"/>
    </row>
    <row r="35" spans="1:7" ht="14">
      <c r="A35" s="442"/>
      <c r="B35" s="840"/>
    </row>
    <row r="36" spans="1:7" ht="42">
      <c r="B36" s="1028" t="s">
        <v>1235</v>
      </c>
    </row>
  </sheetData>
  <mergeCells count="4">
    <mergeCell ref="B3:F3"/>
    <mergeCell ref="B4:D4"/>
    <mergeCell ref="D33:F33"/>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9" tint="0.59999389629810485"/>
    <pageSetUpPr fitToPage="1"/>
  </sheetPr>
  <dimension ref="A1:I50"/>
  <sheetViews>
    <sheetView view="pageBreakPreview" zoomScale="55" zoomScaleNormal="100" zoomScaleSheetLayoutView="55" workbookViewId="0">
      <selection activeCell="D25" sqref="D25"/>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7.54296875" style="5" customWidth="1"/>
    <col min="8" max="8" width="6.453125" style="5" customWidth="1"/>
    <col min="9" max="9" width="11.453125" style="5"/>
    <col min="10" max="10" width="11.54296875" style="5" bestFit="1" customWidth="1"/>
    <col min="11" max="16384" width="11.453125" style="5"/>
  </cols>
  <sheetData>
    <row r="1" spans="1:9" ht="32.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KW'!A31,", ",'PRES MR 10 KW'!A31,", ",'PRES MR 15 KW'!A31)</f>
        <v>ITEM:  2.3.1, 3.3.1, 4.3.1</v>
      </c>
      <c r="C3" s="1728"/>
      <c r="D3" s="1728"/>
      <c r="E3" s="1728"/>
      <c r="F3" s="1728"/>
      <c r="G3" s="6" t="s">
        <v>1229</v>
      </c>
      <c r="H3" s="7"/>
    </row>
    <row r="4" spans="1:9" ht="78.75" customHeight="1">
      <c r="B4" s="1722" t="str">
        <f>+'PRES MR 5 KW'!B31</f>
        <v xml:space="preserve">Medidor de energía AMI monofásico bifilar 5 (80) A, 120 V, calibrado. Incluye sistema de  gestión </v>
      </c>
      <c r="C4" s="1723"/>
      <c r="D4" s="1724"/>
      <c r="E4" s="328"/>
      <c r="G4" s="8" t="str">
        <f>+'PRES MR 5 KW'!C31</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25">
      <c r="A8" s="125">
        <v>231</v>
      </c>
      <c r="B8" s="122" t="str">
        <f>VLOOKUP(A8,Materiales[],3,FALSE)</f>
        <v>Medidor de energía AMI monofásico bifilar 5 (80) A, 120 V, calibrado</v>
      </c>
      <c r="C8" s="121" t="str">
        <f>VLOOKUP(A8,Materiales[],4,FALSE)</f>
        <v>UN</v>
      </c>
      <c r="D8" s="118">
        <v>1</v>
      </c>
      <c r="E8" s="329">
        <f>VLOOKUP(A8,Materiales[],5,FALSE)*D8</f>
        <v>1</v>
      </c>
      <c r="F8" s="123">
        <f>VLOOKUP(A8,Materiales[],6,FALSE)</f>
        <v>478975</v>
      </c>
      <c r="G8" s="123">
        <f>ROUND(D8*F8,0)</f>
        <v>478975</v>
      </c>
      <c r="I8" s="33"/>
    </row>
    <row r="9" spans="1:9" ht="14.5">
      <c r="A9" s="125">
        <v>343</v>
      </c>
      <c r="B9" s="122" t="str">
        <f>VLOOKUP(A9,Materiales[],3,FALSE)</f>
        <v>Caja medidor pequeña con interruptor magnetico</v>
      </c>
      <c r="C9" s="121" t="str">
        <f>VLOOKUP(A9,Materiales[],4,FALSE)</f>
        <v>UN</v>
      </c>
      <c r="D9" s="118">
        <v>1</v>
      </c>
      <c r="E9" s="329">
        <f>VLOOKUP(A9,Materiales[],5,FALSE)*D9</f>
        <v>1</v>
      </c>
      <c r="F9" s="123">
        <f>VLOOKUP(A9,Materiales[],6,FALSE)</f>
        <v>112217</v>
      </c>
      <c r="G9" s="123">
        <f t="shared" ref="G9:G21" si="0">ROUND(D9*F9,0)</f>
        <v>112217</v>
      </c>
      <c r="I9" s="33"/>
    </row>
    <row r="10" spans="1:9" ht="14.5">
      <c r="A10" s="125">
        <v>347</v>
      </c>
      <c r="B10" s="122" t="str">
        <f>VLOOKUP(A10,Materiales[],3,FALSE)</f>
        <v xml:space="preserve">Plataforma de Recaudo </v>
      </c>
      <c r="C10" s="121" t="str">
        <f>VLOOKUP(A10,Materiales[],4,FALSE)</f>
        <v>UN</v>
      </c>
      <c r="D10" s="118">
        <v>1</v>
      </c>
      <c r="E10" s="329">
        <f>VLOOKUP(A10,Materiales[],5,FALSE)*D10</f>
        <v>0</v>
      </c>
      <c r="F10" s="123">
        <f>VLOOKUP(A10,Materiales[],6,FALSE)/Tabla1[[#Totals],[USUARIOS]]</f>
        <v>139642.85714285713</v>
      </c>
      <c r="G10" s="123">
        <f t="shared" si="0"/>
        <v>139643</v>
      </c>
      <c r="I10" s="33"/>
    </row>
    <row r="11" spans="1:9" ht="14.5">
      <c r="A11" s="125">
        <v>348</v>
      </c>
      <c r="B11" s="122" t="str">
        <f>VLOOKUP(A11,Materiales[],3,FALSE)</f>
        <v>Software Datafono Local</v>
      </c>
      <c r="C11" s="121" t="str">
        <f>VLOOKUP(A11,Materiales[],4,FALSE)</f>
        <v>UN</v>
      </c>
      <c r="D11" s="118">
        <v>1</v>
      </c>
      <c r="E11" s="329">
        <f>VLOOKUP(A11,Materiales[],5,FALSE)*D11</f>
        <v>0</v>
      </c>
      <c r="F11" s="123">
        <f>VLOOKUP(A11,Materiales[],6,FALSE)/Tabla1[[#Totals],[USUARIOS]]</f>
        <v>76524.28571428571</v>
      </c>
      <c r="G11" s="123">
        <f t="shared" si="0"/>
        <v>76524</v>
      </c>
      <c r="I11" s="33"/>
    </row>
    <row r="12" spans="1:9" ht="14.5">
      <c r="A12" s="125">
        <v>349</v>
      </c>
      <c r="B12" s="122" t="str">
        <f>VLOOKUP(A12,Materiales[],3,FALSE)</f>
        <v>Datafono Local</v>
      </c>
      <c r="C12" s="121" t="str">
        <f>VLOOKUP(A12,Materiales[],4,FALSE)</f>
        <v>UN</v>
      </c>
      <c r="D12" s="118">
        <v>2</v>
      </c>
      <c r="E12" s="329">
        <f>VLOOKUP(A12,Materiales[],5,FALSE)*D12</f>
        <v>0</v>
      </c>
      <c r="F12" s="123">
        <f>VLOOKUP(A12,Materiales[],6,FALSE)/Tabla1[[#Totals],[USUARIOS]]</f>
        <v>30721.428571428572</v>
      </c>
      <c r="G12" s="123">
        <f t="shared" si="0"/>
        <v>61443</v>
      </c>
      <c r="I12" s="33"/>
    </row>
    <row r="13" spans="1:9" ht="14.5">
      <c r="A13" s="125">
        <v>350</v>
      </c>
      <c r="B13" s="122" t="str">
        <f>VLOOKUP(A13,Materiales[],3,FALSE)</f>
        <v>Software Datafono Viajero</v>
      </c>
      <c r="C13" s="121" t="str">
        <f>VLOOKUP(A13,Materiales[],4,FALSE)</f>
        <v>UN</v>
      </c>
      <c r="D13" s="118">
        <v>1</v>
      </c>
      <c r="E13" s="329">
        <f>VLOOKUP(A13,Materiales[],5,FALSE)*D13</f>
        <v>0</v>
      </c>
      <c r="F13" s="123">
        <f>VLOOKUP(A13,Materiales[],6,FALSE)/Tabla1[[#Totals],[USUARIOS]]</f>
        <v>103894.28571428571</v>
      </c>
      <c r="G13" s="123">
        <f t="shared" si="0"/>
        <v>103894</v>
      </c>
      <c r="I13" s="33"/>
    </row>
    <row r="14" spans="1:9" ht="14.5">
      <c r="A14" s="125">
        <v>351</v>
      </c>
      <c r="B14" s="122" t="str">
        <f>VLOOKUP(A14,Materiales[],3,FALSE)</f>
        <v xml:space="preserve">Datafono viajero </v>
      </c>
      <c r="C14" s="121" t="str">
        <f>VLOOKUP(A14,Materiales[],4,FALSE)</f>
        <v>UN</v>
      </c>
      <c r="D14" s="118">
        <v>2</v>
      </c>
      <c r="E14" s="329">
        <f>VLOOKUP(A14,Materiales[],5,FALSE)*D14</f>
        <v>0.4</v>
      </c>
      <c r="F14" s="123">
        <f>VLOOKUP(A14,Materiales[],6,FALSE)/Tabla1[[#Totals],[USUARIOS]]</f>
        <v>30721.428571428572</v>
      </c>
      <c r="G14" s="123">
        <f t="shared" si="0"/>
        <v>61443</v>
      </c>
      <c r="I14" s="33"/>
    </row>
    <row r="15" spans="1:9" ht="14.5">
      <c r="A15" s="125">
        <v>405</v>
      </c>
      <c r="B15" s="122" t="str">
        <f>VLOOKUP(A15,Materiales[],3,FALSE)</f>
        <v xml:space="preserve">Plataforma HES AMI </v>
      </c>
      <c r="C15" s="121" t="str">
        <f>VLOOKUP(A15,Materiales[],4,FALSE)</f>
        <v>und</v>
      </c>
      <c r="D15" s="118">
        <v>1</v>
      </c>
      <c r="E15" s="329">
        <f>VLOOKUP(A15,Materiales[],5,FALSE)*D15</f>
        <v>0</v>
      </c>
      <c r="F15" s="123">
        <f>VLOOKUP(A15,Materiales[],6,FALSE)/(Tabla1[[#Totals],[USUARIOS]]-79)</f>
        <v>720263.15789473685</v>
      </c>
      <c r="G15" s="123">
        <f t="shared" si="0"/>
        <v>720263</v>
      </c>
      <c r="I15" s="33"/>
    </row>
    <row r="16" spans="1:9" ht="14.5">
      <c r="A16" s="125">
        <v>406</v>
      </c>
      <c r="B16" s="122" t="str">
        <f>VLOOKUP(A16,Materiales[],3,FALSE)</f>
        <v>Concentrador AMI PLC CL818C84</v>
      </c>
      <c r="C16" s="121" t="str">
        <f>VLOOKUP(A16,Materiales[],4,FALSE)</f>
        <v>Und</v>
      </c>
      <c r="D16" s="118">
        <v>4</v>
      </c>
      <c r="E16" s="329">
        <f>VLOOKUP(A16,Materiales[],5,FALSE)*D16</f>
        <v>0</v>
      </c>
      <c r="F16" s="123">
        <f>VLOOKUP(A16,Materiales[],6,FALSE)/(Tabla1[[#Totals],[USUARIOS]]-79)</f>
        <v>194471.05263157896</v>
      </c>
      <c r="G16" s="123">
        <f t="shared" si="0"/>
        <v>777884</v>
      </c>
      <c r="I16" s="33"/>
    </row>
    <row r="17" spans="1:9" ht="14.5">
      <c r="A17" s="125">
        <v>407</v>
      </c>
      <c r="B17" s="122" t="str">
        <f>VLOOKUP(A17,Materiales[],3,FALSE)</f>
        <v>Gabinete Concentrador</v>
      </c>
      <c r="C17" s="121" t="str">
        <f>VLOOKUP(A17,Materiales[],4,FALSE)</f>
        <v>Und</v>
      </c>
      <c r="D17" s="118">
        <v>4</v>
      </c>
      <c r="E17" s="329">
        <f>VLOOKUP(A17,Materiales[],5,FALSE)*D17</f>
        <v>0</v>
      </c>
      <c r="F17" s="123">
        <f>VLOOKUP(A17,Materiales[],6,FALSE)/(Tabla1[[#Totals],[USUARIOS]]-79)</f>
        <v>21607.894736842107</v>
      </c>
      <c r="G17" s="123">
        <f t="shared" si="0"/>
        <v>86432</v>
      </c>
      <c r="I17" s="33"/>
    </row>
    <row r="18" spans="1:9" ht="14.5">
      <c r="A18" s="125">
        <v>408</v>
      </c>
      <c r="B18" s="122" t="str">
        <f>VLOOKUP(A18,Materiales[],3,FALSE)</f>
        <v>Plan Internet Satelital Anual Estándar Starlink</v>
      </c>
      <c r="C18" s="121" t="str">
        <f>VLOOKUP(A18,Materiales[],4,FALSE)</f>
        <v>Und</v>
      </c>
      <c r="D18" s="118">
        <v>4</v>
      </c>
      <c r="E18" s="329">
        <f>VLOOKUP(A18,Materiales[],5,FALSE)*D18</f>
        <v>0</v>
      </c>
      <c r="F18" s="123">
        <f>VLOOKUP(A18,Materiales[],6,FALSE)/(Tabla1[[#Totals],[USUARIOS]]-79)</f>
        <v>257133.94736842104</v>
      </c>
      <c r="G18" s="123">
        <f t="shared" si="0"/>
        <v>1028536</v>
      </c>
      <c r="I18" s="33"/>
    </row>
    <row r="19" spans="1:9" ht="25">
      <c r="A19" s="125">
        <v>409</v>
      </c>
      <c r="B19" s="122" t="str">
        <f>VLOOKUP(A19,Materiales[],3,FALSE)</f>
        <v>Equipo internet satelital Starlink Standar (incluye Antena + Router)</v>
      </c>
      <c r="C19" s="121" t="str">
        <f>VLOOKUP(A19,Materiales[],4,FALSE)</f>
        <v>Und</v>
      </c>
      <c r="D19" s="118">
        <v>4</v>
      </c>
      <c r="E19" s="329">
        <f>VLOOKUP(A19,Materiales[],5,FALSE)*D19</f>
        <v>0</v>
      </c>
      <c r="F19" s="123">
        <f>VLOOKUP(A19,Materiales[],6,FALSE)/(Tabla1[[#Totals],[USUARIOS]]-79)</f>
        <v>240207.78947368421</v>
      </c>
      <c r="G19" s="123">
        <f t="shared" si="0"/>
        <v>960831</v>
      </c>
      <c r="I19" s="33"/>
    </row>
    <row r="20" spans="1:9" ht="14.5">
      <c r="A20" s="125">
        <v>390</v>
      </c>
      <c r="B20" s="122" t="str">
        <f>VLOOKUP(A20,Materiales[],3,FALSE)</f>
        <v>Servidor (Pantalla-Teclado-Mouse)</v>
      </c>
      <c r="C20" s="121" t="str">
        <f>VLOOKUP(A20,Materiales[],4,FALSE)</f>
        <v>UN</v>
      </c>
      <c r="D20" s="118">
        <v>1</v>
      </c>
      <c r="E20" s="329">
        <f>VLOOKUP(A20,Materiales[],5,FALSE)*D20</f>
        <v>0</v>
      </c>
      <c r="F20" s="123">
        <f>VLOOKUP(A20,Materiales[],6,FALSE)/Tabla1[[#Totals],[USUARIOS]]</f>
        <v>139642.85714285713</v>
      </c>
      <c r="G20" s="123">
        <f t="shared" si="0"/>
        <v>139643</v>
      </c>
      <c r="I20" s="33"/>
    </row>
    <row r="21" spans="1:9" ht="14.5">
      <c r="A21" s="125">
        <v>391</v>
      </c>
      <c r="B21" s="122" t="str">
        <f>VLOOKUP(A21,Materiales[],3,FALSE)</f>
        <v>UPS  Servidor</v>
      </c>
      <c r="C21" s="121" t="str">
        <f>VLOOKUP(A21,Materiales[],4,FALSE)</f>
        <v>UN</v>
      </c>
      <c r="D21" s="118">
        <v>1</v>
      </c>
      <c r="E21" s="329">
        <f>VLOOKUP(A21,Materiales[],5,FALSE)*D21</f>
        <v>10</v>
      </c>
      <c r="F21" s="123">
        <f>VLOOKUP(A21,Materiales[],6,FALSE)/Tabla1[[#Totals],[USUARIOS]]</f>
        <v>13964.285714285714</v>
      </c>
      <c r="G21" s="123">
        <f t="shared" si="0"/>
        <v>13964</v>
      </c>
      <c r="I21" s="33"/>
    </row>
    <row r="22" spans="1:9" ht="25">
      <c r="A22" s="125">
        <v>392</v>
      </c>
      <c r="B22" s="122" t="str">
        <f>VLOOKUP(A22,Materiales[],3,FALSE)</f>
        <v>Capacitación en el manejo de software de operación del sistema de medición - virtual por 3 días</v>
      </c>
      <c r="C22" s="121" t="str">
        <f>VLOOKUP(A22,Materiales[],4,FALSE)</f>
        <v>UN</v>
      </c>
      <c r="D22" s="118">
        <v>2</v>
      </c>
      <c r="E22" s="329">
        <f>VLOOKUP(A22,Materiales[],5,FALSE)*D22</f>
        <v>0</v>
      </c>
      <c r="F22" s="123">
        <f>VLOOKUP(A22,Materiales[],6,FALSE)/Tabla1[[#Totals],[USUARIOS]]</f>
        <v>12567.857142857143</v>
      </c>
      <c r="G22" s="123">
        <f t="shared" ref="G22:G23" si="1">ROUND(D22*F22,0)</f>
        <v>25136</v>
      </c>
      <c r="I22" s="33"/>
    </row>
    <row r="23" spans="1:9" ht="25">
      <c r="A23" s="125">
        <v>394</v>
      </c>
      <c r="B23" s="122" t="str">
        <f>VLOOKUP(A23,Materiales[],3,FALSE)</f>
        <v>Capacitación en el manejo de software aplicativo movil lectura medidor - virtual por 3 días</v>
      </c>
      <c r="C23" s="121" t="str">
        <f>VLOOKUP(A23,Materiales[],4,FALSE)</f>
        <v>UN</v>
      </c>
      <c r="D23" s="118">
        <v>2</v>
      </c>
      <c r="E23" s="329">
        <f>VLOOKUP(A23,Materiales[],5,FALSE)*D23</f>
        <v>0</v>
      </c>
      <c r="F23" s="123">
        <f>VLOOKUP(A23,Materiales[],6,FALSE)/Tabla1[[#Totals],[USUARIOS]]</f>
        <v>12567.857142857143</v>
      </c>
      <c r="G23" s="123">
        <f t="shared" si="1"/>
        <v>25136</v>
      </c>
      <c r="I23" s="33"/>
    </row>
    <row r="24" spans="1:9" ht="25.5" customHeight="1">
      <c r="A24" s="125"/>
      <c r="B24" s="122"/>
      <c r="C24" s="121"/>
      <c r="D24" s="118"/>
      <c r="E24" s="329"/>
      <c r="F24" s="123"/>
      <c r="G24" s="123"/>
      <c r="I24" s="33"/>
    </row>
    <row r="25" spans="1:9" ht="13">
      <c r="D25" s="18"/>
      <c r="E25" s="18"/>
      <c r="F25" s="29" t="s">
        <v>1220</v>
      </c>
      <c r="G25" s="42">
        <f>SUM(G8:G24)</f>
        <v>4811964</v>
      </c>
    </row>
    <row r="27" spans="1:9" ht="13">
      <c r="B27" s="20" t="s">
        <v>1221</v>
      </c>
      <c r="G27" s="39"/>
    </row>
    <row r="28" spans="1:9" ht="13">
      <c r="A28" s="119" t="s">
        <v>184</v>
      </c>
      <c r="B28" s="120" t="s">
        <v>1</v>
      </c>
      <c r="C28" s="13" t="s">
        <v>1231</v>
      </c>
      <c r="D28" s="13" t="s">
        <v>1222</v>
      </c>
      <c r="E28" s="13"/>
      <c r="F28" s="13" t="s">
        <v>307</v>
      </c>
      <c r="G28" s="13" t="s">
        <v>752</v>
      </c>
    </row>
    <row r="29" spans="1:9" ht="14.5">
      <c r="A29" s="125">
        <v>1</v>
      </c>
      <c r="B29" s="122" t="str">
        <f>VLOOKUP(A29,Equip.Herram[],2,FALSE)</f>
        <v>Herramienta menor</v>
      </c>
      <c r="C29" s="15" t="str">
        <f>VLOOKUP(A29,Equip.Herram[],3,FALSE)</f>
        <v>UN</v>
      </c>
      <c r="D29" s="36">
        <f>VLOOKUP(A29,Equip.Herram[],4,FALSE)</f>
        <v>24840</v>
      </c>
      <c r="E29" s="36"/>
      <c r="F29" s="16">
        <f>+RENDIMIENTOS!$C$46</f>
        <v>8</v>
      </c>
      <c r="G29" s="36">
        <f>ROUND(D29/F29,0)</f>
        <v>3105</v>
      </c>
    </row>
    <row r="30" spans="1:9">
      <c r="B30" s="14"/>
      <c r="C30" s="15"/>
      <c r="D30" s="17"/>
      <c r="E30" s="17"/>
      <c r="F30" s="22"/>
      <c r="G30" s="21"/>
    </row>
    <row r="31" spans="1:9">
      <c r="B31" s="14"/>
      <c r="C31" s="15"/>
      <c r="D31" s="17"/>
      <c r="E31" s="17"/>
      <c r="F31" s="22"/>
      <c r="G31" s="21"/>
    </row>
    <row r="32" spans="1:9" ht="13">
      <c r="D32" s="18"/>
      <c r="E32" s="18"/>
      <c r="F32" s="19" t="s">
        <v>1220</v>
      </c>
      <c r="G32" s="37">
        <f>SUM(G29:G31)</f>
        <v>3105</v>
      </c>
    </row>
    <row r="33" spans="1:9" ht="13">
      <c r="D33" s="18"/>
      <c r="E33" s="18"/>
      <c r="F33" s="18"/>
      <c r="G33" s="23"/>
    </row>
    <row r="34" spans="1:9" ht="13">
      <c r="B34" s="11" t="s">
        <v>1223</v>
      </c>
      <c r="G34" s="24"/>
    </row>
    <row r="35" spans="1:9" ht="13">
      <c r="A35" s="119" t="s">
        <v>184</v>
      </c>
      <c r="B35" s="12" t="s">
        <v>1</v>
      </c>
      <c r="C35" s="13" t="s">
        <v>185</v>
      </c>
      <c r="D35" s="13" t="s">
        <v>1230</v>
      </c>
      <c r="E35" s="13"/>
      <c r="F35" s="13" t="s">
        <v>1233</v>
      </c>
      <c r="G35" s="25" t="s">
        <v>752</v>
      </c>
      <c r="I35" s="39"/>
    </row>
    <row r="36" spans="1:9" ht="26.5" customHeight="1">
      <c r="A36" s="125">
        <v>1</v>
      </c>
      <c r="B36" s="122" t="str">
        <f>VLOOKUP(A36,Transporte[],2,FALSE)</f>
        <v>Carga terrestre Bogotá - Teorama</v>
      </c>
      <c r="C36" s="27" t="s">
        <v>1234</v>
      </c>
      <c r="D36" s="118">
        <f>+SUM(E8:E21)</f>
        <v>12.4</v>
      </c>
      <c r="E36" s="118"/>
      <c r="F36" s="142">
        <f>VLOOKUP(A36,Transporte[],7,FALSE)</f>
        <v>214.17955999999998</v>
      </c>
      <c r="G36" s="35">
        <f>D36*F36</f>
        <v>2655.826544</v>
      </c>
    </row>
    <row r="37" spans="1:9" ht="13.4" customHeight="1">
      <c r="A37" s="125">
        <v>3</v>
      </c>
      <c r="B37" s="122" t="str">
        <f>VLOOKUP(A37,Transporte[],2,FALSE)</f>
        <v>Carga terrestre Teorama - Comunidades</v>
      </c>
      <c r="C37" s="27" t="s">
        <v>1234</v>
      </c>
      <c r="D37" s="118">
        <f>+SUM(E8:E24)</f>
        <v>12.4</v>
      </c>
      <c r="E37" s="118"/>
      <c r="F37" s="142">
        <f>VLOOKUP(A37,Transporte[],7,FALSE)</f>
        <v>1491</v>
      </c>
      <c r="G37" s="35">
        <f>D37*F37</f>
        <v>18488.400000000001</v>
      </c>
    </row>
    <row r="38" spans="1:9" ht="13.4" customHeight="1">
      <c r="B38" s="26"/>
      <c r="C38" s="27"/>
      <c r="D38" s="28"/>
      <c r="E38" s="28"/>
      <c r="F38" s="35"/>
      <c r="G38" s="35"/>
    </row>
    <row r="39" spans="1:9" ht="13">
      <c r="D39" s="18"/>
      <c r="E39" s="18"/>
      <c r="F39" s="29" t="s">
        <v>1220</v>
      </c>
      <c r="G39" s="37">
        <f>SUM(G36:G38)</f>
        <v>21144.226544000001</v>
      </c>
    </row>
    <row r="40" spans="1:9" ht="13">
      <c r="D40" s="18"/>
      <c r="E40" s="18"/>
      <c r="G40" s="23"/>
    </row>
    <row r="41" spans="1:9" ht="13">
      <c r="B41" s="11" t="s">
        <v>1225</v>
      </c>
      <c r="D41" s="30"/>
      <c r="E41" s="30"/>
      <c r="F41" s="31"/>
      <c r="G41" s="24"/>
    </row>
    <row r="42" spans="1:9" s="18" customFormat="1" ht="13">
      <c r="A42" s="119" t="s">
        <v>184</v>
      </c>
      <c r="B42" s="12" t="s">
        <v>1</v>
      </c>
      <c r="C42" s="13" t="s">
        <v>1226</v>
      </c>
      <c r="D42" s="13" t="s">
        <v>1227</v>
      </c>
      <c r="E42" s="13"/>
      <c r="F42" s="13" t="s">
        <v>307</v>
      </c>
      <c r="G42" s="25" t="s">
        <v>752</v>
      </c>
    </row>
    <row r="43" spans="1:9" ht="14.5">
      <c r="A43" s="125">
        <v>1</v>
      </c>
      <c r="B43" s="122" t="str">
        <f>VLOOKUP(A43,ManoObra[],2,FALSE)</f>
        <v>Electricista</v>
      </c>
      <c r="C43" s="40">
        <f>VLOOKUP(A43,ManoObra[],7,FALSE)</f>
        <v>71863</v>
      </c>
      <c r="D43" s="22">
        <f>FP!$B$28</f>
        <v>1.61</v>
      </c>
      <c r="E43" s="22"/>
      <c r="F43" s="16">
        <v>4</v>
      </c>
      <c r="G43" s="36">
        <f>ROUND(C43*D43/F43,0)</f>
        <v>28925</v>
      </c>
      <c r="I43" s="81"/>
    </row>
    <row r="44" spans="1:9" ht="14.5">
      <c r="A44" s="125">
        <v>2</v>
      </c>
      <c r="B44" s="122" t="str">
        <f>VLOOKUP(A44,ManoObra[],2,FALSE)</f>
        <v>Ayudante</v>
      </c>
      <c r="C44" s="40">
        <f>VLOOKUP(A44,ManoObra[],7,FALSE)</f>
        <v>66050</v>
      </c>
      <c r="D44" s="22">
        <f>FP!$B$28</f>
        <v>1.61</v>
      </c>
      <c r="E44" s="22"/>
      <c r="F44" s="16">
        <v>4</v>
      </c>
      <c r="G44" s="36">
        <f>ROUND(C44*D44/F44,0)</f>
        <v>26585</v>
      </c>
    </row>
    <row r="45" spans="1:9" ht="13">
      <c r="D45" s="18"/>
      <c r="E45" s="18"/>
      <c r="F45" s="29" t="s">
        <v>1220</v>
      </c>
      <c r="G45" s="42">
        <f>SUM(G43:G44)</f>
        <v>55510</v>
      </c>
    </row>
    <row r="46" spans="1:9" ht="13">
      <c r="D46" s="18"/>
      <c r="E46" s="18"/>
      <c r="G46" s="24"/>
    </row>
    <row r="47" spans="1:9" ht="12.75" customHeight="1">
      <c r="A47"/>
      <c r="D47" s="1725" t="s">
        <v>1228</v>
      </c>
      <c r="E47" s="1730"/>
      <c r="F47" s="1726"/>
      <c r="G47" s="38">
        <f>G25+G32+G39+G45</f>
        <v>4891723.2265440002</v>
      </c>
    </row>
    <row r="48" spans="1:9" ht="13">
      <c r="A48" s="441"/>
      <c r="B48" s="441"/>
      <c r="D48" s="18"/>
      <c r="E48" s="18"/>
      <c r="F48" s="10"/>
      <c r="G48" s="41"/>
    </row>
    <row r="49" spans="1:2" ht="14">
      <c r="A49" s="442"/>
      <c r="B49" s="840"/>
    </row>
    <row r="50" spans="1:2" ht="42">
      <c r="B50" s="1028" t="s">
        <v>1235</v>
      </c>
    </row>
  </sheetData>
  <mergeCells count="4">
    <mergeCell ref="B3:F3"/>
    <mergeCell ref="B4:D4"/>
    <mergeCell ref="D47:F47"/>
    <mergeCell ref="A1:G1"/>
  </mergeCells>
  <printOptions horizontalCentered="1"/>
  <pageMargins left="0.70866141732283472" right="0.70866141732283472" top="1.5748031496062993" bottom="0.98425196850393704" header="0.98425196850393704" footer="0.51181102362204722"/>
  <pageSetup scale="70" orientation="portrait" r:id="rId1"/>
  <headerFooter alignWithMargins="0">
    <oddHeader xml:space="preserve">&amp;C&amp;"Arial,Negrita"&amp;12ANÁLISIS DE PRECIOS UNITARIOS
</oddHeader>
  </headerFooter>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9" tint="0.59999389629810485"/>
    <pageSetUpPr fitToPage="1"/>
  </sheetPr>
  <dimension ref="A1:I43"/>
  <sheetViews>
    <sheetView view="pageBreakPreview" zoomScale="70" zoomScaleNormal="100" zoomScaleSheetLayoutView="70" workbookViewId="0">
      <selection activeCell="D25" sqref="D25"/>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2.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KW'!A33,", ",'PRES MR 10 KW'!A33,", ",'PRES MR 15 KW'!A33)</f>
        <v>ITEM:  2.4.1, 3.4.1, 4.4.1</v>
      </c>
      <c r="C3" s="1728"/>
      <c r="D3" s="1728"/>
      <c r="E3" s="1728"/>
      <c r="F3" s="1728"/>
      <c r="G3" s="6" t="s">
        <v>1229</v>
      </c>
      <c r="H3" s="7"/>
    </row>
    <row r="4" spans="1:9" ht="78.75" customHeight="1">
      <c r="B4" s="1722" t="str">
        <f>+'PRES MR 5 KW'!B33</f>
        <v>Suministro, transporte e instalación de acometida domiciliaria subterranea desde caja de conexiones hasta medidor domiciliario, en cable de aluminio antifraude 2x No 6 AWG y tubería PVC 3/4"</v>
      </c>
      <c r="C4" s="1723"/>
      <c r="D4" s="1724"/>
      <c r="E4" s="328"/>
      <c r="G4" s="8" t="str">
        <f>+'PRES MR 5 KW'!C33</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76</v>
      </c>
      <c r="B8" s="122" t="str">
        <f>VLOOKUP(A8,Materiales[],3,FALSE)</f>
        <v>Cinta acero inoxidable 19 mm (3/4")</v>
      </c>
      <c r="C8" s="121" t="str">
        <f>VLOOKUP(A8,Materiales[],4,FALSE)</f>
        <v>UN</v>
      </c>
      <c r="D8" s="118">
        <v>1</v>
      </c>
      <c r="E8" s="329">
        <f>VLOOKUP(A8,Materiales[],5,FALSE)*D8</f>
        <v>0.05</v>
      </c>
      <c r="F8" s="123">
        <f>VLOOKUP(A8,Materiales[],6,FALSE)</f>
        <v>1064</v>
      </c>
      <c r="G8" s="123">
        <f>ROUND(D8*F8,0)</f>
        <v>1064</v>
      </c>
      <c r="I8" s="33"/>
    </row>
    <row r="9" spans="1:9" ht="25.5" customHeight="1">
      <c r="A9" s="125">
        <v>77</v>
      </c>
      <c r="B9" s="122" t="str">
        <f>VLOOKUP(A9,Materiales[],3,FALSE)</f>
        <v>Hebilla acero inoxidable para cinta 19 mm (3/4")</v>
      </c>
      <c r="C9" s="121" t="str">
        <f>VLOOKUP(A9,Materiales[],4,FALSE)</f>
        <v>UN</v>
      </c>
      <c r="D9" s="118">
        <v>1</v>
      </c>
      <c r="E9" s="329">
        <f>VLOOKUP(A9,Materiales[],5,FALSE)*D9</f>
        <v>0.05</v>
      </c>
      <c r="F9" s="123">
        <f>VLOOKUP(A9,Materiales[],6,FALSE)</f>
        <v>5653</v>
      </c>
      <c r="G9" s="123">
        <f t="shared" ref="G9:G17" si="0">ROUND(D9*F9,0)</f>
        <v>5653</v>
      </c>
      <c r="I9" s="33"/>
    </row>
    <row r="10" spans="1:9" ht="14.5">
      <c r="A10" s="125">
        <v>78</v>
      </c>
      <c r="B10" s="122" t="str">
        <f>VLOOKUP(A10,Materiales[],3,FALSE)</f>
        <v>Ojo de aluminio para acometida domiciliaria</v>
      </c>
      <c r="C10" s="121" t="str">
        <f>VLOOKUP(A10,Materiales[],4,FALSE)</f>
        <v>UN</v>
      </c>
      <c r="D10" s="118">
        <v>5</v>
      </c>
      <c r="E10" s="329">
        <f>VLOOKUP(A10,Materiales[],5,FALSE)*D10</f>
        <v>0.14500000000000002</v>
      </c>
      <c r="F10" s="123">
        <f>VLOOKUP(A10,Materiales[],6,FALSE)</f>
        <v>2013</v>
      </c>
      <c r="G10" s="123">
        <f t="shared" si="0"/>
        <v>10065</v>
      </c>
      <c r="I10" s="33"/>
    </row>
    <row r="11" spans="1:9" ht="14.5">
      <c r="A11" s="125">
        <v>79</v>
      </c>
      <c r="B11" s="122" t="str">
        <f>VLOOKUP(A11,Materiales[],3,FALSE)</f>
        <v>Pinza de anclaje acometida domiciliaria</v>
      </c>
      <c r="C11" s="121" t="str">
        <f>VLOOKUP(A11,Materiales[],4,FALSE)</f>
        <v>UN</v>
      </c>
      <c r="D11" s="118">
        <v>5</v>
      </c>
      <c r="E11" s="329">
        <f>VLOOKUP(A11,Materiales[],5,FALSE)*D11</f>
        <v>0.25</v>
      </c>
      <c r="F11" s="123">
        <f>VLOOKUP(A11,Materiales[],6,FALSE)</f>
        <v>1272</v>
      </c>
      <c r="G11" s="123">
        <f t="shared" si="0"/>
        <v>6360</v>
      </c>
      <c r="I11" s="33"/>
    </row>
    <row r="12" spans="1:9" ht="14.5">
      <c r="A12" s="125">
        <v>80</v>
      </c>
      <c r="B12" s="122" t="str">
        <f>VLOOKUP(A12,Materiales[],3,FALSE)</f>
        <v>Perno 7/16" con chazo</v>
      </c>
      <c r="C12" s="121" t="str">
        <f>VLOOKUP(A12,Materiales[],4,FALSE)</f>
        <v>UN</v>
      </c>
      <c r="D12" s="118">
        <v>5</v>
      </c>
      <c r="E12" s="329">
        <f>VLOOKUP(A12,Materiales[],5,FALSE)*D12</f>
        <v>0.25</v>
      </c>
      <c r="F12" s="123">
        <f>VLOOKUP(A12,Materiales[],6,FALSE)</f>
        <v>546</v>
      </c>
      <c r="G12" s="123">
        <f t="shared" si="0"/>
        <v>2730</v>
      </c>
      <c r="I12" s="33"/>
    </row>
    <row r="13" spans="1:9" ht="14.5">
      <c r="A13" s="125">
        <v>81</v>
      </c>
      <c r="B13" s="122" t="str">
        <f>VLOOKUP(A13,Materiales[],3,FALSE)</f>
        <v>Abrazadera metálica galvanizada doble ala 3/4"</v>
      </c>
      <c r="C13" s="121" t="str">
        <f>VLOOKUP(A13,Materiales[],4,FALSE)</f>
        <v>UN</v>
      </c>
      <c r="D13" s="118">
        <v>1</v>
      </c>
      <c r="E13" s="329">
        <f>VLOOKUP(A13,Materiales[],5,FALSE)*D13</f>
        <v>0.05</v>
      </c>
      <c r="F13" s="123">
        <f>VLOOKUP(A13,Materiales[],6,FALSE)</f>
        <v>338</v>
      </c>
      <c r="G13" s="123">
        <f t="shared" si="0"/>
        <v>338</v>
      </c>
      <c r="I13" s="33"/>
    </row>
    <row r="14" spans="1:9" ht="25">
      <c r="A14" s="125">
        <v>82</v>
      </c>
      <c r="B14" s="122" t="str">
        <f>VLOOKUP(A14,Materiales[],3,FALSE)</f>
        <v>Cable de aluminio antifraude (con neutro concéntrico) 2 x No. 6 AWG</v>
      </c>
      <c r="C14" s="121" t="str">
        <f>VLOOKUP(A14,Materiales[],4,FALSE)</f>
        <v>UN</v>
      </c>
      <c r="D14" s="118">
        <v>25</v>
      </c>
      <c r="E14" s="329">
        <f>VLOOKUP(A14,Materiales[],5,FALSE)*D14</f>
        <v>7.8250000000000002</v>
      </c>
      <c r="F14" s="123">
        <f>VLOOKUP(A14,Materiales[],6,FALSE)</f>
        <v>7526</v>
      </c>
      <c r="G14" s="123">
        <f t="shared" si="0"/>
        <v>188150</v>
      </c>
      <c r="I14" s="33"/>
    </row>
    <row r="15" spans="1:9" ht="14.5">
      <c r="A15" s="125">
        <v>83</v>
      </c>
      <c r="B15" s="122" t="str">
        <f>VLOOKUP(A15,Materiales[],3,FALSE)</f>
        <v>Tuberia conduit PVC tipo A 3/4"</v>
      </c>
      <c r="C15" s="121" t="str">
        <f>VLOOKUP(A15,Materiales[],4,FALSE)</f>
        <v>ML</v>
      </c>
      <c r="D15" s="118">
        <v>23</v>
      </c>
      <c r="E15" s="335">
        <f>VLOOKUP(A15,Materiales[],5,FALSE)*D15</f>
        <v>4.4466666666666663</v>
      </c>
      <c r="F15" s="123">
        <f>VLOOKUP(A15,Materiales[],6,FALSE)</f>
        <v>2223</v>
      </c>
      <c r="G15" s="123">
        <f t="shared" si="0"/>
        <v>51129</v>
      </c>
      <c r="I15" s="33"/>
    </row>
    <row r="16" spans="1:9" ht="14.5">
      <c r="A16" s="125">
        <v>84</v>
      </c>
      <c r="B16" s="122" t="str">
        <f>VLOOKUP(A16,Materiales[],3,FALSE)</f>
        <v>Tubería conduit PVC SCH 40 3/4"</v>
      </c>
      <c r="C16" s="121" t="str">
        <f>VLOOKUP(A16,Materiales[],4,FALSE)</f>
        <v>ML</v>
      </c>
      <c r="D16" s="118">
        <v>2</v>
      </c>
      <c r="E16" s="335">
        <f>VLOOKUP(A16,Materiales[],5,FALSE)*D16</f>
        <v>0.93333333333333324</v>
      </c>
      <c r="F16" s="123">
        <f>VLOOKUP(A16,Materiales[],6,FALSE)</f>
        <v>4428</v>
      </c>
      <c r="G16" s="123">
        <f t="shared" si="0"/>
        <v>8856</v>
      </c>
      <c r="I16" s="33"/>
    </row>
    <row r="17" spans="1:9" ht="14.5">
      <c r="A17" s="125">
        <v>46</v>
      </c>
      <c r="B17" s="122" t="str">
        <f>VLOOKUP(A17,Materiales[],3,FALSE)</f>
        <v>Uniones, curvas y terminales PVC. Varios calibres</v>
      </c>
      <c r="C17" s="121" t="str">
        <f>VLOOKUP(A17,Materiales[],4,FALSE)</f>
        <v>UN</v>
      </c>
      <c r="D17" s="118">
        <v>8</v>
      </c>
      <c r="E17" s="329">
        <f>VLOOKUP(A17,Materiales[],5,FALSE)*D17</f>
        <v>0.64</v>
      </c>
      <c r="F17" s="123">
        <f>VLOOKUP(A17,Materiales[],6,FALSE)</f>
        <v>3910</v>
      </c>
      <c r="G17" s="123">
        <f t="shared" si="0"/>
        <v>31280</v>
      </c>
      <c r="I17" s="33"/>
    </row>
    <row r="18" spans="1:9" ht="13">
      <c r="D18" s="18"/>
      <c r="E18" s="18"/>
      <c r="F18" s="29" t="s">
        <v>1220</v>
      </c>
      <c r="G18" s="42">
        <f>SUM(G8:G17)</f>
        <v>305625</v>
      </c>
    </row>
    <row r="20" spans="1:9" ht="13">
      <c r="B20" s="20" t="s">
        <v>1221</v>
      </c>
      <c r="G20" s="39"/>
    </row>
    <row r="21" spans="1:9" ht="13">
      <c r="A21" s="119" t="s">
        <v>184</v>
      </c>
      <c r="B21" s="120" t="s">
        <v>1</v>
      </c>
      <c r="C21" s="13" t="s">
        <v>1231</v>
      </c>
      <c r="D21" s="13" t="s">
        <v>1222</v>
      </c>
      <c r="E21" s="13"/>
      <c r="F21" s="13" t="s">
        <v>307</v>
      </c>
      <c r="G21" s="13" t="s">
        <v>752</v>
      </c>
    </row>
    <row r="22" spans="1:9" ht="14.5">
      <c r="A22" s="125">
        <v>1</v>
      </c>
      <c r="B22" s="122" t="str">
        <f>VLOOKUP(A22,Equip.Herram[],2,FALSE)</f>
        <v>Herramienta menor</v>
      </c>
      <c r="C22" s="15" t="str">
        <f>VLOOKUP(A22,Equip.Herram[],3,FALSE)</f>
        <v>UN</v>
      </c>
      <c r="D22" s="36">
        <f>VLOOKUP(A22,Equip.Herram[],4,FALSE)</f>
        <v>24840</v>
      </c>
      <c r="E22" s="36"/>
      <c r="F22" s="16">
        <f>+RENDIMIENTOS!$C$44</f>
        <v>4</v>
      </c>
      <c r="G22" s="36">
        <f>ROUND(D22/F22,0)</f>
        <v>6210</v>
      </c>
    </row>
    <row r="23" spans="1:9">
      <c r="B23" s="14"/>
      <c r="C23" s="15"/>
      <c r="D23" s="17"/>
      <c r="E23" s="17"/>
      <c r="F23" s="22"/>
      <c r="G23" s="21"/>
    </row>
    <row r="24" spans="1:9">
      <c r="B24" s="14"/>
      <c r="C24" s="15"/>
      <c r="D24" s="17"/>
      <c r="E24" s="17"/>
      <c r="F24" s="22"/>
      <c r="G24" s="21"/>
    </row>
    <row r="25" spans="1:9" ht="13">
      <c r="D25" s="18"/>
      <c r="E25" s="18"/>
      <c r="F25" s="19" t="s">
        <v>1220</v>
      </c>
      <c r="G25" s="37">
        <f>SUM(G22:G24)</f>
        <v>6210</v>
      </c>
    </row>
    <row r="26" spans="1:9" ht="13">
      <c r="D26" s="18"/>
      <c r="E26" s="18"/>
      <c r="F26" s="18"/>
      <c r="G26" s="23"/>
    </row>
    <row r="27" spans="1:9" ht="13">
      <c r="B27" s="11" t="s">
        <v>1223</v>
      </c>
      <c r="G27" s="24"/>
    </row>
    <row r="28" spans="1:9" ht="13">
      <c r="A28" s="119" t="s">
        <v>184</v>
      </c>
      <c r="B28" s="12" t="s">
        <v>1</v>
      </c>
      <c r="C28" s="13" t="s">
        <v>185</v>
      </c>
      <c r="D28" s="13" t="s">
        <v>1230</v>
      </c>
      <c r="E28" s="13"/>
      <c r="F28" s="13" t="s">
        <v>1233</v>
      </c>
      <c r="G28" s="25" t="s">
        <v>752</v>
      </c>
      <c r="I28" s="39"/>
    </row>
    <row r="29" spans="1:9" ht="26.5" customHeight="1">
      <c r="A29" s="125">
        <v>1</v>
      </c>
      <c r="B29" s="122" t="str">
        <f>VLOOKUP(A29,Transporte[],2,FALSE)</f>
        <v>Carga terrestre Bogotá - Teorama</v>
      </c>
      <c r="C29" s="27" t="s">
        <v>1234</v>
      </c>
      <c r="D29" s="118">
        <f>+SUM(E8:E17)</f>
        <v>14.64</v>
      </c>
      <c r="E29" s="118"/>
      <c r="F29" s="142">
        <f>VLOOKUP(A29,Transporte[],7,FALSE)</f>
        <v>214.17955999999998</v>
      </c>
      <c r="G29" s="35">
        <f>D29*F29</f>
        <v>3135.5887583999997</v>
      </c>
    </row>
    <row r="30" spans="1:9" ht="13.4" customHeight="1">
      <c r="A30" s="125">
        <v>3</v>
      </c>
      <c r="B30" s="122" t="str">
        <f>VLOOKUP(A30,Transporte[],2,FALSE)</f>
        <v>Carga terrestre Teorama - Comunidades</v>
      </c>
      <c r="C30" s="27" t="s">
        <v>1234</v>
      </c>
      <c r="D30" s="118">
        <f>+SUM(E8:E17)</f>
        <v>14.64</v>
      </c>
      <c r="E30" s="118"/>
      <c r="F30" s="142">
        <f>VLOOKUP(A30,Transporte[],7,FALSE)</f>
        <v>1491</v>
      </c>
      <c r="G30" s="35">
        <f>D30*F30</f>
        <v>21828.240000000002</v>
      </c>
    </row>
    <row r="31" spans="1:9" ht="13.4" customHeight="1">
      <c r="B31" s="26"/>
      <c r="C31" s="27"/>
      <c r="D31" s="28"/>
      <c r="E31" s="28"/>
      <c r="F31" s="35"/>
      <c r="G31" s="35"/>
    </row>
    <row r="32" spans="1:9" ht="13">
      <c r="D32" s="18"/>
      <c r="E32" s="18"/>
      <c r="F32" s="29" t="s">
        <v>1220</v>
      </c>
      <c r="G32" s="37">
        <f>SUM(G29:G31)</f>
        <v>24963.828758400003</v>
      </c>
    </row>
    <row r="33" spans="1:9" ht="13">
      <c r="D33" s="18"/>
      <c r="E33" s="18"/>
      <c r="G33" s="23"/>
    </row>
    <row r="34" spans="1:9" ht="13">
      <c r="B34" s="11" t="s">
        <v>1225</v>
      </c>
      <c r="D34" s="30"/>
      <c r="E34" s="30"/>
      <c r="F34" s="31"/>
      <c r="G34" s="24"/>
    </row>
    <row r="35" spans="1:9" s="18" customFormat="1" ht="13">
      <c r="A35" s="119" t="s">
        <v>184</v>
      </c>
      <c r="B35" s="12" t="s">
        <v>1</v>
      </c>
      <c r="C35" s="13" t="s">
        <v>1226</v>
      </c>
      <c r="D35" s="13" t="s">
        <v>1227</v>
      </c>
      <c r="E35" s="13"/>
      <c r="F35" s="13" t="s">
        <v>307</v>
      </c>
      <c r="G35" s="25" t="s">
        <v>752</v>
      </c>
    </row>
    <row r="36" spans="1:9" ht="14.5">
      <c r="A36" s="125">
        <v>1</v>
      </c>
      <c r="B36" s="122" t="str">
        <f>VLOOKUP(A36,ManoObra[],2,FALSE)</f>
        <v>Electricista</v>
      </c>
      <c r="C36" s="40">
        <f>VLOOKUP(A36,ManoObra[],7,FALSE)</f>
        <v>71863</v>
      </c>
      <c r="D36" s="22">
        <f>FP!$B$28</f>
        <v>1.61</v>
      </c>
      <c r="E36" s="22"/>
      <c r="F36" s="16">
        <f>+RENDIMIENTOS!$C$44</f>
        <v>4</v>
      </c>
      <c r="G36" s="36">
        <f>ROUND(C36*D36/F36,0)</f>
        <v>28925</v>
      </c>
      <c r="I36" s="81"/>
    </row>
    <row r="37" spans="1:9" ht="14.5">
      <c r="A37" s="125">
        <v>2</v>
      </c>
      <c r="B37" s="122" t="str">
        <f>VLOOKUP(A37,ManoObra[],2,FALSE)</f>
        <v>Ayudante</v>
      </c>
      <c r="C37" s="40">
        <f>VLOOKUP(A37,ManoObra[],7,FALSE)</f>
        <v>66050</v>
      </c>
      <c r="D37" s="22">
        <f>FP!$B$28</f>
        <v>1.61</v>
      </c>
      <c r="E37" s="22"/>
      <c r="F37" s="16">
        <f>+RENDIMIENTOS!$C$44</f>
        <v>4</v>
      </c>
      <c r="G37" s="36">
        <f>ROUND(C37*D37/F37,0)</f>
        <v>26585</v>
      </c>
    </row>
    <row r="38" spans="1:9" ht="13">
      <c r="D38" s="18"/>
      <c r="E38" s="18"/>
      <c r="F38" s="29" t="s">
        <v>1220</v>
      </c>
      <c r="G38" s="42">
        <f>SUM(G36:G37)</f>
        <v>55510</v>
      </c>
    </row>
    <row r="39" spans="1:9" ht="13">
      <c r="D39" s="18"/>
      <c r="E39" s="18"/>
      <c r="G39" s="24"/>
    </row>
    <row r="40" spans="1:9" ht="12.75" customHeight="1">
      <c r="A40"/>
      <c r="D40" s="1725" t="s">
        <v>1228</v>
      </c>
      <c r="E40" s="1730"/>
      <c r="F40" s="1726"/>
      <c r="G40" s="38">
        <f>G18+G25+G32+G38</f>
        <v>392308.82875839999</v>
      </c>
    </row>
    <row r="41" spans="1:9" ht="13">
      <c r="A41" s="441"/>
      <c r="B41" s="441"/>
      <c r="D41" s="18"/>
      <c r="E41" s="18"/>
      <c r="F41" s="10"/>
      <c r="G41" s="41"/>
    </row>
    <row r="42" spans="1:9" ht="14">
      <c r="A42" s="442"/>
      <c r="B42" s="840"/>
    </row>
    <row r="43" spans="1:9" ht="42">
      <c r="B43" s="1028" t="s">
        <v>1235</v>
      </c>
    </row>
  </sheetData>
  <mergeCells count="4">
    <mergeCell ref="B3:F3"/>
    <mergeCell ref="B4:D4"/>
    <mergeCell ref="D40:F40"/>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9" tint="0.59999389629810485"/>
    <pageSetUpPr fitToPage="1"/>
  </sheetPr>
  <dimension ref="A1:I35"/>
  <sheetViews>
    <sheetView view="pageBreakPreview" zoomScale="60" zoomScaleNormal="100" workbookViewId="0">
      <selection activeCell="D25" sqref="D25"/>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29.1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KW'!A37,", ",'PRES MR 10 KW'!A37,", ",'PRES MR 15 KW'!A37)</f>
        <v>ITEM:  2.5.2, 3.5.2, 4.5.2</v>
      </c>
      <c r="C3" s="1728"/>
      <c r="D3" s="1728"/>
      <c r="E3" s="1728"/>
      <c r="F3" s="1728"/>
      <c r="G3" s="6" t="s">
        <v>1229</v>
      </c>
      <c r="H3" s="7"/>
    </row>
    <row r="4" spans="1:9" ht="78.75" customHeight="1">
      <c r="B4" s="1722" t="str">
        <f>+'PRES MR 5 KW'!B37</f>
        <v>Geotextil para separación de suelos de subrasante y capas granulares</v>
      </c>
      <c r="C4" s="1723"/>
      <c r="D4" s="1724"/>
      <c r="E4" s="328"/>
      <c r="G4" s="8" t="str">
        <f>+'PRES MR 5 KW'!C22</f>
        <v>m3</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25">
      <c r="A8" s="125">
        <v>103</v>
      </c>
      <c r="B8" s="122" t="str">
        <f>VLOOKUP(A8,Materiales[],3,FALSE)</f>
        <v>Geotextil tejido con resistencia a la tensión Grab mínima de 1100 N</v>
      </c>
      <c r="C8" s="121" t="str">
        <f>VLOOKUP(A8,Materiales[],4,FALSE)</f>
        <v>m2</v>
      </c>
      <c r="D8" s="118">
        <v>1.1000000000000001</v>
      </c>
      <c r="E8" s="329">
        <f>VLOOKUP(A8,Materiales[],5,FALSE)*D8</f>
        <v>0.44000000000000006</v>
      </c>
      <c r="F8" s="123">
        <f>VLOOKUP(A8,Materiales[],6,FALSE)</f>
        <v>7467</v>
      </c>
      <c r="G8" s="123">
        <f>ROUND(D8*F8,0)</f>
        <v>8214</v>
      </c>
      <c r="I8" s="33"/>
    </row>
    <row r="9" spans="1:9" ht="25.5" customHeight="1">
      <c r="A9" s="125"/>
      <c r="B9" s="122"/>
      <c r="C9" s="121"/>
      <c r="D9" s="118"/>
      <c r="E9" s="329"/>
      <c r="F9" s="123"/>
      <c r="G9" s="123"/>
      <c r="I9" s="33"/>
    </row>
    <row r="10" spans="1:9" ht="13">
      <c r="D10" s="18"/>
      <c r="E10" s="18"/>
      <c r="F10" s="29" t="s">
        <v>1220</v>
      </c>
      <c r="G10" s="42">
        <f>SUM(G8:G9)</f>
        <v>8214</v>
      </c>
    </row>
    <row r="12" spans="1:9" ht="13">
      <c r="B12" s="20" t="s">
        <v>1221</v>
      </c>
      <c r="G12" s="39"/>
    </row>
    <row r="13" spans="1:9" ht="13">
      <c r="A13" s="119" t="s">
        <v>184</v>
      </c>
      <c r="B13" s="120" t="s">
        <v>1</v>
      </c>
      <c r="C13" s="13" t="s">
        <v>1231</v>
      </c>
      <c r="D13" s="13" t="s">
        <v>1222</v>
      </c>
      <c r="E13" s="13"/>
      <c r="F13" s="13" t="s">
        <v>307</v>
      </c>
      <c r="G13" s="13" t="s">
        <v>752</v>
      </c>
    </row>
    <row r="14" spans="1:9" ht="14.5">
      <c r="A14" s="125">
        <v>1</v>
      </c>
      <c r="B14" s="122" t="str">
        <f>VLOOKUP(A14,Equip.Herram[],2,FALSE)</f>
        <v>Herramienta menor</v>
      </c>
      <c r="C14" s="15" t="str">
        <f>VLOOKUP(A14,Equip.Herram[],3,FALSE)</f>
        <v>UN</v>
      </c>
      <c r="D14" s="36">
        <f>VLOOKUP(A14,Equip.Herram[],4,FALSE)</f>
        <v>24840</v>
      </c>
      <c r="E14" s="36"/>
      <c r="F14" s="16">
        <v>150</v>
      </c>
      <c r="G14" s="36">
        <f>ROUND(D14/F14,0)</f>
        <v>166</v>
      </c>
    </row>
    <row r="15" spans="1:9">
      <c r="B15" s="14"/>
      <c r="C15" s="15"/>
      <c r="D15" s="17"/>
      <c r="E15" s="17"/>
      <c r="F15" s="22"/>
      <c r="G15" s="21"/>
    </row>
    <row r="16" spans="1:9">
      <c r="B16" s="14"/>
      <c r="C16" s="15"/>
      <c r="D16" s="17"/>
      <c r="E16" s="17"/>
      <c r="F16" s="22"/>
      <c r="G16" s="21"/>
    </row>
    <row r="17" spans="1:9" ht="13">
      <c r="D17" s="18"/>
      <c r="E17" s="18"/>
      <c r="F17" s="19" t="s">
        <v>1220</v>
      </c>
      <c r="G17" s="37">
        <f>SUM(G14:G16)</f>
        <v>166</v>
      </c>
    </row>
    <row r="18" spans="1:9" ht="13">
      <c r="D18" s="18"/>
      <c r="E18" s="18"/>
      <c r="F18" s="18"/>
      <c r="G18" s="23"/>
    </row>
    <row r="19" spans="1:9" ht="13">
      <c r="B19" s="11" t="s">
        <v>1223</v>
      </c>
      <c r="G19" s="24"/>
    </row>
    <row r="20" spans="1:9" ht="13">
      <c r="A20" s="119" t="s">
        <v>184</v>
      </c>
      <c r="B20" s="12" t="s">
        <v>1</v>
      </c>
      <c r="C20" s="13" t="s">
        <v>185</v>
      </c>
      <c r="D20" s="13" t="s">
        <v>1230</v>
      </c>
      <c r="E20" s="13"/>
      <c r="F20" s="13" t="s">
        <v>1233</v>
      </c>
      <c r="G20" s="25" t="s">
        <v>752</v>
      </c>
      <c r="I20" s="39"/>
    </row>
    <row r="21" spans="1:9" ht="26.5" customHeight="1">
      <c r="A21" s="125">
        <v>1</v>
      </c>
      <c r="B21" s="122" t="str">
        <f>VLOOKUP(A21,Transporte[],2,FALSE)</f>
        <v>Carga terrestre Bogotá - Teorama</v>
      </c>
      <c r="C21" s="27" t="s">
        <v>1234</v>
      </c>
      <c r="D21" s="333">
        <f>+SUM(E8:E9)</f>
        <v>0.44000000000000006</v>
      </c>
      <c r="E21" s="118"/>
      <c r="F21" s="142">
        <f>VLOOKUP(A21,Transporte[],7,FALSE)</f>
        <v>214.17955999999998</v>
      </c>
      <c r="G21" s="35">
        <f>D21*F21</f>
        <v>94.239006400000008</v>
      </c>
    </row>
    <row r="22" spans="1:9" ht="13.4" customHeight="1">
      <c r="A22" s="125">
        <v>3</v>
      </c>
      <c r="B22" s="122" t="str">
        <f>VLOOKUP(A22,Transporte[],2,FALSE)</f>
        <v>Carga terrestre Teorama - Comunidades</v>
      </c>
      <c r="C22" s="27" t="s">
        <v>1234</v>
      </c>
      <c r="D22" s="333">
        <f>+SUM(E8:E9)</f>
        <v>0.44000000000000006</v>
      </c>
      <c r="E22" s="118"/>
      <c r="F22" s="142">
        <f>VLOOKUP(A22,Transporte[],7,FALSE)</f>
        <v>1491</v>
      </c>
      <c r="G22" s="35">
        <f>D22*F22</f>
        <v>656.04000000000008</v>
      </c>
    </row>
    <row r="23" spans="1:9" ht="13.4" customHeight="1">
      <c r="B23" s="26"/>
      <c r="C23" s="27"/>
      <c r="D23" s="28"/>
      <c r="E23" s="28"/>
      <c r="F23" s="35"/>
      <c r="G23" s="35"/>
    </row>
    <row r="24" spans="1:9" ht="13">
      <c r="D24" s="18"/>
      <c r="E24" s="18"/>
      <c r="F24" s="29" t="s">
        <v>1220</v>
      </c>
      <c r="G24" s="37">
        <f>SUM(G21:G23)</f>
        <v>750.27900640000007</v>
      </c>
    </row>
    <row r="25" spans="1:9" ht="13">
      <c r="D25" s="18"/>
      <c r="E25" s="18"/>
      <c r="G25" s="23"/>
    </row>
    <row r="26" spans="1:9" ht="13">
      <c r="B26" s="11" t="s">
        <v>1225</v>
      </c>
      <c r="D26" s="30"/>
      <c r="E26" s="30"/>
      <c r="F26" s="31"/>
      <c r="G26" s="24"/>
    </row>
    <row r="27" spans="1:9" s="18" customFormat="1" ht="13">
      <c r="A27" s="119" t="s">
        <v>184</v>
      </c>
      <c r="B27" s="12" t="s">
        <v>1</v>
      </c>
      <c r="C27" s="13" t="s">
        <v>1226</v>
      </c>
      <c r="D27" s="13" t="s">
        <v>1227</v>
      </c>
      <c r="E27" s="13"/>
      <c r="F27" s="13" t="s">
        <v>307</v>
      </c>
      <c r="G27" s="25" t="s">
        <v>752</v>
      </c>
    </row>
    <row r="28" spans="1:9" ht="14.5">
      <c r="A28" s="125">
        <v>4</v>
      </c>
      <c r="B28" s="122" t="str">
        <f>VLOOKUP(A28,ManoObra[],2,FALSE)</f>
        <v>Oficial de obra</v>
      </c>
      <c r="C28" s="40">
        <f>VLOOKUP(A28,ManoObra[],7,FALSE)</f>
        <v>95006</v>
      </c>
      <c r="D28" s="22">
        <f>FP!$B$28</f>
        <v>1.61</v>
      </c>
      <c r="E28" s="22"/>
      <c r="F28" s="16">
        <v>150</v>
      </c>
      <c r="G28" s="36">
        <f>ROUND(C28*D28/F28,0)</f>
        <v>1020</v>
      </c>
      <c r="I28" s="81"/>
    </row>
    <row r="29" spans="1:9" ht="14.5">
      <c r="A29" s="125">
        <v>2</v>
      </c>
      <c r="B29" s="122" t="str">
        <f>VLOOKUP(A29,ManoObra[],2,FALSE)</f>
        <v>Ayudante</v>
      </c>
      <c r="C29" s="40">
        <f>VLOOKUP(A29,ManoObra[],7,FALSE)</f>
        <v>66050</v>
      </c>
      <c r="D29" s="22">
        <f>FP!$B$28</f>
        <v>1.61</v>
      </c>
      <c r="E29" s="22"/>
      <c r="F29" s="16">
        <v>150</v>
      </c>
      <c r="G29" s="36">
        <f>ROUND(C29*D29/F29,0)</f>
        <v>709</v>
      </c>
    </row>
    <row r="30" spans="1:9" ht="13">
      <c r="D30" s="18"/>
      <c r="E30" s="18"/>
      <c r="F30" s="29" t="s">
        <v>1220</v>
      </c>
      <c r="G30" s="42">
        <f>SUM(G28:G29)</f>
        <v>1729</v>
      </c>
    </row>
    <row r="31" spans="1:9" ht="13">
      <c r="D31" s="18"/>
      <c r="E31" s="18"/>
      <c r="G31" s="24"/>
    </row>
    <row r="32" spans="1:9" ht="12.75" customHeight="1">
      <c r="A32"/>
      <c r="D32" s="1725" t="s">
        <v>1228</v>
      </c>
      <c r="E32" s="1730"/>
      <c r="F32" s="1726"/>
      <c r="G32" s="38">
        <f>G10+G17+G24+G30</f>
        <v>10859.2790064</v>
      </c>
    </row>
    <row r="33" spans="1:7" ht="13">
      <c r="A33" s="441"/>
      <c r="B33" s="441"/>
      <c r="D33" s="18"/>
      <c r="E33" s="18"/>
      <c r="F33" s="10"/>
      <c r="G33" s="41"/>
    </row>
    <row r="34" spans="1:7" ht="14">
      <c r="A34" s="442"/>
      <c r="B34" s="840"/>
    </row>
    <row r="35" spans="1:7" ht="42">
      <c r="B35" s="1028" t="s">
        <v>1235</v>
      </c>
    </row>
  </sheetData>
  <mergeCells count="4">
    <mergeCell ref="B3:F3"/>
    <mergeCell ref="B4:D4"/>
    <mergeCell ref="D32:F32"/>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9" tint="0.59999389629810485"/>
    <pageSetUpPr fitToPage="1"/>
  </sheetPr>
  <dimension ref="A1:I34"/>
  <sheetViews>
    <sheetView view="pageBreakPreview" zoomScale="60" zoomScaleNormal="100" workbookViewId="0">
      <selection activeCell="D25" sqref="D25"/>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3.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KW'!A38,", ",'PRES MR 10 KW'!A38,", ",'PRES MR 15 KW'!A38)</f>
        <v>ITEM:  2.5.3, 3.5.3, 4.5.3</v>
      </c>
      <c r="C3" s="1728"/>
      <c r="D3" s="1728"/>
      <c r="E3" s="1728"/>
      <c r="F3" s="1728"/>
      <c r="G3" s="6" t="s">
        <v>1229</v>
      </c>
      <c r="H3" s="7"/>
    </row>
    <row r="4" spans="1:9" ht="78.75" customHeight="1">
      <c r="B4" s="1722" t="str">
        <f>+'PRES MR 5 KW'!B38</f>
        <v xml:space="preserve">Relleno en arena de peña tamizada con  90% tamaños &lt; 6mm para zanjas </v>
      </c>
      <c r="C4" s="1723"/>
      <c r="D4" s="1724"/>
      <c r="E4" s="328"/>
      <c r="G4" s="8" t="str">
        <f>+'PRES MR 5 KW'!C38</f>
        <v>m³</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25">
      <c r="A8" s="125">
        <v>104</v>
      </c>
      <c r="B8" s="122" t="str">
        <f>VLOOKUP(A8,Materiales[],3,FALSE)</f>
        <v>Arena de peña y/o natural lavada, tamizada con  90% tamaños &lt; 6mm</v>
      </c>
      <c r="C8" s="121" t="str">
        <f>VLOOKUP(A8,Materiales[],4,FALSE)</f>
        <v>m3</v>
      </c>
      <c r="D8" s="118">
        <v>1</v>
      </c>
      <c r="E8" s="329">
        <f>VLOOKUP(A8,Materiales[],5,FALSE)*D8</f>
        <v>1600</v>
      </c>
      <c r="F8" s="123">
        <f>VLOOKUP(A8,Materiales[],6,FALSE)</f>
        <v>97726</v>
      </c>
      <c r="G8" s="123">
        <f>ROUND(D8*F8,0)</f>
        <v>97726</v>
      </c>
      <c r="I8" s="33"/>
    </row>
    <row r="9" spans="1:9" ht="25.5" customHeight="1">
      <c r="A9" s="125"/>
      <c r="B9" s="122"/>
      <c r="C9" s="121"/>
      <c r="D9" s="118"/>
      <c r="E9" s="329"/>
      <c r="F9" s="123"/>
      <c r="G9" s="123"/>
      <c r="I9" s="33"/>
    </row>
    <row r="10" spans="1:9" ht="13">
      <c r="D10" s="18"/>
      <c r="E10" s="18"/>
      <c r="F10" s="29" t="s">
        <v>1220</v>
      </c>
      <c r="G10" s="42">
        <f>SUM(G8:G9)</f>
        <v>97726</v>
      </c>
    </row>
    <row r="12" spans="1:9" ht="13">
      <c r="B12" s="20" t="s">
        <v>1221</v>
      </c>
      <c r="G12" s="39"/>
    </row>
    <row r="13" spans="1:9" ht="13">
      <c r="A13" s="119" t="s">
        <v>184</v>
      </c>
      <c r="B13" s="120" t="s">
        <v>1</v>
      </c>
      <c r="C13" s="13" t="s">
        <v>1231</v>
      </c>
      <c r="D13" s="13" t="s">
        <v>1222</v>
      </c>
      <c r="E13" s="13"/>
      <c r="F13" s="13" t="s">
        <v>307</v>
      </c>
      <c r="G13" s="13" t="s">
        <v>752</v>
      </c>
    </row>
    <row r="14" spans="1:9" ht="25">
      <c r="A14" s="125">
        <v>12</v>
      </c>
      <c r="B14" s="122" t="str">
        <f>VLOOKUP(A14,Equip.Herram[],2,FALSE)</f>
        <v>Compactador manual (saltarín) peso de operación (kg.) 52, fuerza de impacto por golpe (KN) 12</v>
      </c>
      <c r="C14" s="15" t="str">
        <f>VLOOKUP(A14,Equip.Herram[],3,FALSE)</f>
        <v>HORA</v>
      </c>
      <c r="D14" s="36">
        <f>VLOOKUP(A14,Equip.Herram[],4,FALSE)</f>
        <v>13379</v>
      </c>
      <c r="E14" s="36"/>
      <c r="F14" s="16">
        <v>2</v>
      </c>
      <c r="G14" s="36">
        <f>ROUND(D14/F14,0)</f>
        <v>6690</v>
      </c>
    </row>
    <row r="15" spans="1:9">
      <c r="B15" s="14"/>
      <c r="C15" s="15"/>
      <c r="D15" s="17"/>
      <c r="E15" s="17"/>
      <c r="F15" s="22"/>
      <c r="G15" s="21"/>
    </row>
    <row r="16" spans="1:9">
      <c r="B16" s="14"/>
      <c r="C16" s="15"/>
      <c r="D16" s="17"/>
      <c r="E16" s="17"/>
      <c r="F16" s="22"/>
      <c r="G16" s="21"/>
    </row>
    <row r="17" spans="1:9" ht="13">
      <c r="D17" s="18"/>
      <c r="E17" s="18"/>
      <c r="F17" s="19" t="s">
        <v>1220</v>
      </c>
      <c r="G17" s="37">
        <f>SUM(G14:G16)</f>
        <v>6690</v>
      </c>
    </row>
    <row r="18" spans="1:9" ht="13">
      <c r="D18" s="18"/>
      <c r="E18" s="18"/>
      <c r="F18" s="18"/>
      <c r="G18" s="23"/>
    </row>
    <row r="19" spans="1:9" ht="13">
      <c r="B19" s="11" t="s">
        <v>1223</v>
      </c>
      <c r="G19" s="24"/>
    </row>
    <row r="20" spans="1:9" ht="13">
      <c r="A20" s="119" t="s">
        <v>184</v>
      </c>
      <c r="B20" s="12" t="s">
        <v>1</v>
      </c>
      <c r="C20" s="13" t="s">
        <v>185</v>
      </c>
      <c r="D20" s="13" t="s">
        <v>1230</v>
      </c>
      <c r="E20" s="13"/>
      <c r="F20" s="13" t="s">
        <v>1233</v>
      </c>
      <c r="G20" s="25" t="s">
        <v>752</v>
      </c>
      <c r="I20" s="39"/>
    </row>
    <row r="21" spans="1:9" ht="26.5" customHeight="1">
      <c r="A21" s="125">
        <v>9</v>
      </c>
      <c r="B21" s="122" t="str">
        <f>VLOOKUP(A21,Transporte[],2,FALSE)</f>
        <v>Carga terrestre Cantera Petrea - Comunidades</v>
      </c>
      <c r="C21" s="27" t="s">
        <v>1234</v>
      </c>
      <c r="D21" s="333">
        <f>+SUM(E8:E9)</f>
        <v>1600</v>
      </c>
      <c r="E21" s="118"/>
      <c r="F21" s="142">
        <f>VLOOKUP(A21,Transporte[],7,FALSE)</f>
        <v>50</v>
      </c>
      <c r="G21" s="35">
        <f>D21*F21</f>
        <v>80000</v>
      </c>
    </row>
    <row r="22" spans="1:9" ht="13.4" customHeight="1">
      <c r="B22" s="26"/>
      <c r="C22" s="27"/>
      <c r="D22" s="28"/>
      <c r="E22" s="28"/>
      <c r="F22" s="35"/>
      <c r="G22" s="35"/>
    </row>
    <row r="23" spans="1:9" ht="13">
      <c r="D23" s="18"/>
      <c r="E23" s="18"/>
      <c r="F23" s="29" t="s">
        <v>1220</v>
      </c>
      <c r="G23" s="37">
        <f>SUM(G21:G22)</f>
        <v>80000</v>
      </c>
    </row>
    <row r="24" spans="1:9" ht="13">
      <c r="D24" s="18"/>
      <c r="E24" s="18"/>
      <c r="G24" s="23"/>
    </row>
    <row r="25" spans="1:9" ht="13">
      <c r="B25" s="11" t="s">
        <v>1225</v>
      </c>
      <c r="D25" s="30"/>
      <c r="E25" s="30"/>
      <c r="F25" s="31"/>
      <c r="G25" s="24"/>
    </row>
    <row r="26" spans="1:9" s="18" customFormat="1" ht="13">
      <c r="A26" s="119" t="s">
        <v>184</v>
      </c>
      <c r="B26" s="12" t="s">
        <v>1</v>
      </c>
      <c r="C26" s="13" t="s">
        <v>1226</v>
      </c>
      <c r="D26" s="13" t="s">
        <v>1227</v>
      </c>
      <c r="E26" s="13"/>
      <c r="F26" s="13" t="s">
        <v>307</v>
      </c>
      <c r="G26" s="25" t="s">
        <v>752</v>
      </c>
    </row>
    <row r="27" spans="1:9" ht="14.5">
      <c r="A27" s="125">
        <v>4</v>
      </c>
      <c r="B27" s="122" t="str">
        <f>VLOOKUP(A27,ManoObra[],2,FALSE)</f>
        <v>Oficial de obra</v>
      </c>
      <c r="C27" s="40">
        <f>VLOOKUP(A27,ManoObra[],7,FALSE)</f>
        <v>95006</v>
      </c>
      <c r="D27" s="22">
        <f>FP!$B$28</f>
        <v>1.61</v>
      </c>
      <c r="E27" s="22"/>
      <c r="F27" s="16">
        <v>15</v>
      </c>
      <c r="G27" s="36">
        <f>ROUND(C27*D27/F27,0)</f>
        <v>10197</v>
      </c>
      <c r="I27" s="81"/>
    </row>
    <row r="28" spans="1:9" ht="14.5">
      <c r="A28" s="125">
        <v>2</v>
      </c>
      <c r="B28" s="122" t="str">
        <f>VLOOKUP(A28,ManoObra[],2,FALSE)</f>
        <v>Ayudante</v>
      </c>
      <c r="C28" s="40">
        <f>VLOOKUP(A28,ManoObra[],7,FALSE)</f>
        <v>66050</v>
      </c>
      <c r="D28" s="22">
        <f>FP!$B$28</f>
        <v>1.61</v>
      </c>
      <c r="E28" s="22"/>
      <c r="F28" s="16">
        <v>15</v>
      </c>
      <c r="G28" s="36">
        <f>ROUND(C28*D28/F28,0)</f>
        <v>7089</v>
      </c>
    </row>
    <row r="29" spans="1:9" ht="13">
      <c r="D29" s="18"/>
      <c r="E29" s="18"/>
      <c r="F29" s="29" t="s">
        <v>1220</v>
      </c>
      <c r="G29" s="42">
        <f>SUM(G27:G28)</f>
        <v>17286</v>
      </c>
    </row>
    <row r="30" spans="1:9" ht="13">
      <c r="D30" s="18"/>
      <c r="E30" s="18"/>
      <c r="G30" s="24"/>
    </row>
    <row r="31" spans="1:9" ht="12.75" customHeight="1">
      <c r="A31"/>
      <c r="D31" s="1725" t="s">
        <v>1228</v>
      </c>
      <c r="E31" s="1730"/>
      <c r="F31" s="1726"/>
      <c r="G31" s="38">
        <f>G10+G17+G23+G29</f>
        <v>201702</v>
      </c>
    </row>
    <row r="32" spans="1:9" ht="13">
      <c r="A32" s="441"/>
      <c r="B32" s="441"/>
      <c r="D32" s="18"/>
      <c r="E32" s="18"/>
      <c r="F32" s="10"/>
      <c r="G32" s="41"/>
    </row>
    <row r="33" spans="1:2" ht="14">
      <c r="A33" s="442"/>
      <c r="B33" s="840"/>
    </row>
    <row r="34" spans="1:2" ht="42">
      <c r="B34" s="1028" t="s">
        <v>1235</v>
      </c>
    </row>
  </sheetData>
  <mergeCells count="4">
    <mergeCell ref="B3:F3"/>
    <mergeCell ref="B4:D4"/>
    <mergeCell ref="D31:F31"/>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9">
    <tabColor theme="9" tint="0.59999389629810485"/>
  </sheetPr>
  <dimension ref="A1:P63"/>
  <sheetViews>
    <sheetView workbookViewId="0">
      <selection activeCell="F3" sqref="F3:F5"/>
    </sheetView>
  </sheetViews>
  <sheetFormatPr baseColWidth="10" defaultColWidth="11.453125" defaultRowHeight="12.5"/>
  <cols>
    <col min="1" max="1" width="47.81640625" bestFit="1" customWidth="1"/>
    <col min="2" max="2" width="20" bestFit="1" customWidth="1"/>
    <col min="4" max="4" width="12.81640625" bestFit="1" customWidth="1"/>
  </cols>
  <sheetData>
    <row r="1" spans="1:7" ht="12.75" customHeight="1">
      <c r="A1" s="1442" t="s">
        <v>303</v>
      </c>
      <c r="B1" s="1442"/>
      <c r="C1" s="1442"/>
      <c r="D1" s="115"/>
      <c r="E1" s="115"/>
      <c r="F1" s="115"/>
      <c r="G1" s="115"/>
    </row>
    <row r="2" spans="1:7">
      <c r="A2" s="1442"/>
      <c r="B2" s="1442"/>
      <c r="C2" s="1442"/>
      <c r="D2" s="115"/>
      <c r="E2" s="115"/>
      <c r="F2" s="115"/>
      <c r="G2" s="115"/>
    </row>
    <row r="4" spans="1:7">
      <c r="A4" s="1441" t="s">
        <v>304</v>
      </c>
      <c r="B4" s="1441"/>
      <c r="C4" s="1441"/>
    </row>
    <row r="5" spans="1:7">
      <c r="A5" s="1440" t="s">
        <v>305</v>
      </c>
      <c r="B5" s="1440"/>
      <c r="C5" s="1440"/>
    </row>
    <row r="6" spans="1:7">
      <c r="A6" s="127" t="s">
        <v>1</v>
      </c>
      <c r="B6" s="116" t="s">
        <v>306</v>
      </c>
      <c r="C6" s="116" t="s">
        <v>307</v>
      </c>
    </row>
    <row r="7" spans="1:7" ht="14.5">
      <c r="A7" s="87" t="s">
        <v>308</v>
      </c>
      <c r="B7" s="87" t="s">
        <v>309</v>
      </c>
      <c r="C7" s="117">
        <v>15</v>
      </c>
    </row>
    <row r="8" spans="1:7" ht="14.5">
      <c r="A8" s="87" t="s">
        <v>310</v>
      </c>
      <c r="B8" s="87" t="s">
        <v>311</v>
      </c>
      <c r="C8" s="117">
        <v>15</v>
      </c>
    </row>
    <row r="11" spans="1:7">
      <c r="A11" s="1441" t="s">
        <v>312</v>
      </c>
      <c r="B11" s="1441"/>
      <c r="C11" s="1441"/>
      <c r="D11" s="1441"/>
    </row>
    <row r="12" spans="1:7">
      <c r="A12" s="127" t="s">
        <v>1</v>
      </c>
      <c r="B12" s="116" t="s">
        <v>306</v>
      </c>
      <c r="C12" s="116" t="s">
        <v>307</v>
      </c>
      <c r="D12" s="116" t="s">
        <v>313</v>
      </c>
    </row>
    <row r="13" spans="1:7" ht="14.5">
      <c r="A13" s="87" t="s">
        <v>314</v>
      </c>
      <c r="B13" s="87" t="s">
        <v>315</v>
      </c>
      <c r="C13" s="148">
        <v>1</v>
      </c>
      <c r="D13" s="88">
        <f>1/C13</f>
        <v>1</v>
      </c>
    </row>
    <row r="14" spans="1:7" ht="14.5">
      <c r="A14" s="87" t="s">
        <v>316</v>
      </c>
      <c r="B14" s="87" t="s">
        <v>315</v>
      </c>
      <c r="C14" s="148">
        <v>3</v>
      </c>
      <c r="D14" s="88">
        <f>1/C14</f>
        <v>0.33333333333333331</v>
      </c>
    </row>
    <row r="15" spans="1:7" ht="14.5">
      <c r="A15" s="87" t="s">
        <v>317</v>
      </c>
      <c r="B15" s="87" t="s">
        <v>315</v>
      </c>
      <c r="C15" s="148">
        <f>+C30</f>
        <v>6</v>
      </c>
      <c r="D15" s="209">
        <f>1/C15</f>
        <v>0.16666666666666666</v>
      </c>
    </row>
    <row r="16" spans="1:7" ht="14.5">
      <c r="A16" s="87" t="s">
        <v>318</v>
      </c>
      <c r="B16" s="87" t="s">
        <v>315</v>
      </c>
      <c r="C16" s="148">
        <v>3</v>
      </c>
      <c r="D16" s="209">
        <f t="shared" ref="D16:D23" si="0">1/C16</f>
        <v>0.33333333333333331</v>
      </c>
    </row>
    <row r="17" spans="1:16" ht="14.5">
      <c r="A17" s="87" t="s">
        <v>319</v>
      </c>
      <c r="B17" s="87" t="s">
        <v>315</v>
      </c>
      <c r="C17" s="147">
        <v>1</v>
      </c>
      <c r="D17" s="209">
        <f t="shared" si="0"/>
        <v>1</v>
      </c>
    </row>
    <row r="18" spans="1:16" ht="14.5">
      <c r="A18" s="87" t="s">
        <v>320</v>
      </c>
      <c r="B18" s="87" t="s">
        <v>315</v>
      </c>
      <c r="C18" s="148">
        <v>3</v>
      </c>
      <c r="D18" s="209">
        <f t="shared" si="0"/>
        <v>0.33333333333333331</v>
      </c>
    </row>
    <row r="19" spans="1:16" ht="14.5">
      <c r="A19" s="87" t="s">
        <v>321</v>
      </c>
      <c r="B19" s="87" t="s">
        <v>315</v>
      </c>
      <c r="C19" s="148">
        <v>3</v>
      </c>
      <c r="D19" s="209">
        <f t="shared" si="0"/>
        <v>0.33333333333333331</v>
      </c>
    </row>
    <row r="20" spans="1:16" ht="14.5">
      <c r="A20" s="87" t="s">
        <v>322</v>
      </c>
      <c r="B20" s="87" t="s">
        <v>315</v>
      </c>
      <c r="C20" s="148">
        <v>4</v>
      </c>
      <c r="D20" s="209">
        <f t="shared" si="0"/>
        <v>0.25</v>
      </c>
    </row>
    <row r="21" spans="1:16" ht="14.5">
      <c r="A21" s="87" t="s">
        <v>323</v>
      </c>
      <c r="B21" s="87" t="s">
        <v>315</v>
      </c>
      <c r="C21" s="148">
        <f>+C46</f>
        <v>8</v>
      </c>
      <c r="D21" s="209">
        <f t="shared" si="0"/>
        <v>0.125</v>
      </c>
    </row>
    <row r="22" spans="1:16" ht="14.5">
      <c r="A22" s="87" t="s">
        <v>324</v>
      </c>
      <c r="B22" s="87" t="s">
        <v>315</v>
      </c>
      <c r="C22" s="148">
        <f>+C45</f>
        <v>2</v>
      </c>
      <c r="D22" s="209">
        <f t="shared" si="0"/>
        <v>0.5</v>
      </c>
    </row>
    <row r="23" spans="1:16" ht="14.5">
      <c r="A23" s="87" t="s">
        <v>325</v>
      </c>
      <c r="B23" s="87" t="s">
        <v>315</v>
      </c>
      <c r="C23" s="148">
        <v>2</v>
      </c>
      <c r="D23" s="209">
        <f t="shared" si="0"/>
        <v>0.5</v>
      </c>
    </row>
    <row r="24" spans="1:16">
      <c r="A24" s="1440" t="s">
        <v>326</v>
      </c>
      <c r="B24" s="1440"/>
      <c r="C24" s="1440"/>
      <c r="D24" s="143">
        <f>ROUND(SUM(D15:D23),2)</f>
        <v>3.54</v>
      </c>
    </row>
    <row r="27" spans="1:16">
      <c r="A27" s="1438" t="s">
        <v>327</v>
      </c>
      <c r="B27" s="1439"/>
      <c r="C27" s="1439"/>
      <c r="D27" s="1439"/>
      <c r="E27" s="1439"/>
      <c r="F27" s="1439"/>
      <c r="G27" s="1439"/>
      <c r="H27" s="1439"/>
      <c r="I27" s="1439"/>
      <c r="J27" s="1439"/>
      <c r="K27" s="1439"/>
      <c r="L27" s="1439"/>
      <c r="M27" s="1439"/>
      <c r="N27" s="1439"/>
      <c r="O27" s="1439"/>
      <c r="P27" s="1439"/>
    </row>
    <row r="28" spans="1:16">
      <c r="A28" s="383"/>
      <c r="B28" s="383"/>
      <c r="C28" s="383"/>
      <c r="D28" s="383"/>
      <c r="E28" s="1437" t="s">
        <v>328</v>
      </c>
      <c r="F28" s="1437"/>
      <c r="G28" s="1437" t="s">
        <v>329</v>
      </c>
      <c r="H28" s="1437"/>
      <c r="I28" s="1437" t="s">
        <v>330</v>
      </c>
      <c r="J28" s="1437"/>
      <c r="K28" s="1437" t="s">
        <v>331</v>
      </c>
      <c r="L28" s="1437"/>
      <c r="M28" s="1437" t="s">
        <v>332</v>
      </c>
      <c r="N28" s="1437"/>
      <c r="O28" s="1437" t="s">
        <v>333</v>
      </c>
      <c r="P28" s="1437"/>
    </row>
    <row r="29" spans="1:16">
      <c r="A29" s="384" t="s">
        <v>1</v>
      </c>
      <c r="B29" s="385" t="s">
        <v>306</v>
      </c>
      <c r="C29" s="385" t="s">
        <v>307</v>
      </c>
      <c r="D29" s="385" t="s">
        <v>313</v>
      </c>
      <c r="E29" s="385" t="s">
        <v>334</v>
      </c>
      <c r="F29" s="385" t="s">
        <v>335</v>
      </c>
      <c r="G29" s="385" t="s">
        <v>334</v>
      </c>
      <c r="H29" s="385" t="s">
        <v>335</v>
      </c>
      <c r="I29" s="385" t="s">
        <v>334</v>
      </c>
      <c r="J29" s="385" t="s">
        <v>335</v>
      </c>
      <c r="K29" s="385" t="s">
        <v>334</v>
      </c>
      <c r="L29" s="385" t="s">
        <v>335</v>
      </c>
      <c r="M29" s="385" t="s">
        <v>334</v>
      </c>
      <c r="N29" s="385" t="s">
        <v>335</v>
      </c>
      <c r="O29" s="385" t="s">
        <v>334</v>
      </c>
      <c r="P29" s="385" t="s">
        <v>335</v>
      </c>
    </row>
    <row r="30" spans="1:16" ht="14.5">
      <c r="A30" s="87" t="s">
        <v>336</v>
      </c>
      <c r="B30" s="87" t="s">
        <v>315</v>
      </c>
      <c r="C30" s="381">
        <v>6</v>
      </c>
      <c r="D30" s="111">
        <f>1/C30</f>
        <v>0.16666666666666666</v>
      </c>
      <c r="E30" s="88"/>
      <c r="F30" s="88">
        <f>+D30*E30</f>
        <v>0</v>
      </c>
      <c r="G30" s="88"/>
      <c r="H30" s="88"/>
      <c r="I30" s="88"/>
      <c r="J30" s="88"/>
      <c r="K30" s="88"/>
      <c r="L30" s="88"/>
      <c r="M30" s="88"/>
      <c r="N30" s="88"/>
      <c r="O30" s="88"/>
      <c r="P30" s="88"/>
    </row>
    <row r="31" spans="1:16" ht="14.5">
      <c r="A31" s="87" t="s">
        <v>337</v>
      </c>
      <c r="B31" s="87" t="s">
        <v>315</v>
      </c>
      <c r="C31" s="381">
        <v>6</v>
      </c>
      <c r="D31" s="111">
        <f t="shared" ref="D31:D58" si="1">1/C31</f>
        <v>0.16666666666666666</v>
      </c>
      <c r="E31" s="88"/>
      <c r="F31" s="88">
        <f t="shared" ref="F31:F45" si="2">+D31*E31</f>
        <v>0</v>
      </c>
      <c r="G31" s="88"/>
      <c r="H31" s="88"/>
      <c r="I31" s="88"/>
      <c r="J31" s="88"/>
      <c r="K31" s="88"/>
      <c r="L31" s="88"/>
      <c r="M31" s="88"/>
      <c r="N31" s="88"/>
      <c r="O31" s="88"/>
      <c r="P31" s="88"/>
    </row>
    <row r="32" spans="1:16" ht="14.5">
      <c r="A32" s="87" t="s">
        <v>338</v>
      </c>
      <c r="B32" s="87" t="s">
        <v>315</v>
      </c>
      <c r="C32" s="381">
        <v>2</v>
      </c>
      <c r="D32" s="111">
        <f t="shared" si="1"/>
        <v>0.5</v>
      </c>
      <c r="E32" s="88"/>
      <c r="F32" s="88">
        <f t="shared" si="2"/>
        <v>0</v>
      </c>
      <c r="G32" s="88"/>
      <c r="H32" s="88"/>
      <c r="I32" s="88"/>
      <c r="J32" s="88"/>
      <c r="K32" s="88"/>
      <c r="L32" s="88"/>
      <c r="M32" s="88"/>
      <c r="N32" s="88"/>
      <c r="O32" s="88"/>
      <c r="P32" s="88"/>
    </row>
    <row r="33" spans="1:16" ht="14.5">
      <c r="A33" s="87" t="s">
        <v>339</v>
      </c>
      <c r="B33" s="87" t="s">
        <v>315</v>
      </c>
      <c r="C33" s="381">
        <v>5</v>
      </c>
      <c r="D33" s="111">
        <f t="shared" si="1"/>
        <v>0.2</v>
      </c>
      <c r="E33" s="88"/>
      <c r="F33" s="88">
        <f t="shared" si="2"/>
        <v>0</v>
      </c>
      <c r="G33" s="88"/>
      <c r="H33" s="88"/>
      <c r="I33" s="88"/>
      <c r="J33" s="88"/>
      <c r="K33" s="88"/>
      <c r="L33" s="88"/>
      <c r="M33" s="88"/>
      <c r="N33" s="88"/>
      <c r="O33" s="88"/>
      <c r="P33" s="88"/>
    </row>
    <row r="34" spans="1:16" ht="14.5">
      <c r="A34" s="87" t="s">
        <v>340</v>
      </c>
      <c r="B34" s="87" t="s">
        <v>315</v>
      </c>
      <c r="C34" s="381">
        <v>1</v>
      </c>
      <c r="D34" s="111">
        <f t="shared" si="1"/>
        <v>1</v>
      </c>
      <c r="E34" s="88"/>
      <c r="F34" s="88">
        <f t="shared" si="2"/>
        <v>0</v>
      </c>
      <c r="G34" s="88"/>
      <c r="H34" s="88"/>
      <c r="I34" s="88"/>
      <c r="J34" s="88"/>
      <c r="K34" s="88"/>
      <c r="L34" s="88"/>
      <c r="M34" s="88"/>
      <c r="N34" s="88"/>
      <c r="O34" s="88"/>
      <c r="P34" s="88"/>
    </row>
    <row r="35" spans="1:16" ht="14.5">
      <c r="A35" s="87" t="s">
        <v>341</v>
      </c>
      <c r="B35" s="87" t="s">
        <v>315</v>
      </c>
      <c r="C35" s="381">
        <v>1</v>
      </c>
      <c r="D35" s="111">
        <f t="shared" si="1"/>
        <v>1</v>
      </c>
      <c r="E35" s="88"/>
      <c r="F35" s="88">
        <f t="shared" si="2"/>
        <v>0</v>
      </c>
      <c r="G35" s="88"/>
      <c r="H35" s="88"/>
      <c r="I35" s="88"/>
      <c r="J35" s="88"/>
      <c r="K35" s="88"/>
      <c r="L35" s="88"/>
      <c r="M35" s="88"/>
      <c r="N35" s="88"/>
      <c r="O35" s="88"/>
      <c r="P35" s="88"/>
    </row>
    <row r="36" spans="1:16" ht="14.5">
      <c r="A36" s="87" t="s">
        <v>342</v>
      </c>
      <c r="B36" s="87" t="s">
        <v>315</v>
      </c>
      <c r="C36" s="381">
        <v>2</v>
      </c>
      <c r="D36" s="111">
        <f t="shared" si="1"/>
        <v>0.5</v>
      </c>
      <c r="E36" s="88"/>
      <c r="F36" s="88">
        <f t="shared" si="2"/>
        <v>0</v>
      </c>
      <c r="G36" s="88"/>
      <c r="H36" s="88"/>
      <c r="I36" s="88"/>
      <c r="J36" s="88"/>
      <c r="K36" s="88"/>
      <c r="L36" s="88"/>
      <c r="M36" s="88"/>
      <c r="N36" s="88"/>
      <c r="O36" s="88"/>
      <c r="P36" s="88"/>
    </row>
    <row r="37" spans="1:16" ht="14.5">
      <c r="A37" s="87" t="s">
        <v>343</v>
      </c>
      <c r="B37" s="87" t="s">
        <v>315</v>
      </c>
      <c r="C37" s="381">
        <v>3</v>
      </c>
      <c r="D37" s="111">
        <f t="shared" si="1"/>
        <v>0.33333333333333331</v>
      </c>
      <c r="E37" s="88"/>
      <c r="F37" s="88">
        <f t="shared" si="2"/>
        <v>0</v>
      </c>
      <c r="G37" s="88"/>
      <c r="H37" s="88"/>
      <c r="I37" s="88"/>
      <c r="J37" s="88"/>
      <c r="K37" s="88"/>
      <c r="L37" s="88"/>
      <c r="M37" s="88"/>
      <c r="N37" s="88"/>
      <c r="O37" s="88"/>
      <c r="P37" s="88"/>
    </row>
    <row r="38" spans="1:16" ht="14.5">
      <c r="A38" s="87" t="s">
        <v>344</v>
      </c>
      <c r="B38" s="87" t="s">
        <v>315</v>
      </c>
      <c r="C38" s="381">
        <v>3</v>
      </c>
      <c r="D38" s="111">
        <f t="shared" si="1"/>
        <v>0.33333333333333331</v>
      </c>
      <c r="E38" s="88"/>
      <c r="F38" s="88">
        <f t="shared" si="2"/>
        <v>0</v>
      </c>
      <c r="G38" s="88"/>
      <c r="H38" s="88"/>
      <c r="I38" s="88"/>
      <c r="J38" s="88"/>
      <c r="K38" s="88"/>
      <c r="L38" s="88"/>
      <c r="M38" s="88"/>
      <c r="N38" s="88"/>
      <c r="O38" s="88"/>
      <c r="P38" s="88"/>
    </row>
    <row r="39" spans="1:16" ht="14.5">
      <c r="A39" s="382" t="s">
        <v>345</v>
      </c>
      <c r="B39" s="87" t="s">
        <v>315</v>
      </c>
      <c r="C39" s="381">
        <v>6</v>
      </c>
      <c r="D39" s="111">
        <f t="shared" si="1"/>
        <v>0.16666666666666666</v>
      </c>
      <c r="E39" s="88"/>
      <c r="F39" s="88">
        <f t="shared" si="2"/>
        <v>0</v>
      </c>
      <c r="G39" s="88"/>
      <c r="H39" s="88"/>
      <c r="I39" s="88"/>
      <c r="J39" s="88"/>
      <c r="K39" s="88"/>
      <c r="L39" s="88"/>
      <c r="M39" s="88"/>
      <c r="N39" s="88"/>
      <c r="O39" s="88"/>
      <c r="P39" s="88"/>
    </row>
    <row r="40" spans="1:16" ht="14.5">
      <c r="A40" s="87" t="s">
        <v>346</v>
      </c>
      <c r="B40" s="87" t="s">
        <v>347</v>
      </c>
      <c r="C40" s="381">
        <v>3</v>
      </c>
      <c r="D40" s="111">
        <f t="shared" si="1"/>
        <v>0.33333333333333331</v>
      </c>
      <c r="E40" s="88"/>
      <c r="F40" s="88">
        <f t="shared" si="2"/>
        <v>0</v>
      </c>
      <c r="G40" s="88"/>
      <c r="H40" s="88"/>
      <c r="I40" s="88"/>
      <c r="J40" s="88"/>
      <c r="K40" s="88"/>
      <c r="L40" s="88"/>
      <c r="M40" s="88"/>
      <c r="N40" s="88"/>
      <c r="O40" s="88"/>
      <c r="P40" s="88"/>
    </row>
    <row r="41" spans="1:16" ht="14.5">
      <c r="A41" s="87" t="s">
        <v>348</v>
      </c>
      <c r="B41" s="87" t="s">
        <v>315</v>
      </c>
      <c r="C41" s="381">
        <v>6</v>
      </c>
      <c r="D41" s="111">
        <f t="shared" si="1"/>
        <v>0.16666666666666666</v>
      </c>
      <c r="E41" s="88"/>
      <c r="F41" s="88">
        <f t="shared" si="2"/>
        <v>0</v>
      </c>
      <c r="G41" s="88"/>
      <c r="H41" s="88"/>
      <c r="I41" s="88"/>
      <c r="J41" s="88"/>
      <c r="K41" s="88"/>
      <c r="L41" s="88"/>
      <c r="M41" s="88"/>
      <c r="N41" s="88"/>
      <c r="O41" s="88"/>
      <c r="P41" s="88"/>
    </row>
    <row r="42" spans="1:16" ht="14.5">
      <c r="A42" s="87" t="s">
        <v>349</v>
      </c>
      <c r="B42" s="87" t="s">
        <v>315</v>
      </c>
      <c r="C42" s="381">
        <v>8</v>
      </c>
      <c r="D42" s="111">
        <f t="shared" si="1"/>
        <v>0.125</v>
      </c>
      <c r="E42" s="88"/>
      <c r="F42" s="88">
        <f t="shared" si="2"/>
        <v>0</v>
      </c>
      <c r="G42" s="88"/>
      <c r="H42" s="88"/>
      <c r="I42" s="88"/>
      <c r="J42" s="88"/>
      <c r="K42" s="88"/>
      <c r="L42" s="88"/>
      <c r="M42" s="88"/>
      <c r="N42" s="88"/>
      <c r="O42" s="88"/>
      <c r="P42" s="88"/>
    </row>
    <row r="43" spans="1:16" ht="14.5">
      <c r="A43" s="87" t="s">
        <v>350</v>
      </c>
      <c r="B43" s="87" t="s">
        <v>315</v>
      </c>
      <c r="C43" s="381">
        <v>2</v>
      </c>
      <c r="D43" s="111">
        <f t="shared" si="1"/>
        <v>0.5</v>
      </c>
      <c r="E43" s="88"/>
      <c r="F43" s="88">
        <f t="shared" si="2"/>
        <v>0</v>
      </c>
      <c r="G43" s="88"/>
      <c r="H43" s="88"/>
      <c r="I43" s="88"/>
      <c r="J43" s="88"/>
      <c r="K43" s="88"/>
      <c r="L43" s="88"/>
      <c r="M43" s="88"/>
      <c r="N43" s="88"/>
      <c r="O43" s="88"/>
      <c r="P43" s="88"/>
    </row>
    <row r="44" spans="1:16" ht="14.5">
      <c r="A44" s="87" t="s">
        <v>351</v>
      </c>
      <c r="B44" s="87" t="s">
        <v>315</v>
      </c>
      <c r="C44" s="381">
        <v>4</v>
      </c>
      <c r="D44" s="111">
        <f t="shared" si="1"/>
        <v>0.25</v>
      </c>
      <c r="E44" s="88"/>
      <c r="F44" s="88">
        <f t="shared" si="2"/>
        <v>0</v>
      </c>
      <c r="G44" s="88"/>
      <c r="H44" s="88"/>
      <c r="I44" s="88"/>
      <c r="J44" s="88"/>
      <c r="K44" s="88"/>
      <c r="L44" s="88"/>
      <c r="M44" s="88"/>
      <c r="N44" s="88"/>
      <c r="O44" s="88"/>
      <c r="P44" s="88"/>
    </row>
    <row r="45" spans="1:16" ht="14.5">
      <c r="A45" s="87" t="s">
        <v>352</v>
      </c>
      <c r="B45" s="87" t="s">
        <v>315</v>
      </c>
      <c r="C45" s="381">
        <v>2</v>
      </c>
      <c r="D45" s="111">
        <f t="shared" si="1"/>
        <v>0.5</v>
      </c>
      <c r="E45" s="88"/>
      <c r="F45" s="88">
        <f t="shared" si="2"/>
        <v>0</v>
      </c>
      <c r="G45" s="88"/>
      <c r="H45" s="88"/>
      <c r="I45" s="88"/>
      <c r="J45" s="88"/>
      <c r="K45" s="88"/>
      <c r="L45" s="88"/>
      <c r="M45" s="88"/>
      <c r="N45" s="88"/>
      <c r="O45" s="88"/>
      <c r="P45" s="88"/>
    </row>
    <row r="46" spans="1:16" ht="14.5">
      <c r="A46" s="87" t="s">
        <v>353</v>
      </c>
      <c r="B46" s="87" t="s">
        <v>315</v>
      </c>
      <c r="C46" s="381">
        <v>8</v>
      </c>
      <c r="D46" s="111">
        <f t="shared" si="1"/>
        <v>0.125</v>
      </c>
      <c r="E46" s="88"/>
      <c r="F46" s="88">
        <f t="shared" ref="F46:F58" si="3">+D46*E46</f>
        <v>0</v>
      </c>
      <c r="G46" s="88"/>
      <c r="H46" s="88"/>
      <c r="I46" s="88"/>
      <c r="J46" s="88"/>
      <c r="K46" s="88"/>
      <c r="L46" s="88"/>
      <c r="M46" s="88"/>
      <c r="N46" s="88"/>
      <c r="O46" s="88"/>
      <c r="P46" s="88"/>
    </row>
    <row r="47" spans="1:16" ht="14.5">
      <c r="A47" s="87" t="s">
        <v>354</v>
      </c>
      <c r="B47" s="87" t="s">
        <v>355</v>
      </c>
      <c r="C47" s="381">
        <v>12</v>
      </c>
      <c r="D47" s="111">
        <f t="shared" si="1"/>
        <v>8.3333333333333329E-2</v>
      </c>
      <c r="E47" s="88"/>
      <c r="F47" s="88">
        <f t="shared" si="3"/>
        <v>0</v>
      </c>
      <c r="G47" s="88"/>
      <c r="H47" s="88"/>
      <c r="I47" s="88"/>
      <c r="J47" s="88"/>
      <c r="K47" s="88"/>
      <c r="L47" s="88"/>
      <c r="M47" s="88"/>
      <c r="N47" s="88"/>
      <c r="O47" s="88"/>
      <c r="P47" s="88"/>
    </row>
    <row r="48" spans="1:16" ht="14.5">
      <c r="A48" s="87" t="s">
        <v>356</v>
      </c>
      <c r="B48" s="87" t="s">
        <v>315</v>
      </c>
      <c r="C48" s="381">
        <v>3</v>
      </c>
      <c r="D48" s="111">
        <f t="shared" si="1"/>
        <v>0.33333333333333331</v>
      </c>
      <c r="E48" s="88"/>
      <c r="F48" s="88">
        <f t="shared" si="3"/>
        <v>0</v>
      </c>
      <c r="G48" s="88"/>
      <c r="H48" s="88"/>
      <c r="I48" s="88"/>
      <c r="J48" s="88"/>
      <c r="K48" s="88"/>
      <c r="L48" s="88"/>
      <c r="M48" s="88"/>
      <c r="N48" s="88"/>
      <c r="O48" s="88"/>
      <c r="P48" s="88"/>
    </row>
    <row r="49" spans="1:16" ht="14.5">
      <c r="A49" s="87" t="s">
        <v>357</v>
      </c>
      <c r="B49" s="87" t="s">
        <v>315</v>
      </c>
      <c r="C49" s="381">
        <v>2</v>
      </c>
      <c r="D49" s="111">
        <f t="shared" si="1"/>
        <v>0.5</v>
      </c>
      <c r="E49" s="88"/>
      <c r="F49" s="88">
        <f t="shared" si="3"/>
        <v>0</v>
      </c>
      <c r="G49" s="88"/>
      <c r="H49" s="88"/>
      <c r="I49" s="88"/>
      <c r="J49" s="88"/>
      <c r="K49" s="88"/>
      <c r="L49" s="88"/>
      <c r="M49" s="88"/>
      <c r="N49" s="88"/>
      <c r="O49" s="88"/>
      <c r="P49" s="88"/>
    </row>
    <row r="50" spans="1:16" ht="14.5">
      <c r="A50" s="87" t="s">
        <v>358</v>
      </c>
      <c r="B50" s="87" t="s">
        <v>315</v>
      </c>
      <c r="C50" s="381">
        <v>3</v>
      </c>
      <c r="D50" s="111">
        <f t="shared" si="1"/>
        <v>0.33333333333333331</v>
      </c>
      <c r="E50" s="88"/>
      <c r="F50" s="88">
        <f t="shared" si="3"/>
        <v>0</v>
      </c>
      <c r="G50" s="88"/>
      <c r="H50" s="88"/>
      <c r="I50" s="88"/>
      <c r="J50" s="88"/>
      <c r="K50" s="88"/>
      <c r="L50" s="88"/>
      <c r="M50" s="88"/>
      <c r="N50" s="88"/>
      <c r="O50" s="88"/>
      <c r="P50" s="88"/>
    </row>
    <row r="51" spans="1:16" ht="14.5">
      <c r="A51" s="87" t="s">
        <v>359</v>
      </c>
      <c r="B51" s="87" t="s">
        <v>360</v>
      </c>
      <c r="C51" s="381">
        <v>5</v>
      </c>
      <c r="D51" s="111">
        <f t="shared" si="1"/>
        <v>0.2</v>
      </c>
      <c r="E51" s="88"/>
      <c r="F51" s="88">
        <f t="shared" si="3"/>
        <v>0</v>
      </c>
      <c r="G51" s="88"/>
      <c r="H51" s="88"/>
      <c r="I51" s="88"/>
      <c r="J51" s="88"/>
      <c r="K51" s="88"/>
      <c r="L51" s="88"/>
      <c r="M51" s="88"/>
      <c r="N51" s="88"/>
      <c r="O51" s="88"/>
      <c r="P51" s="88"/>
    </row>
    <row r="52" spans="1:16" ht="14.5">
      <c r="A52" s="87" t="s">
        <v>361</v>
      </c>
      <c r="B52" s="87" t="s">
        <v>355</v>
      </c>
      <c r="C52" s="381">
        <v>4</v>
      </c>
      <c r="D52" s="111">
        <f t="shared" si="1"/>
        <v>0.25</v>
      </c>
      <c r="E52" s="88"/>
      <c r="F52" s="88">
        <f t="shared" si="3"/>
        <v>0</v>
      </c>
      <c r="G52" s="88"/>
      <c r="H52" s="88"/>
      <c r="I52" s="88"/>
      <c r="J52" s="88"/>
      <c r="K52" s="88"/>
      <c r="L52" s="88"/>
      <c r="M52" s="88"/>
      <c r="N52" s="88"/>
      <c r="O52" s="88"/>
      <c r="P52" s="88"/>
    </row>
    <row r="53" spans="1:16" ht="14.5">
      <c r="A53" s="87" t="s">
        <v>362</v>
      </c>
      <c r="B53" s="87" t="s">
        <v>355</v>
      </c>
      <c r="C53" s="381">
        <v>12</v>
      </c>
      <c r="D53" s="111">
        <f t="shared" si="1"/>
        <v>8.3333333333333329E-2</v>
      </c>
      <c r="E53" s="88"/>
      <c r="F53" s="88">
        <f t="shared" si="3"/>
        <v>0</v>
      </c>
      <c r="G53" s="88"/>
      <c r="H53" s="88"/>
      <c r="I53" s="88"/>
      <c r="J53" s="88"/>
      <c r="K53" s="88"/>
      <c r="L53" s="88"/>
      <c r="M53" s="88"/>
      <c r="N53" s="88"/>
      <c r="O53" s="88"/>
      <c r="P53" s="88"/>
    </row>
    <row r="54" spans="1:16" ht="14.5">
      <c r="A54" s="87" t="s">
        <v>363</v>
      </c>
      <c r="B54" s="87" t="s">
        <v>360</v>
      </c>
      <c r="C54" s="381">
        <v>8</v>
      </c>
      <c r="D54" s="111">
        <f t="shared" si="1"/>
        <v>0.125</v>
      </c>
      <c r="E54" s="88"/>
      <c r="F54" s="88">
        <f t="shared" si="3"/>
        <v>0</v>
      </c>
      <c r="G54" s="88"/>
      <c r="H54" s="88"/>
      <c r="I54" s="88"/>
      <c r="J54" s="88"/>
      <c r="K54" s="88"/>
      <c r="L54" s="88"/>
      <c r="M54" s="88"/>
      <c r="N54" s="88"/>
      <c r="O54" s="88"/>
      <c r="P54" s="88"/>
    </row>
    <row r="55" spans="1:16" ht="14.5">
      <c r="A55" s="87" t="s">
        <v>364</v>
      </c>
      <c r="B55" s="87" t="s">
        <v>360</v>
      </c>
      <c r="C55" s="381">
        <v>8</v>
      </c>
      <c r="D55" s="111">
        <f t="shared" si="1"/>
        <v>0.125</v>
      </c>
      <c r="E55" s="88"/>
      <c r="F55" s="88">
        <f t="shared" si="3"/>
        <v>0</v>
      </c>
      <c r="G55" s="88"/>
      <c r="H55" s="88"/>
      <c r="I55" s="88"/>
      <c r="J55" s="88"/>
      <c r="K55" s="88"/>
      <c r="L55" s="88"/>
      <c r="M55" s="88"/>
      <c r="N55" s="88"/>
      <c r="O55" s="88"/>
      <c r="P55" s="88"/>
    </row>
    <row r="56" spans="1:16" ht="14.5">
      <c r="A56" s="87" t="s">
        <v>365</v>
      </c>
      <c r="B56" s="87" t="s">
        <v>366</v>
      </c>
      <c r="C56" s="381">
        <v>250</v>
      </c>
      <c r="D56" s="111">
        <f t="shared" si="1"/>
        <v>4.0000000000000001E-3</v>
      </c>
      <c r="E56" s="88"/>
      <c r="F56" s="88">
        <f t="shared" si="3"/>
        <v>0</v>
      </c>
      <c r="G56" s="88"/>
      <c r="H56" s="88"/>
      <c r="I56" s="88"/>
      <c r="J56" s="88"/>
      <c r="K56" s="88"/>
      <c r="L56" s="88"/>
      <c r="M56" s="88"/>
      <c r="N56" s="88"/>
      <c r="O56" s="88"/>
      <c r="P56" s="88"/>
    </row>
    <row r="57" spans="1:16" ht="14.5">
      <c r="A57" s="87" t="s">
        <v>367</v>
      </c>
      <c r="B57" s="87" t="s">
        <v>315</v>
      </c>
      <c r="C57" s="381">
        <v>1</v>
      </c>
      <c r="D57" s="111">
        <f t="shared" si="1"/>
        <v>1</v>
      </c>
      <c r="E57" s="88"/>
      <c r="F57" s="88">
        <f t="shared" si="3"/>
        <v>0</v>
      </c>
      <c r="G57" s="88"/>
      <c r="H57" s="88"/>
      <c r="I57" s="88"/>
      <c r="J57" s="88"/>
      <c r="K57" s="88"/>
      <c r="L57" s="88"/>
      <c r="M57" s="88"/>
      <c r="N57" s="88"/>
      <c r="O57" s="88"/>
      <c r="P57" s="88"/>
    </row>
    <row r="58" spans="1:16" ht="14.5">
      <c r="A58" s="87" t="s">
        <v>368</v>
      </c>
      <c r="B58" s="87" t="s">
        <v>366</v>
      </c>
      <c r="C58" s="381">
        <v>40</v>
      </c>
      <c r="D58" s="111">
        <f t="shared" si="1"/>
        <v>2.5000000000000001E-2</v>
      </c>
      <c r="E58" s="88"/>
      <c r="F58" s="88">
        <f t="shared" si="3"/>
        <v>0</v>
      </c>
      <c r="G58" s="88"/>
      <c r="H58" s="88"/>
      <c r="I58" s="88"/>
      <c r="J58" s="88"/>
      <c r="K58" s="88"/>
      <c r="L58" s="88"/>
      <c r="M58" s="88"/>
      <c r="N58" s="88"/>
      <c r="O58" s="88"/>
      <c r="P58" s="88"/>
    </row>
    <row r="59" spans="1:16" ht="14.5">
      <c r="A59" s="87"/>
      <c r="B59" s="87"/>
      <c r="C59" s="381"/>
      <c r="D59" s="111"/>
      <c r="E59" s="88"/>
      <c r="F59" s="88"/>
      <c r="G59" s="88"/>
      <c r="H59" s="88"/>
      <c r="I59" s="88"/>
      <c r="J59" s="88"/>
      <c r="K59" s="88"/>
      <c r="L59" s="88"/>
      <c r="M59" s="88"/>
      <c r="N59" s="88"/>
      <c r="O59" s="88"/>
      <c r="P59" s="88"/>
    </row>
    <row r="60" spans="1:16" ht="14.5">
      <c r="A60" s="87"/>
      <c r="B60" s="87"/>
      <c r="C60" s="381"/>
      <c r="D60" s="111"/>
      <c r="E60" s="88"/>
      <c r="F60" s="88"/>
      <c r="G60" s="88"/>
      <c r="H60" s="88"/>
      <c r="I60" s="88"/>
      <c r="J60" s="88"/>
      <c r="K60" s="88"/>
      <c r="L60" s="88"/>
      <c r="M60" s="88"/>
      <c r="N60" s="88"/>
      <c r="O60" s="88"/>
      <c r="P60" s="88"/>
    </row>
    <row r="61" spans="1:16" ht="14.5">
      <c r="A61" s="87"/>
      <c r="B61" s="87"/>
      <c r="C61" s="381"/>
      <c r="D61" s="111"/>
      <c r="E61" s="88"/>
      <c r="F61" s="88"/>
      <c r="G61" s="88"/>
      <c r="H61" s="88"/>
      <c r="I61" s="88"/>
      <c r="J61" s="88"/>
      <c r="K61" s="88"/>
      <c r="L61" s="88"/>
      <c r="M61" s="88"/>
      <c r="N61" s="88"/>
      <c r="O61" s="88"/>
      <c r="P61" s="88"/>
    </row>
    <row r="62" spans="1:16" ht="12" customHeight="1">
      <c r="A62" s="87" t="s">
        <v>369</v>
      </c>
      <c r="B62" s="88"/>
      <c r="C62" s="88"/>
      <c r="D62" s="88"/>
      <c r="E62" s="88"/>
      <c r="F62" s="88"/>
      <c r="G62" s="88"/>
      <c r="H62" s="88"/>
      <c r="I62" s="88"/>
      <c r="J62" s="88"/>
      <c r="K62" s="88"/>
      <c r="L62" s="88"/>
      <c r="M62" s="88"/>
      <c r="N62" s="88"/>
      <c r="O62" s="88"/>
      <c r="P62" s="88"/>
    </row>
    <row r="63" spans="1:16">
      <c r="A63" s="87" t="s">
        <v>370</v>
      </c>
      <c r="B63" s="88"/>
      <c r="C63" s="88"/>
      <c r="D63" s="88"/>
      <c r="E63" s="88"/>
      <c r="F63" s="88"/>
      <c r="G63" s="88"/>
      <c r="H63" s="88"/>
      <c r="I63" s="88"/>
      <c r="J63" s="88"/>
      <c r="K63" s="88"/>
      <c r="L63" s="88"/>
      <c r="M63" s="88"/>
      <c r="N63" s="88"/>
      <c r="O63" s="88"/>
      <c r="P63" s="88"/>
    </row>
  </sheetData>
  <mergeCells count="12">
    <mergeCell ref="A24:C24"/>
    <mergeCell ref="A11:D11"/>
    <mergeCell ref="A4:C4"/>
    <mergeCell ref="A5:C5"/>
    <mergeCell ref="A1:C2"/>
    <mergeCell ref="M28:N28"/>
    <mergeCell ref="O28:P28"/>
    <mergeCell ref="A27:P27"/>
    <mergeCell ref="E28:F28"/>
    <mergeCell ref="G28:H28"/>
    <mergeCell ref="I28:J28"/>
    <mergeCell ref="K28:L28"/>
  </mergeCells>
  <pageMargins left="0.7" right="0.7" top="0.75" bottom="0.75" header="0.3" footer="0.3"/>
  <legacy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9" tint="0.59999389629810485"/>
    <pageSetUpPr fitToPage="1"/>
  </sheetPr>
  <dimension ref="A1:I40"/>
  <sheetViews>
    <sheetView view="pageBreakPreview" topLeftCell="B1" zoomScale="90" zoomScaleNormal="100" zoomScaleSheetLayoutView="90" workbookViewId="0">
      <selection activeCell="D25" sqref="D25"/>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2.1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KW'!A39,", ",'PRES MR 10 KW'!A39,", ",'PRES MR 15 KW'!A39)</f>
        <v>ITEM:  2.5.4, 3.5.4, 4.5.4</v>
      </c>
      <c r="C3" s="1728"/>
      <c r="D3" s="1728"/>
      <c r="E3" s="1728"/>
      <c r="F3" s="1728"/>
      <c r="G3" s="6" t="s">
        <v>1229</v>
      </c>
      <c r="H3" s="7"/>
    </row>
    <row r="4" spans="1:9" ht="78.75" customHeight="1">
      <c r="B4" s="1722" t="str">
        <f>+'PRES MR 5 KW'!B39</f>
        <v>Suministro, transporte e instalación de canalización subterranea en tuberías tipo PVC de 2x2'' con acometida en cable #2 y #2  THWN-2 AWG (entre contenedor y usuarios- 1 tubo de reserva). Incluye poliuretano expansivo y soldadura de PVC</v>
      </c>
      <c r="C4" s="1723"/>
      <c r="D4" s="1724"/>
      <c r="E4" s="328"/>
      <c r="G4" s="8" t="str">
        <f>+'PRES MR 5 KW'!C39</f>
        <v>ML</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106</v>
      </c>
      <c r="B8" s="122" t="str">
        <f>VLOOKUP(A8,Materiales[],3,FALSE)</f>
        <v>Conduit pvc tipo A - 2"</v>
      </c>
      <c r="C8" s="121" t="str">
        <f>VLOOKUP(A8,Materiales[],4,FALSE)</f>
        <v>ML</v>
      </c>
      <c r="D8" s="118">
        <v>2</v>
      </c>
      <c r="E8" s="329">
        <f>VLOOKUP(A8,Materiales[],5,FALSE)*D8</f>
        <v>1.4000000000000001</v>
      </c>
      <c r="F8" s="123">
        <f>VLOOKUP(A8,Materiales[],6,FALSE)</f>
        <v>17903</v>
      </c>
      <c r="G8" s="123">
        <f>ROUND(D8*F8,0)</f>
        <v>35806</v>
      </c>
      <c r="I8" s="33"/>
    </row>
    <row r="9" spans="1:9" ht="14.5">
      <c r="A9" s="125">
        <v>107</v>
      </c>
      <c r="B9" s="122" t="str">
        <f>VLOOKUP(A9,Materiales[],3,FALSE)</f>
        <v>Soldadura PVC</v>
      </c>
      <c r="C9" s="121" t="str">
        <f>VLOOKUP(A9,Materiales[],4,FALSE)</f>
        <v>UN</v>
      </c>
      <c r="D9" s="333">
        <v>0.02</v>
      </c>
      <c r="E9" s="329">
        <f>VLOOKUP(A9,Materiales[],5,FALSE)*D9</f>
        <v>1.72E-2</v>
      </c>
      <c r="F9" s="123">
        <f>VLOOKUP(A9,Materiales[],6,FALSE)</f>
        <v>84547</v>
      </c>
      <c r="G9" s="123">
        <f t="shared" ref="G9:G14" si="0">ROUND(D9*F9,0)</f>
        <v>1691</v>
      </c>
      <c r="I9" s="33"/>
    </row>
    <row r="10" spans="1:9" ht="14.5">
      <c r="A10" s="125">
        <v>108</v>
      </c>
      <c r="B10" s="122" t="str">
        <f>VLOOKUP(A10,Materiales[],3,FALSE)</f>
        <v>Curva PVC 2"</v>
      </c>
      <c r="C10" s="121" t="str">
        <f>VLOOKUP(A10,Materiales[],4,FALSE)</f>
        <v>UN</v>
      </c>
      <c r="D10" s="333">
        <v>0.04</v>
      </c>
      <c r="E10" s="329">
        <f>VLOOKUP(A10,Materiales[],5,FALSE)*D10</f>
        <v>8.0000000000000002E-3</v>
      </c>
      <c r="F10" s="123">
        <f>VLOOKUP(A10,Materiales[],6,FALSE)</f>
        <v>7819</v>
      </c>
      <c r="G10" s="123">
        <f t="shared" si="0"/>
        <v>313</v>
      </c>
      <c r="I10" s="33"/>
    </row>
    <row r="11" spans="1:9" ht="14.5">
      <c r="A11" s="125">
        <v>109</v>
      </c>
      <c r="B11" s="122" t="str">
        <f>VLOOKUP(A11,Materiales[],3,FALSE)</f>
        <v>Union PVC 2"</v>
      </c>
      <c r="C11" s="121" t="str">
        <f>VLOOKUP(A11,Materiales[],4,FALSE)</f>
        <v>UN</v>
      </c>
      <c r="D11" s="333">
        <v>0.33</v>
      </c>
      <c r="E11" s="329">
        <f>VLOOKUP(A11,Materiales[],5,FALSE)*D11</f>
        <v>6.6000000000000003E-2</v>
      </c>
      <c r="F11" s="123">
        <f>VLOOKUP(A11,Materiales[],6,FALSE)</f>
        <v>27077</v>
      </c>
      <c r="G11" s="123">
        <f t="shared" si="0"/>
        <v>8935</v>
      </c>
      <c r="I11" s="33"/>
    </row>
    <row r="12" spans="1:9" ht="14.5">
      <c r="A12" s="125">
        <v>110</v>
      </c>
      <c r="B12" s="122" t="str">
        <f>VLOOKUP(A12,Materiales[],3,FALSE)</f>
        <v>Cinta amarilla</v>
      </c>
      <c r="C12" s="121" t="str">
        <f>VLOOKUP(A12,Materiales[],4,FALSE)</f>
        <v>ML</v>
      </c>
      <c r="D12" s="118">
        <v>1</v>
      </c>
      <c r="E12" s="329">
        <f>VLOOKUP(A12,Materiales[],5,FALSE)*D12</f>
        <v>0.01</v>
      </c>
      <c r="F12" s="123">
        <f>VLOOKUP(A12,Materiales[],6,FALSE)</f>
        <v>644</v>
      </c>
      <c r="G12" s="123">
        <f t="shared" si="0"/>
        <v>644</v>
      </c>
      <c r="I12" s="33"/>
    </row>
    <row r="13" spans="1:9" ht="14.5">
      <c r="A13" s="125">
        <v>111</v>
      </c>
      <c r="B13" s="122" t="str">
        <f>VLOOKUP(A13,Materiales[],3,FALSE)</f>
        <v>Cinta roja</v>
      </c>
      <c r="C13" s="121" t="str">
        <f>VLOOKUP(A13,Materiales[],4,FALSE)</f>
        <v>ML</v>
      </c>
      <c r="D13" s="118">
        <v>1</v>
      </c>
      <c r="E13" s="329">
        <f>VLOOKUP(A13,Materiales[],5,FALSE)*D13</f>
        <v>0.01</v>
      </c>
      <c r="F13" s="123">
        <f>VLOOKUP(A13,Materiales[],6,FALSE)</f>
        <v>644</v>
      </c>
      <c r="G13" s="123">
        <f t="shared" si="0"/>
        <v>644</v>
      </c>
      <c r="I13" s="33"/>
    </row>
    <row r="14" spans="1:9" ht="14.5">
      <c r="A14" s="125">
        <v>113</v>
      </c>
      <c r="B14" s="122" t="str">
        <f>VLOOKUP(A14,Materiales[],3,FALSE)</f>
        <v>Cable Al Multiplex Triplex 2x2 + 2 THWN</v>
      </c>
      <c r="C14" s="121" t="str">
        <f>VLOOKUP(A14,Materiales[],4,FALSE)</f>
        <v>ML</v>
      </c>
      <c r="D14" s="366">
        <v>1.05</v>
      </c>
      <c r="E14" s="329">
        <f>VLOOKUP(A14,Materiales[],5,FALSE)*D14</f>
        <v>0.67200000000000004</v>
      </c>
      <c r="F14" s="123">
        <f>VLOOKUP(A14,Materiales[],6,FALSE)</f>
        <v>17308</v>
      </c>
      <c r="G14" s="123">
        <f t="shared" si="0"/>
        <v>18173</v>
      </c>
      <c r="I14" s="33"/>
    </row>
    <row r="15" spans="1:9" ht="14.5">
      <c r="A15" s="125"/>
      <c r="B15" s="122"/>
      <c r="C15" s="121"/>
      <c r="D15" s="366"/>
      <c r="E15" s="329"/>
      <c r="F15" s="123"/>
      <c r="G15" s="123"/>
      <c r="I15" s="33"/>
    </row>
    <row r="16" spans="1:9" ht="13">
      <c r="D16" s="18"/>
      <c r="E16" s="18"/>
      <c r="F16" s="29" t="s">
        <v>1220</v>
      </c>
      <c r="G16" s="42">
        <f>SUM(G8:G15)</f>
        <v>66206</v>
      </c>
    </row>
    <row r="18" spans="1:9" ht="13">
      <c r="B18" s="20" t="s">
        <v>1221</v>
      </c>
      <c r="G18" s="39"/>
    </row>
    <row r="19" spans="1:9" ht="13">
      <c r="A19" s="119" t="s">
        <v>184</v>
      </c>
      <c r="B19" s="120" t="s">
        <v>1</v>
      </c>
      <c r="C19" s="13" t="s">
        <v>1231</v>
      </c>
      <c r="D19" s="13" t="s">
        <v>1222</v>
      </c>
      <c r="E19" s="13"/>
      <c r="F19" s="13" t="s">
        <v>307</v>
      </c>
      <c r="G19" s="13" t="s">
        <v>752</v>
      </c>
    </row>
    <row r="20" spans="1:9" ht="14.5">
      <c r="A20" s="125">
        <v>1</v>
      </c>
      <c r="B20" s="122" t="str">
        <f>VLOOKUP(A20,Equip.Herram[],2,FALSE)</f>
        <v>Herramienta menor</v>
      </c>
      <c r="C20" s="15" t="str">
        <f>VLOOKUP(A20,Equip.Herram[],3,FALSE)</f>
        <v>UN</v>
      </c>
      <c r="D20" s="36">
        <f>VLOOKUP(A20,Equip.Herram[],4,FALSE)</f>
        <v>24840</v>
      </c>
      <c r="E20" s="36"/>
      <c r="F20" s="16">
        <f>+RENDIMIENTOS!$C$47</f>
        <v>12</v>
      </c>
      <c r="G20" s="36">
        <f>ROUND(D20/F20,0)</f>
        <v>2070</v>
      </c>
    </row>
    <row r="21" spans="1:9">
      <c r="B21" s="14"/>
      <c r="C21" s="15"/>
      <c r="D21" s="17"/>
      <c r="E21" s="17"/>
      <c r="F21" s="22"/>
      <c r="G21" s="21"/>
    </row>
    <row r="22" spans="1:9">
      <c r="B22" s="14"/>
      <c r="C22" s="15"/>
      <c r="D22" s="17"/>
      <c r="E22" s="17"/>
      <c r="F22" s="22"/>
      <c r="G22" s="21"/>
    </row>
    <row r="23" spans="1:9" ht="13">
      <c r="D23" s="18"/>
      <c r="E23" s="18"/>
      <c r="F23" s="19" t="s">
        <v>1220</v>
      </c>
      <c r="G23" s="37">
        <f>SUM(G20:G22)</f>
        <v>2070</v>
      </c>
    </row>
    <row r="24" spans="1:9" ht="13">
      <c r="D24" s="18"/>
      <c r="E24" s="18"/>
      <c r="F24" s="18"/>
      <c r="G24" s="23"/>
    </row>
    <row r="25" spans="1:9" ht="13">
      <c r="B25" s="11" t="s">
        <v>1223</v>
      </c>
      <c r="G25" s="24"/>
    </row>
    <row r="26" spans="1:9" ht="13">
      <c r="A26" s="119" t="s">
        <v>184</v>
      </c>
      <c r="B26" s="12" t="s">
        <v>1</v>
      </c>
      <c r="C26" s="13" t="s">
        <v>185</v>
      </c>
      <c r="D26" s="13" t="s">
        <v>1230</v>
      </c>
      <c r="E26" s="13"/>
      <c r="F26" s="13" t="s">
        <v>1233</v>
      </c>
      <c r="G26" s="25" t="s">
        <v>752</v>
      </c>
      <c r="I26" s="39"/>
    </row>
    <row r="27" spans="1:9" ht="26.5" hidden="1" customHeight="1">
      <c r="A27" s="125"/>
      <c r="B27" s="122"/>
      <c r="C27" s="27"/>
      <c r="D27" s="333"/>
      <c r="E27" s="118"/>
      <c r="F27" s="142"/>
      <c r="G27" s="35"/>
    </row>
    <row r="28" spans="1:9" ht="13.4" customHeight="1">
      <c r="A28" s="125">
        <v>3</v>
      </c>
      <c r="B28" s="122" t="str">
        <f>VLOOKUP(A28,Transporte[],2,FALSE)</f>
        <v>Carga terrestre Teorama - Comunidades</v>
      </c>
      <c r="C28" s="27" t="s">
        <v>1234</v>
      </c>
      <c r="D28" s="333">
        <f>+SUM(E8:E15)</f>
        <v>2.1832000000000003</v>
      </c>
      <c r="E28" s="118"/>
      <c r="F28" s="142">
        <f>VLOOKUP(A28,Transporte[],7,FALSE)</f>
        <v>1491</v>
      </c>
      <c r="G28" s="35">
        <f>D28*F28</f>
        <v>3255.1512000000002</v>
      </c>
    </row>
    <row r="29" spans="1:9" ht="13">
      <c r="D29" s="18"/>
      <c r="E29" s="18"/>
      <c r="F29" s="29" t="s">
        <v>1220</v>
      </c>
      <c r="G29" s="37">
        <f>SUM(G27:G28)</f>
        <v>3255.1512000000002</v>
      </c>
    </row>
    <row r="30" spans="1:9" ht="13">
      <c r="D30" s="18"/>
      <c r="E30" s="18"/>
      <c r="G30" s="23"/>
    </row>
    <row r="31" spans="1:9" ht="13">
      <c r="B31" s="11" t="s">
        <v>1225</v>
      </c>
      <c r="D31" s="30"/>
      <c r="E31" s="30"/>
      <c r="F31" s="31"/>
      <c r="G31" s="24"/>
    </row>
    <row r="32" spans="1:9" s="18" customFormat="1" ht="13">
      <c r="A32" s="119" t="s">
        <v>184</v>
      </c>
      <c r="B32" s="12" t="s">
        <v>1</v>
      </c>
      <c r="C32" s="13" t="s">
        <v>1226</v>
      </c>
      <c r="D32" s="13" t="s">
        <v>1227</v>
      </c>
      <c r="E32" s="13"/>
      <c r="F32" s="13" t="s">
        <v>307</v>
      </c>
      <c r="G32" s="25" t="s">
        <v>752</v>
      </c>
    </row>
    <row r="33" spans="1:9" ht="14.5">
      <c r="A33" s="125">
        <v>1</v>
      </c>
      <c r="B33" s="122" t="str">
        <f>VLOOKUP(A33,ManoObra[],2,FALSE)</f>
        <v>Electricista</v>
      </c>
      <c r="C33" s="40">
        <f>VLOOKUP(A33,ManoObra[],7,FALSE)</f>
        <v>71863</v>
      </c>
      <c r="D33" s="22">
        <f>FP!$B$28</f>
        <v>1.61</v>
      </c>
      <c r="E33" s="22"/>
      <c r="F33" s="16">
        <f>+RENDIMIENTOS!$C$47</f>
        <v>12</v>
      </c>
      <c r="G33" s="36">
        <f>ROUND(C33*D33/F33,0)</f>
        <v>9642</v>
      </c>
      <c r="I33" s="81"/>
    </row>
    <row r="34" spans="1:9" ht="14.5">
      <c r="A34" s="125">
        <v>2</v>
      </c>
      <c r="B34" s="122" t="str">
        <f>VLOOKUP(A34,ManoObra[],2,FALSE)</f>
        <v>Ayudante</v>
      </c>
      <c r="C34" s="40">
        <f>VLOOKUP(A34,ManoObra[],7,FALSE)</f>
        <v>66050</v>
      </c>
      <c r="D34" s="22">
        <f>FP!$B$28</f>
        <v>1.61</v>
      </c>
      <c r="E34" s="22"/>
      <c r="F34" s="16">
        <f>+RENDIMIENTOS!$C$47</f>
        <v>12</v>
      </c>
      <c r="G34" s="36">
        <f>ROUND(C34*D34/F34,0)</f>
        <v>8862</v>
      </c>
    </row>
    <row r="35" spans="1:9" ht="13">
      <c r="D35" s="18"/>
      <c r="E35" s="18"/>
      <c r="F35" s="29" t="s">
        <v>1220</v>
      </c>
      <c r="G35" s="42">
        <f>SUM(G33:G34)</f>
        <v>18504</v>
      </c>
    </row>
    <row r="36" spans="1:9" ht="13">
      <c r="D36" s="18"/>
      <c r="E36" s="18"/>
      <c r="G36" s="24"/>
    </row>
    <row r="37" spans="1:9" ht="12.75" customHeight="1">
      <c r="A37"/>
      <c r="D37" s="1725" t="s">
        <v>1228</v>
      </c>
      <c r="E37" s="1730"/>
      <c r="F37" s="1726"/>
      <c r="G37" s="38">
        <f>G16+G23+G29+G35</f>
        <v>90035.151199999993</v>
      </c>
    </row>
    <row r="38" spans="1:9" ht="13">
      <c r="A38" s="441"/>
      <c r="B38" s="441"/>
      <c r="D38" s="18"/>
      <c r="E38" s="18"/>
      <c r="F38" s="10"/>
      <c r="G38" s="41"/>
    </row>
    <row r="39" spans="1:9" ht="14">
      <c r="A39" s="442"/>
      <c r="B39" s="840"/>
    </row>
    <row r="40" spans="1:9" ht="42">
      <c r="B40" s="1028" t="s">
        <v>1235</v>
      </c>
    </row>
  </sheetData>
  <mergeCells count="4">
    <mergeCell ref="B3:F3"/>
    <mergeCell ref="B4:D4"/>
    <mergeCell ref="D37:F37"/>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59999389629810485"/>
    <pageSetUpPr fitToPage="1"/>
  </sheetPr>
  <dimension ref="A1:I36"/>
  <sheetViews>
    <sheetView view="pageBreakPreview" zoomScale="80" zoomScaleNormal="100" zoomScaleSheetLayoutView="80" workbookViewId="0">
      <selection activeCell="D40" sqref="D40"/>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0"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KW'!A41,", ",'PRES MR 10 KW'!A41,", ",'PRES MR 15 KW'!A41)</f>
        <v>ITEM:  2.5.6, 3.5.6, 4.5.6</v>
      </c>
      <c r="C3" s="1728"/>
      <c r="D3" s="1728"/>
      <c r="E3" s="1728"/>
      <c r="F3" s="1728"/>
      <c r="G3" s="6" t="s">
        <v>1229</v>
      </c>
      <c r="H3" s="7"/>
    </row>
    <row r="4" spans="1:9" ht="78.75" customHeight="1">
      <c r="B4" s="1722" t="str">
        <f>+'PRES MR 5 KW'!B41</f>
        <v>Suministro e instalación de caja de inspección de BT, Norma CS274-1</v>
      </c>
      <c r="C4" s="1723"/>
      <c r="D4" s="1724"/>
      <c r="E4" s="328"/>
      <c r="G4" s="8" t="str">
        <f>+'PRES MR 5 KW'!C41</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50">
      <c r="A8" s="125">
        <v>114</v>
      </c>
      <c r="B8" s="122" t="str">
        <f>VLOOKUP(A8,Materiales[],3,FALSE)</f>
        <v>Caja de inspección de BT, Norma Codensa CS274-1. Incluye rejilla para drenaje, tubería de desagüe, sellantes, marco metálico en ángulo de (2 1/2" x 2 1/2" x 3/16") y tapa en concreto reforzado.</v>
      </c>
      <c r="C8" s="121" t="str">
        <f>VLOOKUP(A8,Materiales[],4,FALSE)</f>
        <v>UN</v>
      </c>
      <c r="D8" s="118">
        <v>1</v>
      </c>
      <c r="E8" s="329">
        <f>VLOOKUP(A8,Materiales[],5,FALSE)*D8</f>
        <v>150</v>
      </c>
      <c r="F8" s="123">
        <f>VLOOKUP(A8,Materiales[],6,FALSE)</f>
        <v>909650</v>
      </c>
      <c r="G8" s="123">
        <f>ROUND(D8*F8,0)</f>
        <v>909650</v>
      </c>
      <c r="I8" s="33"/>
    </row>
    <row r="9" spans="1:9" ht="25">
      <c r="A9" s="125">
        <v>115</v>
      </c>
      <c r="B9" s="122" t="str">
        <f>VLOOKUP(A9,Materiales[],3,FALSE)</f>
        <v>Barraje Premoldeado Para Baja Tensión Sumergible 500A 6 Puertos</v>
      </c>
      <c r="C9" s="121" t="str">
        <f>VLOOKUP(A9,Materiales[],4,FALSE)</f>
        <v>UN</v>
      </c>
      <c r="D9" s="118">
        <v>3</v>
      </c>
      <c r="E9" s="329">
        <f>VLOOKUP(A9,Materiales[],5,FALSE)*D9</f>
        <v>3</v>
      </c>
      <c r="F9" s="123">
        <f>VLOOKUP(A9,Materiales[],6,FALSE)</f>
        <v>376385</v>
      </c>
      <c r="G9" s="123">
        <f t="shared" ref="G9:G11" si="0">ROUND(D9*F9,0)</f>
        <v>1129155</v>
      </c>
      <c r="I9" s="33"/>
    </row>
    <row r="10" spans="1:9" ht="14.5">
      <c r="A10" s="125">
        <v>116</v>
      </c>
      <c r="B10" s="122" t="str">
        <f>VLOOKUP(A10,Materiales[],3,FALSE)</f>
        <v>Terminal PVC tipo A 2"</v>
      </c>
      <c r="C10" s="121" t="str">
        <f>VLOOKUP(A10,Materiales[],4,FALSE)</f>
        <v>UN</v>
      </c>
      <c r="D10" s="118">
        <v>4</v>
      </c>
      <c r="E10" s="329">
        <f>VLOOKUP(A10,Materiales[],5,FALSE)*D10</f>
        <v>0.4</v>
      </c>
      <c r="F10" s="123">
        <f>VLOOKUP(A10,Materiales[],6,FALSE)</f>
        <v>3640</v>
      </c>
      <c r="G10" s="123">
        <f t="shared" si="0"/>
        <v>14560</v>
      </c>
      <c r="I10" s="33"/>
    </row>
    <row r="11" spans="1:9" ht="14.5">
      <c r="A11" s="125">
        <v>117</v>
      </c>
      <c r="B11" s="122" t="str">
        <f>VLOOKUP(A11,Materiales[],3,FALSE)</f>
        <v>Sellador elástico cortafuego de silicona</v>
      </c>
      <c r="C11" s="121" t="str">
        <f>VLOOKUP(A11,Materiales[],4,FALSE)</f>
        <v>ML</v>
      </c>
      <c r="D11" s="118">
        <v>12</v>
      </c>
      <c r="E11" s="329">
        <f>VLOOKUP(A11,Materiales[],5,FALSE)*D11</f>
        <v>0.12</v>
      </c>
      <c r="F11" s="123">
        <f>VLOOKUP(A11,Materiales[],6,FALSE)</f>
        <v>1490</v>
      </c>
      <c r="G11" s="123">
        <f t="shared" si="0"/>
        <v>17880</v>
      </c>
      <c r="I11" s="33"/>
    </row>
    <row r="12" spans="1:9" ht="13">
      <c r="D12" s="18"/>
      <c r="E12" s="18"/>
      <c r="F12" s="29" t="s">
        <v>1220</v>
      </c>
      <c r="G12" s="42">
        <f>SUM(G8:G11)</f>
        <v>2071245</v>
      </c>
    </row>
    <row r="14" spans="1:9" ht="13">
      <c r="B14" s="20" t="s">
        <v>1221</v>
      </c>
      <c r="G14" s="39"/>
    </row>
    <row r="15" spans="1:9" ht="13">
      <c r="A15" s="119" t="s">
        <v>184</v>
      </c>
      <c r="B15" s="120" t="s">
        <v>1</v>
      </c>
      <c r="C15" s="13" t="s">
        <v>1231</v>
      </c>
      <c r="D15" s="13" t="s">
        <v>1222</v>
      </c>
      <c r="E15" s="13"/>
      <c r="F15" s="13" t="s">
        <v>307</v>
      </c>
      <c r="G15" s="13" t="s">
        <v>752</v>
      </c>
    </row>
    <row r="16" spans="1:9" ht="25">
      <c r="A16" s="125">
        <v>12</v>
      </c>
      <c r="B16" s="122" t="str">
        <f>VLOOKUP(A16,Equip.Herram[],2,FALSE)</f>
        <v>Compactador manual (saltarín) peso de operación (kg.) 52, fuerza de impacto por golpe (KN) 12</v>
      </c>
      <c r="C16" s="15" t="str">
        <f>VLOOKUP(A16,Equip.Herram[],3,FALSE)</f>
        <v>HORA</v>
      </c>
      <c r="D16" s="36">
        <f>VLOOKUP(A16,Equip.Herram[],4,FALSE)</f>
        <v>13379</v>
      </c>
      <c r="E16" s="36"/>
      <c r="F16" s="16">
        <v>2</v>
      </c>
      <c r="G16" s="36">
        <f>ROUND(D16/F16,0)</f>
        <v>6690</v>
      </c>
    </row>
    <row r="17" spans="1:9" ht="14.5">
      <c r="A17" s="125">
        <v>1</v>
      </c>
      <c r="B17" s="122" t="str">
        <f>VLOOKUP(A17,Equip.Herram[],2,FALSE)</f>
        <v>Herramienta menor</v>
      </c>
      <c r="C17" s="15" t="str">
        <f>VLOOKUP(A17,Equip.Herram[],3,FALSE)</f>
        <v>UN</v>
      </c>
      <c r="D17" s="36">
        <f>VLOOKUP(A17,Equip.Herram[],4,FALSE)</f>
        <v>24840</v>
      </c>
      <c r="E17" s="36"/>
      <c r="F17" s="16">
        <v>15</v>
      </c>
      <c r="G17" s="36">
        <f>ROUND(D17/F17,0)</f>
        <v>1656</v>
      </c>
    </row>
    <row r="18" spans="1:9">
      <c r="B18" s="14"/>
      <c r="C18" s="15"/>
      <c r="D18" s="17"/>
      <c r="E18" s="17"/>
      <c r="F18" s="22"/>
      <c r="G18" s="21"/>
    </row>
    <row r="19" spans="1:9" ht="13">
      <c r="D19" s="18"/>
      <c r="E19" s="18"/>
      <c r="F19" s="19" t="s">
        <v>1220</v>
      </c>
      <c r="G19" s="37">
        <f>SUM(G16:G18)</f>
        <v>8346</v>
      </c>
    </row>
    <row r="20" spans="1:9" ht="13">
      <c r="D20" s="18"/>
      <c r="E20" s="18"/>
      <c r="F20" s="18"/>
      <c r="G20" s="23"/>
    </row>
    <row r="21" spans="1:9" ht="13">
      <c r="B21" s="11" t="s">
        <v>1223</v>
      </c>
      <c r="G21" s="24"/>
    </row>
    <row r="22" spans="1:9" ht="13">
      <c r="A22" s="119" t="s">
        <v>184</v>
      </c>
      <c r="B22" s="12" t="s">
        <v>1</v>
      </c>
      <c r="C22" s="13" t="s">
        <v>185</v>
      </c>
      <c r="D22" s="13" t="s">
        <v>1230</v>
      </c>
      <c r="E22" s="13"/>
      <c r="F22" s="13" t="s">
        <v>1233</v>
      </c>
      <c r="G22" s="25" t="s">
        <v>752</v>
      </c>
      <c r="I22" s="39"/>
    </row>
    <row r="23" spans="1:9" ht="26.5" hidden="1" customHeight="1">
      <c r="A23" s="125"/>
      <c r="B23" s="122"/>
      <c r="C23" s="27"/>
      <c r="D23" s="333"/>
      <c r="E23" s="118"/>
      <c r="F23" s="142"/>
      <c r="G23" s="35"/>
    </row>
    <row r="24" spans="1:9" ht="13.4" customHeight="1">
      <c r="A24" s="125">
        <v>3</v>
      </c>
      <c r="B24" s="122" t="str">
        <f>VLOOKUP(A24,Transporte[],2,FALSE)</f>
        <v>Carga terrestre Teorama - Comunidades</v>
      </c>
      <c r="C24" s="27" t="s">
        <v>1234</v>
      </c>
      <c r="D24" s="333">
        <f>+SUM(E8:E11)</f>
        <v>153.52000000000001</v>
      </c>
      <c r="E24" s="118"/>
      <c r="F24" s="142">
        <f>VLOOKUP(A24,Transporte[],7,FALSE)</f>
        <v>1491</v>
      </c>
      <c r="G24" s="35">
        <f>D24*F24</f>
        <v>228898.32</v>
      </c>
    </row>
    <row r="25" spans="1:9" ht="13">
      <c r="D25" s="18"/>
      <c r="E25" s="18"/>
      <c r="F25" s="29" t="s">
        <v>1220</v>
      </c>
      <c r="G25" s="37">
        <f>SUM(G23:G24)</f>
        <v>228898.32</v>
      </c>
    </row>
    <row r="26" spans="1:9" ht="13">
      <c r="D26" s="18"/>
      <c r="E26" s="18"/>
      <c r="G26" s="23"/>
    </row>
    <row r="27" spans="1:9" ht="13">
      <c r="B27" s="11" t="s">
        <v>1225</v>
      </c>
      <c r="D27" s="30"/>
      <c r="E27" s="30"/>
      <c r="F27" s="31"/>
      <c r="G27" s="24"/>
    </row>
    <row r="28" spans="1:9" s="18" customFormat="1" ht="13">
      <c r="A28" s="119" t="s">
        <v>184</v>
      </c>
      <c r="B28" s="12" t="s">
        <v>1</v>
      </c>
      <c r="C28" s="13" t="s">
        <v>1226</v>
      </c>
      <c r="D28" s="13" t="s">
        <v>1227</v>
      </c>
      <c r="E28" s="13"/>
      <c r="F28" s="13" t="s">
        <v>307</v>
      </c>
      <c r="G28" s="25" t="s">
        <v>752</v>
      </c>
    </row>
    <row r="29" spans="1:9" ht="14.5">
      <c r="A29" s="125">
        <v>1</v>
      </c>
      <c r="B29" s="122" t="str">
        <f>VLOOKUP(A29,ManoObra[],2,FALSE)</f>
        <v>Electricista</v>
      </c>
      <c r="C29" s="40">
        <f>VLOOKUP(A29,ManoObra[],7,FALSE)</f>
        <v>71863</v>
      </c>
      <c r="D29" s="22">
        <f>FP!$B$28</f>
        <v>1.61</v>
      </c>
      <c r="E29" s="22"/>
      <c r="F29" s="16">
        <v>15</v>
      </c>
      <c r="G29" s="36">
        <f>ROUND(C29*D29/F29,0)</f>
        <v>7713</v>
      </c>
      <c r="I29" s="81"/>
    </row>
    <row r="30" spans="1:9" ht="14.5">
      <c r="A30" s="125">
        <v>2</v>
      </c>
      <c r="B30" s="122" t="str">
        <f>VLOOKUP(A30,ManoObra[],2,FALSE)</f>
        <v>Ayudante</v>
      </c>
      <c r="C30" s="40">
        <f>VLOOKUP(A30,ManoObra[],7,FALSE)</f>
        <v>66050</v>
      </c>
      <c r="D30" s="22">
        <f>FP!$B$28</f>
        <v>1.61</v>
      </c>
      <c r="E30" s="22"/>
      <c r="F30" s="16">
        <v>15</v>
      </c>
      <c r="G30" s="36">
        <f>ROUND(C30*D30/F30,0)</f>
        <v>7089</v>
      </c>
    </row>
    <row r="31" spans="1:9" ht="13">
      <c r="D31" s="18"/>
      <c r="E31" s="18"/>
      <c r="F31" s="29" t="s">
        <v>1220</v>
      </c>
      <c r="G31" s="42">
        <f>SUM(G29:G30)</f>
        <v>14802</v>
      </c>
    </row>
    <row r="32" spans="1:9" ht="13">
      <c r="D32" s="18"/>
      <c r="E32" s="18"/>
      <c r="G32" s="24"/>
    </row>
    <row r="33" spans="1:7" ht="12.75" customHeight="1">
      <c r="A33"/>
      <c r="D33" s="1725" t="s">
        <v>1228</v>
      </c>
      <c r="E33" s="1730"/>
      <c r="F33" s="1726"/>
      <c r="G33" s="38">
        <f>G12+G19+G25+G31</f>
        <v>2323291.3199999998</v>
      </c>
    </row>
    <row r="34" spans="1:7" ht="13">
      <c r="A34" s="441"/>
      <c r="B34" s="441"/>
      <c r="D34" s="18"/>
      <c r="E34" s="18"/>
      <c r="F34" s="10"/>
      <c r="G34" s="41"/>
    </row>
    <row r="35" spans="1:7" ht="14">
      <c r="A35" s="442"/>
      <c r="B35" s="840"/>
    </row>
    <row r="36" spans="1:7" ht="42">
      <c r="B36" s="1028" t="s">
        <v>1235</v>
      </c>
    </row>
  </sheetData>
  <mergeCells count="4">
    <mergeCell ref="B3:F3"/>
    <mergeCell ref="B4:D4"/>
    <mergeCell ref="D33:F33"/>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BC332-C3DB-4DF6-8E30-A74D0B13D42B}">
  <sheetPr>
    <tabColor theme="7" tint="0.59999389629810485"/>
    <pageSetUpPr fitToPage="1"/>
  </sheetPr>
  <dimension ref="A1:I39"/>
  <sheetViews>
    <sheetView view="pageBreakPreview" zoomScale="85" zoomScaleNormal="100" zoomScaleSheetLayoutView="85"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2.1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10 KW'!A7)</f>
        <v>ITEM:  3.1.2</v>
      </c>
      <c r="C3" s="1728"/>
      <c r="D3" s="1728"/>
      <c r="E3" s="1728"/>
      <c r="F3" s="1728"/>
      <c r="G3" s="6" t="s">
        <v>1229</v>
      </c>
      <c r="H3" s="7"/>
    </row>
    <row r="4" spans="1:9" ht="75" customHeight="1">
      <c r="B4" s="1722" t="str">
        <f>+'PRES MR 10 KW'!B7</f>
        <v>Suministro, transporte e instalación de acometida solar para 8 lazos fotovoltaicos. Incluye cable bajante de los lazos fotovoltaicos Cu solar FV calibre 10 AWG hasta la caja combinadora FV y tubería LiquidTight para ingreso al envolvente, con accesorios.</v>
      </c>
      <c r="C4" s="1723"/>
      <c r="D4" s="1724"/>
      <c r="E4" s="328"/>
      <c r="G4" s="8" t="str">
        <f>+'PRES MR 15 KW'!C7</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131</v>
      </c>
      <c r="B8" s="122" t="str">
        <f>VLOOKUP(A8,Materiales[],3,FALSE)</f>
        <v>Cable Cu solar XLPE 10 AWG 1kV 120 °C</v>
      </c>
      <c r="C8" s="121" t="str">
        <f>VLOOKUP(A8,Materiales[],4,FALSE)</f>
        <v>ML</v>
      </c>
      <c r="D8" s="118">
        <f>50.4/3*8</f>
        <v>134.4</v>
      </c>
      <c r="E8" s="329">
        <f>VLOOKUP(A8,Materiales[],5,FALSE)*D8</f>
        <v>7.8220800000000006</v>
      </c>
      <c r="F8" s="123">
        <f>VLOOKUP(A8,Materiales[],6,FALSE)</f>
        <v>5775</v>
      </c>
      <c r="G8" s="123">
        <f>ROUND(D8*F8,0)</f>
        <v>776160</v>
      </c>
      <c r="I8" s="33"/>
    </row>
    <row r="9" spans="1:9" ht="14.5">
      <c r="A9" s="117">
        <v>5</v>
      </c>
      <c r="B9" s="122" t="str">
        <f>VLOOKUP(A9,Materiales[],3,FALSE)</f>
        <v>Coraza flexible Liquid Tight 1 1/4"</v>
      </c>
      <c r="C9" s="121" t="str">
        <f>VLOOKUP(A9,Materiales[],4,FALSE)</f>
        <v>ML</v>
      </c>
      <c r="D9" s="124">
        <v>3</v>
      </c>
      <c r="E9" s="329">
        <f>VLOOKUP(A9,Materiales[],5,FALSE)*D9</f>
        <v>1.6500000000000001</v>
      </c>
      <c r="F9" s="123">
        <f>VLOOKUP(A9,Materiales[],6,FALSE)</f>
        <v>11500</v>
      </c>
      <c r="G9" s="123">
        <f t="shared" ref="G9:G13" si="0">ROUND(D9*F9,0)</f>
        <v>34500</v>
      </c>
    </row>
    <row r="10" spans="1:9" ht="14.5">
      <c r="A10" s="117">
        <v>48</v>
      </c>
      <c r="B10" s="122" t="str">
        <f>VLOOKUP(A10,Materiales[],3,FALSE)</f>
        <v>Conector recto coraza Liquid Tight 1 1/4"</v>
      </c>
      <c r="C10" s="121" t="str">
        <f>VLOOKUP(A10,Materiales[],4,FALSE)</f>
        <v>UN</v>
      </c>
      <c r="D10" s="124">
        <v>2</v>
      </c>
      <c r="E10" s="329">
        <f>VLOOKUP(A10,Materiales[],5,FALSE)*D10</f>
        <v>0.38</v>
      </c>
      <c r="F10" s="123">
        <f>VLOOKUP(A10,Materiales[],6,FALSE)</f>
        <v>11443</v>
      </c>
      <c r="G10" s="123">
        <f t="shared" si="0"/>
        <v>22886</v>
      </c>
    </row>
    <row r="11" spans="1:9" ht="14.5">
      <c r="A11" s="117">
        <v>388</v>
      </c>
      <c r="B11" s="122" t="str">
        <f>VLOOKUP(A11,Materiales[],3,FALSE)</f>
        <v>Fusible DC 25 A</v>
      </c>
      <c r="C11" s="121" t="str">
        <f>VLOOKUP(A11,Materiales[],4,FALSE)</f>
        <v>UN</v>
      </c>
      <c r="D11" s="124">
        <v>8</v>
      </c>
      <c r="E11" s="329">
        <f>VLOOKUP(A11,Materiales[],5,FALSE)*D11</f>
        <v>0.8</v>
      </c>
      <c r="F11" s="123">
        <f>VLOOKUP(A11,Materiales[],6,FALSE)</f>
        <v>15619</v>
      </c>
      <c r="G11" s="123">
        <f t="shared" ref="G11" si="1">ROUND(D11*F11,0)</f>
        <v>124952</v>
      </c>
    </row>
    <row r="12" spans="1:9" ht="14.5">
      <c r="A12" s="117">
        <v>411</v>
      </c>
      <c r="B12" s="122" t="str">
        <f>VLOOKUP(A12,Materiales[],3,FALSE)</f>
        <v xml:space="preserve">Portafusibles 1P 1000VDC </v>
      </c>
      <c r="C12" s="121" t="str">
        <f>VLOOKUP(A12,Materiales[],4,FALSE)</f>
        <v>UN</v>
      </c>
      <c r="D12" s="124">
        <v>8</v>
      </c>
      <c r="E12" s="329">
        <f>VLOOKUP(A12,Materiales[],5,FALSE)*D12</f>
        <v>2</v>
      </c>
      <c r="F12" s="123">
        <f>VLOOKUP(A12,Materiales[],6,FALSE)</f>
        <v>23496</v>
      </c>
      <c r="G12" s="123">
        <f t="shared" ref="G12" si="2">ROUND(D12*F12,0)</f>
        <v>187968</v>
      </c>
    </row>
    <row r="13" spans="1:9" ht="14.5">
      <c r="A13" s="117">
        <v>7</v>
      </c>
      <c r="B13" s="122" t="str">
        <f>VLOOKUP(A13,Materiales[],3,FALSE)</f>
        <v>Abrazadera metálica doble ala 1 1/4"</v>
      </c>
      <c r="C13" s="121" t="str">
        <f>VLOOKUP(A13,Materiales[],4,FALSE)</f>
        <v>UN</v>
      </c>
      <c r="D13" s="124">
        <v>5</v>
      </c>
      <c r="E13" s="329">
        <f>VLOOKUP(A13,Materiales[],5,FALSE)*D13</f>
        <v>0.5</v>
      </c>
      <c r="F13" s="123">
        <f>VLOOKUP(A13,Materiales[],6,FALSE)</f>
        <v>1304</v>
      </c>
      <c r="G13" s="123">
        <f t="shared" si="0"/>
        <v>6520</v>
      </c>
    </row>
    <row r="14" spans="1:9" ht="13">
      <c r="D14" s="18"/>
      <c r="E14" s="18"/>
      <c r="F14" s="29" t="s">
        <v>1220</v>
      </c>
      <c r="G14" s="42">
        <f>SUM(G8:G13)</f>
        <v>1152986</v>
      </c>
    </row>
    <row r="16" spans="1:9" ht="13">
      <c r="B16" s="20" t="s">
        <v>1221</v>
      </c>
      <c r="G16" s="39"/>
    </row>
    <row r="17" spans="1:9" ht="13">
      <c r="A17" s="119" t="s">
        <v>184</v>
      </c>
      <c r="B17" s="120" t="s">
        <v>1</v>
      </c>
      <c r="C17" s="13" t="s">
        <v>1231</v>
      </c>
      <c r="D17" s="13" t="s">
        <v>1222</v>
      </c>
      <c r="E17" s="13"/>
      <c r="F17" s="13" t="s">
        <v>307</v>
      </c>
      <c r="G17" s="13" t="s">
        <v>752</v>
      </c>
    </row>
    <row r="18" spans="1:9" ht="14.5">
      <c r="A18" s="125">
        <v>1</v>
      </c>
      <c r="B18" s="122" t="str">
        <f>VLOOKUP(A18,Equip.Herram[],2,FALSE)</f>
        <v>Herramienta menor</v>
      </c>
      <c r="C18" s="15" t="str">
        <f>VLOOKUP(A18,Equip.Herram[],3,FALSE)</f>
        <v>UN</v>
      </c>
      <c r="D18" s="36">
        <f>VLOOKUP(A18,Equip.Herram[],4,FALSE)</f>
        <v>24840</v>
      </c>
      <c r="E18" s="36"/>
      <c r="F18" s="16">
        <f>+RENDIMIENTOS!C30</f>
        <v>6</v>
      </c>
      <c r="G18" s="36">
        <f>ROUND(D18/F18,0)</f>
        <v>4140</v>
      </c>
    </row>
    <row r="19" spans="1:9">
      <c r="B19" s="14"/>
      <c r="C19" s="15"/>
      <c r="D19" s="17"/>
      <c r="E19" s="17"/>
      <c r="F19" s="22"/>
      <c r="G19" s="21"/>
    </row>
    <row r="20" spans="1:9">
      <c r="B20" s="14"/>
      <c r="C20" s="15"/>
      <c r="D20" s="17"/>
      <c r="E20" s="17"/>
      <c r="F20" s="22"/>
      <c r="G20" s="21"/>
    </row>
    <row r="21" spans="1:9" ht="13">
      <c r="D21" s="18"/>
      <c r="E21" s="18"/>
      <c r="F21" s="19" t="s">
        <v>1220</v>
      </c>
      <c r="G21" s="37">
        <f>SUM(G18:G20)</f>
        <v>4140</v>
      </c>
    </row>
    <row r="22" spans="1:9" ht="13">
      <c r="D22" s="18"/>
      <c r="E22" s="18"/>
      <c r="F22" s="18"/>
      <c r="G22" s="23"/>
    </row>
    <row r="23" spans="1:9" ht="13">
      <c r="B23" s="11" t="s">
        <v>1223</v>
      </c>
      <c r="G23" s="24"/>
    </row>
    <row r="24" spans="1:9" ht="13">
      <c r="A24" s="119" t="s">
        <v>184</v>
      </c>
      <c r="B24" s="12" t="s">
        <v>1</v>
      </c>
      <c r="C24" s="13" t="s">
        <v>185</v>
      </c>
      <c r="D24" s="13" t="s">
        <v>1230</v>
      </c>
      <c r="E24" s="13"/>
      <c r="F24" s="13" t="s">
        <v>1233</v>
      </c>
      <c r="G24" s="25" t="s">
        <v>752</v>
      </c>
      <c r="I24" s="39"/>
    </row>
    <row r="25" spans="1:9" ht="26.5" customHeight="1">
      <c r="A25" s="125">
        <v>1</v>
      </c>
      <c r="B25" s="122" t="str">
        <f>VLOOKUP(A25,Transporte[],2,FALSE)</f>
        <v>Carga terrestre Bogotá - Teorama</v>
      </c>
      <c r="C25" s="27" t="s">
        <v>1234</v>
      </c>
      <c r="D25" s="118">
        <f>+SUM(E8:E13)</f>
        <v>13.152080000000002</v>
      </c>
      <c r="E25" s="118"/>
      <c r="F25" s="142">
        <f>VLOOKUP(A25,Transporte[],7,FALSE)</f>
        <v>214.17955999999998</v>
      </c>
      <c r="G25" s="35">
        <f>D25*F25</f>
        <v>2816.9067074847999</v>
      </c>
    </row>
    <row r="26" spans="1:9" ht="13.4" customHeight="1">
      <c r="A26" s="125">
        <v>3</v>
      </c>
      <c r="B26" s="122" t="str">
        <f>VLOOKUP(A26,Transporte[],2,FALSE)</f>
        <v>Carga terrestre Teorama - Comunidades</v>
      </c>
      <c r="C26" s="27" t="s">
        <v>1234</v>
      </c>
      <c r="D26" s="118">
        <f>+SUM(E8:E13)</f>
        <v>13.152080000000002</v>
      </c>
      <c r="E26" s="118"/>
      <c r="F26" s="142">
        <f>VLOOKUP(A26,Transporte[],7,FALSE)</f>
        <v>1491</v>
      </c>
      <c r="G26" s="35">
        <f>D26*F26</f>
        <v>19609.751280000004</v>
      </c>
    </row>
    <row r="27" spans="1:9" ht="13.4" customHeight="1">
      <c r="B27" s="26"/>
      <c r="C27" s="27"/>
      <c r="D27" s="28"/>
      <c r="E27" s="28"/>
      <c r="F27" s="35"/>
      <c r="G27" s="35"/>
    </row>
    <row r="28" spans="1:9" ht="13">
      <c r="D28" s="18"/>
      <c r="E28" s="18"/>
      <c r="F28" s="29" t="s">
        <v>1220</v>
      </c>
      <c r="G28" s="37">
        <f>SUM(G25:G27)</f>
        <v>22426.657987484803</v>
      </c>
    </row>
    <row r="29" spans="1:9" ht="13">
      <c r="D29" s="18"/>
      <c r="E29" s="18"/>
      <c r="G29" s="23"/>
    </row>
    <row r="30" spans="1:9" ht="13">
      <c r="B30" s="11" t="s">
        <v>1225</v>
      </c>
      <c r="D30" s="30"/>
      <c r="E30" s="30"/>
      <c r="F30" s="31"/>
      <c r="G30" s="24"/>
    </row>
    <row r="31" spans="1:9" s="18" customFormat="1" ht="13">
      <c r="A31" s="119" t="s">
        <v>184</v>
      </c>
      <c r="B31" s="12" t="s">
        <v>1</v>
      </c>
      <c r="C31" s="13" t="s">
        <v>1226</v>
      </c>
      <c r="D31" s="13" t="s">
        <v>1227</v>
      </c>
      <c r="E31" s="13"/>
      <c r="F31" s="13" t="s">
        <v>307</v>
      </c>
      <c r="G31" s="25" t="s">
        <v>752</v>
      </c>
    </row>
    <row r="32" spans="1:9" ht="14.5">
      <c r="A32" s="125">
        <v>1</v>
      </c>
      <c r="B32" s="122" t="str">
        <f>VLOOKUP(A32,ManoObra[],2,FALSE)</f>
        <v>Electricista</v>
      </c>
      <c r="C32" s="40">
        <f>VLOOKUP(A32,ManoObra[],7,FALSE)</f>
        <v>71863</v>
      </c>
      <c r="D32" s="22">
        <f>FP!$B$28</f>
        <v>1.61</v>
      </c>
      <c r="E32" s="22"/>
      <c r="F32" s="16">
        <f>+RENDIMIENTOS!$C$31</f>
        <v>6</v>
      </c>
      <c r="G32" s="36">
        <f>ROUND(C32*D32/F32,0)</f>
        <v>19283</v>
      </c>
      <c r="I32" s="81"/>
    </row>
    <row r="33" spans="1:9" ht="14.5">
      <c r="A33" s="125">
        <v>2</v>
      </c>
      <c r="B33" s="122" t="str">
        <f>VLOOKUP(A33,ManoObra[],2,FALSE)</f>
        <v>Ayudante</v>
      </c>
      <c r="C33" s="40">
        <f>VLOOKUP(A33,ManoObra[],7,FALSE)</f>
        <v>66050</v>
      </c>
      <c r="D33" s="22">
        <f>FP!$B$28</f>
        <v>1.61</v>
      </c>
      <c r="E33" s="22"/>
      <c r="F33" s="16">
        <f>+RENDIMIENTOS!$C$31</f>
        <v>6</v>
      </c>
      <c r="G33" s="36">
        <f>ROUND(C33*D33/F33,0)</f>
        <v>17723</v>
      </c>
      <c r="I33" s="81"/>
    </row>
    <row r="34" spans="1:9" ht="13">
      <c r="D34" s="18"/>
      <c r="E34" s="18"/>
      <c r="F34" s="29" t="s">
        <v>1220</v>
      </c>
      <c r="G34" s="42">
        <f>SUM(G32:G33)</f>
        <v>37006</v>
      </c>
    </row>
    <row r="35" spans="1:9" ht="13">
      <c r="D35" s="18"/>
      <c r="E35" s="18"/>
      <c r="G35" s="24"/>
    </row>
    <row r="36" spans="1:9" ht="12.75" customHeight="1">
      <c r="A36"/>
      <c r="D36" s="1725" t="s">
        <v>1228</v>
      </c>
      <c r="E36" s="1730"/>
      <c r="F36" s="1726"/>
      <c r="G36" s="38">
        <f>G14+G21+G28+G34</f>
        <v>1216558.6579874847</v>
      </c>
    </row>
    <row r="37" spans="1:9" ht="13">
      <c r="A37" s="441"/>
      <c r="B37" s="441"/>
      <c r="D37" s="18"/>
      <c r="E37" s="18"/>
      <c r="F37" s="10"/>
      <c r="G37" s="41"/>
    </row>
    <row r="38" spans="1:9" ht="14">
      <c r="A38" s="442"/>
      <c r="B38" s="840"/>
    </row>
    <row r="39" spans="1:9" ht="42">
      <c r="B39" s="1028" t="s">
        <v>1235</v>
      </c>
    </row>
  </sheetData>
  <mergeCells count="4">
    <mergeCell ref="B3:F3"/>
    <mergeCell ref="B4:D4"/>
    <mergeCell ref="D36:F36"/>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18994-CC17-449D-B3CA-F58B2CAD71AF}">
  <sheetPr>
    <tabColor theme="8" tint="0.59999389629810485"/>
    <pageSetUpPr fitToPage="1"/>
  </sheetPr>
  <dimension ref="A1:I46"/>
  <sheetViews>
    <sheetView view="pageBreakPreview" zoomScale="80" zoomScaleNormal="100" zoomScaleSheetLayoutView="80"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0.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KW'!A8,", ",'PRES MR 10 KW'!A8,", ",'PRES MR 15 KW'!A8)</f>
        <v>ITEM:  2.1.3, 3.1.3, 4.1.3</v>
      </c>
      <c r="C3" s="1728"/>
      <c r="D3" s="1728"/>
      <c r="E3" s="1728"/>
      <c r="F3" s="1728"/>
      <c r="G3" s="6" t="s">
        <v>1229</v>
      </c>
      <c r="H3" s="7"/>
    </row>
    <row r="4" spans="1:9" ht="53.25" customHeight="1">
      <c r="B4" s="1722" t="str">
        <f>+'PRES MR 5 KW'!B8</f>
        <v>Suministro, transporte e instalación de caja combinadora FV. Incluye gabinete eléctrico con cumplimiento RETIE y tapa traslucida, de dimensiones 630x530x180 mm; protecciones, barrajes y DPS Tipo 1+2.</v>
      </c>
      <c r="C4" s="1723"/>
      <c r="D4" s="1724"/>
      <c r="E4" s="328"/>
      <c r="G4" s="8" t="str">
        <f>+'PRES MR 5 KW'!C8</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25">
      <c r="A8" s="125">
        <v>8</v>
      </c>
      <c r="B8" s="122" t="str">
        <f>VLOOKUP(A8,Materiales[],3,FALSE)</f>
        <v>Gabinete eléctrico con tapa traslucida, doble fondo y cumplimiento RETIE, dimensiones 630x530x180 mm</v>
      </c>
      <c r="C8" s="121" t="str">
        <f>VLOOKUP(A8,Materiales[],4,FALSE)</f>
        <v>UN</v>
      </c>
      <c r="D8" s="118">
        <v>1</v>
      </c>
      <c r="E8" s="329">
        <f>VLOOKUP(A8,Materiales[],5,FALSE)*D8</f>
        <v>13</v>
      </c>
      <c r="F8" s="123">
        <f>VLOOKUP(A8,Materiales[],6,FALSE)</f>
        <v>724444</v>
      </c>
      <c r="G8" s="123">
        <f>ROUND(D8*F8,0)</f>
        <v>724444</v>
      </c>
      <c r="I8" s="33"/>
    </row>
    <row r="9" spans="1:9" ht="25">
      <c r="A9" s="117">
        <v>185</v>
      </c>
      <c r="B9" s="122" t="str">
        <f>VLOOKUP(A9,Materiales[],3,FALSE)</f>
        <v>Barraje de cobre tropicalizado de 150 A para 16 conexiones</v>
      </c>
      <c r="C9" s="121" t="str">
        <f>VLOOKUP(A9,Materiales[],4,FALSE)</f>
        <v>UN</v>
      </c>
      <c r="D9" s="118">
        <v>4</v>
      </c>
      <c r="E9" s="329">
        <f>VLOOKUP(A9,Materiales[],5,FALSE)*D9</f>
        <v>2.4</v>
      </c>
      <c r="F9" s="123">
        <f>VLOOKUP(A9,Materiales[],6,FALSE)</f>
        <v>51634</v>
      </c>
      <c r="G9" s="123">
        <f t="shared" ref="G9:G17" si="0">ROUND(D9*F9,0)</f>
        <v>206536</v>
      </c>
    </row>
    <row r="10" spans="1:9" ht="14.5">
      <c r="A10" s="117">
        <v>10</v>
      </c>
      <c r="B10" s="122" t="str">
        <f>VLOOKUP(A10,Materiales[],3,FALSE)</f>
        <v>Riel DIN 35 mm x 7.5 mm</v>
      </c>
      <c r="C10" s="121" t="str">
        <f>VLOOKUP(A10,Materiales[],4,FALSE)</f>
        <v>ML</v>
      </c>
      <c r="D10" s="124">
        <v>1</v>
      </c>
      <c r="E10" s="329">
        <f>VLOOKUP(A10,Materiales[],5,FALSE)*D10</f>
        <v>0.3</v>
      </c>
      <c r="F10" s="123">
        <f>VLOOKUP(A10,Materiales[],6,FALSE)</f>
        <v>10732</v>
      </c>
      <c r="G10" s="123">
        <f t="shared" si="0"/>
        <v>10732</v>
      </c>
    </row>
    <row r="11" spans="1:9" ht="14.5">
      <c r="A11" s="117">
        <v>383</v>
      </c>
      <c r="B11" s="122" t="str">
        <f>VLOOKUP(A11,Materiales[],3,FALSE)</f>
        <v xml:space="preserve">Interruptor termomagnético 30A 2P 500 VDC 6 Ka </v>
      </c>
      <c r="C11" s="121" t="str">
        <f>VLOOKUP(A11,Materiales[],4,FALSE)</f>
        <v>UN</v>
      </c>
      <c r="D11" s="124">
        <v>8</v>
      </c>
      <c r="E11" s="329">
        <f>VLOOKUP(A11,Materiales[],5,FALSE)*D11</f>
        <v>1.92</v>
      </c>
      <c r="F11" s="123">
        <f>VLOOKUP(A11,Materiales[],6,FALSE)</f>
        <v>115000</v>
      </c>
      <c r="G11" s="123">
        <f t="shared" si="0"/>
        <v>920000</v>
      </c>
    </row>
    <row r="12" spans="1:9" ht="14.5">
      <c r="A12" s="117">
        <v>11</v>
      </c>
      <c r="B12" s="122" t="str">
        <f>VLOOKUP(A12,Materiales[],3,FALSE)</f>
        <v xml:space="preserve">Interruptor termomagnético 50A 2P 500 VDC 6 Ka </v>
      </c>
      <c r="C12" s="121" t="str">
        <f>VLOOKUP(A12,Materiales[],4,FALSE)</f>
        <v>UN</v>
      </c>
      <c r="D12" s="124">
        <v>1</v>
      </c>
      <c r="E12" s="329">
        <f>VLOOKUP(A12,Materiales[],5,FALSE)*D12</f>
        <v>0.24</v>
      </c>
      <c r="F12" s="123">
        <f>VLOOKUP(A12,Materiales[],6,FALSE)</f>
        <v>98625</v>
      </c>
      <c r="G12" s="123">
        <f t="shared" si="0"/>
        <v>98625</v>
      </c>
    </row>
    <row r="13" spans="1:9" ht="14.5">
      <c r="A13" s="117">
        <v>23</v>
      </c>
      <c r="B13" s="122" t="str">
        <f>VLOOKUP(A13,Materiales[],3,FALSE)</f>
        <v xml:space="preserve">Interruptor termomagnético 200A 2P 500 VDC 6 Ka </v>
      </c>
      <c r="C13" s="121" t="str">
        <f>VLOOKUP(A13,Materiales[],4,FALSE)</f>
        <v>UN</v>
      </c>
      <c r="D13" s="124">
        <v>1</v>
      </c>
      <c r="E13" s="329">
        <f>VLOOKUP(A13,Materiales[],5,FALSE)*D13</f>
        <v>0.5</v>
      </c>
      <c r="F13" s="123">
        <f>VLOOKUP(A13,Materiales[],6,FALSE)</f>
        <v>626905</v>
      </c>
      <c r="G13" s="123">
        <f t="shared" si="0"/>
        <v>626905</v>
      </c>
    </row>
    <row r="14" spans="1:9" ht="14.5">
      <c r="A14" s="117">
        <v>236</v>
      </c>
      <c r="B14" s="122" t="str">
        <f>VLOOKUP(A14,Materiales[],3,FALSE)</f>
        <v>DPS Tipo 1+2 500 Uc Up 2,5 kV 18-40 kA</v>
      </c>
      <c r="C14" s="121" t="str">
        <f>VLOOKUP(A14,Materiales[],4,FALSE)</f>
        <v>UN</v>
      </c>
      <c r="D14" s="124">
        <v>1</v>
      </c>
      <c r="E14" s="329">
        <f>VLOOKUP(A14,Materiales[],5,FALSE)*D14</f>
        <v>0.24</v>
      </c>
      <c r="F14" s="123">
        <f>VLOOKUP(A14,Materiales[],6,FALSE)</f>
        <v>383180</v>
      </c>
      <c r="G14" s="123">
        <f t="shared" si="0"/>
        <v>383180</v>
      </c>
    </row>
    <row r="15" spans="1:9" ht="14.5">
      <c r="A15" s="117">
        <v>24</v>
      </c>
      <c r="B15" s="122" t="str">
        <f>VLOOKUP(A15,Materiales[],3,FALSE)</f>
        <v>Borna para ponchar varios calibres y terminales</v>
      </c>
      <c r="C15" s="121" t="str">
        <f>VLOOKUP(A15,Materiales[],4,FALSE)</f>
        <v>UN</v>
      </c>
      <c r="D15" s="124">
        <v>22</v>
      </c>
      <c r="E15" s="329">
        <f>VLOOKUP(A15,Materiales[],5,FALSE)*D15</f>
        <v>0.17599999999999999</v>
      </c>
      <c r="F15" s="123">
        <f>VLOOKUP(A15,Materiales[],6,FALSE)</f>
        <v>2111</v>
      </c>
      <c r="G15" s="123">
        <f t="shared" si="0"/>
        <v>46442</v>
      </c>
    </row>
    <row r="16" spans="1:9" ht="25">
      <c r="A16" s="117">
        <v>25</v>
      </c>
      <c r="B16" s="122" t="str">
        <f>VLOOKUP(A16,Materiales[],3,FALSE)</f>
        <v>Tubo termoencogible. Distintos calibres, distintos colores</v>
      </c>
      <c r="C16" s="121" t="str">
        <f>VLOOKUP(A16,Materiales[],4,FALSE)</f>
        <v>UN</v>
      </c>
      <c r="D16" s="124">
        <v>22</v>
      </c>
      <c r="E16" s="329">
        <f>VLOOKUP(A16,Materiales[],5,FALSE)*D16</f>
        <v>0.17599999999999999</v>
      </c>
      <c r="F16" s="123">
        <f>VLOOKUP(A16,Materiales[],6,FALSE)</f>
        <v>3680</v>
      </c>
      <c r="G16" s="123">
        <f t="shared" si="0"/>
        <v>80960</v>
      </c>
    </row>
    <row r="17" spans="1:9" ht="14.5">
      <c r="A17" s="117">
        <v>389</v>
      </c>
      <c r="B17" s="122" t="str">
        <f>VLOOKUP(A17,Materiales[],3,FALSE)</f>
        <v>Cable Cu THHN 4/0 AWG</v>
      </c>
      <c r="C17" s="121" t="str">
        <f>VLOOKUP(A17,Materiales[],4,FALSE)</f>
        <v>ML</v>
      </c>
      <c r="D17" s="126">
        <f>2*1.05*0.8</f>
        <v>1.6800000000000002</v>
      </c>
      <c r="E17" s="329">
        <f>VLOOKUP(A17,Materiales[],5,FALSE)*D17</f>
        <v>1.7472000000000003</v>
      </c>
      <c r="F17" s="123">
        <f>VLOOKUP(A17,Materiales[],6,FALSE)</f>
        <v>82915</v>
      </c>
      <c r="G17" s="123">
        <f t="shared" si="0"/>
        <v>139297</v>
      </c>
    </row>
    <row r="18" spans="1:9" ht="14.5">
      <c r="A18" s="117">
        <v>241</v>
      </c>
      <c r="B18" s="122" t="str">
        <f>VLOOKUP(A18,Materiales[],3,FALSE)</f>
        <v>Cable Cu THHN 6 AWG</v>
      </c>
      <c r="C18" s="121" t="str">
        <f>VLOOKUP(A18,Materiales[],4,FALSE)</f>
        <v>ML</v>
      </c>
      <c r="D18" s="126">
        <f>1*1.05*0.8</f>
        <v>0.84000000000000008</v>
      </c>
      <c r="E18" s="329">
        <f>VLOOKUP(A18,Materiales[],5,FALSE)*D18</f>
        <v>0.12238800000000001</v>
      </c>
      <c r="F18" s="123">
        <f>VLOOKUP(A18,Materiales[],6,FALSE)</f>
        <v>10868</v>
      </c>
      <c r="G18" s="123">
        <f t="shared" ref="G18" si="1">ROUND(D18*F18,0)</f>
        <v>9129</v>
      </c>
    </row>
    <row r="19" spans="1:9" ht="14.5">
      <c r="A19" s="117">
        <v>396</v>
      </c>
      <c r="B19" s="122" t="str">
        <f>VLOOKUP(A19,Materiales[],3,FALSE)</f>
        <v>Cable Cu THHN 4 AWG verde</v>
      </c>
      <c r="C19" s="121" t="str">
        <f>VLOOKUP(A19,Materiales[],4,FALSE)</f>
        <v>ML</v>
      </c>
      <c r="D19" s="126">
        <v>1</v>
      </c>
      <c r="E19" s="329">
        <f>VLOOKUP(A19,Materiales[],5,FALSE)*D19</f>
        <v>0.23499999999999999</v>
      </c>
      <c r="F19" s="123">
        <f>VLOOKUP(A19,Materiales[],6,FALSE)</f>
        <v>18272</v>
      </c>
      <c r="G19" s="123">
        <f t="shared" ref="G19" si="2">ROUND(D19*F19,0)</f>
        <v>18272</v>
      </c>
    </row>
    <row r="20" spans="1:9" ht="14.5">
      <c r="A20" s="117">
        <v>237</v>
      </c>
      <c r="B20" s="122" t="str">
        <f>VLOOKUP(A20,Materiales[],3,FALSE)</f>
        <v>Cable Cu THHN 4 AWG</v>
      </c>
      <c r="C20" s="121" t="str">
        <f>VLOOKUP(A20,Materiales[],4,FALSE)</f>
        <v>ML</v>
      </c>
      <c r="D20" s="126">
        <f>3*1.05*0.8</f>
        <v>2.5200000000000005</v>
      </c>
      <c r="E20" s="329">
        <f>VLOOKUP(A20,Materiales[],5,FALSE)*D20</f>
        <v>0.59220000000000006</v>
      </c>
      <c r="F20" s="123">
        <f>VLOOKUP(A20,Materiales[],6,FALSE)</f>
        <v>18272</v>
      </c>
      <c r="G20" s="123">
        <f t="shared" ref="G20" si="3">ROUND(D20*F20,0)</f>
        <v>46045</v>
      </c>
    </row>
    <row r="21" spans="1:9" ht="13">
      <c r="D21" s="18"/>
      <c r="E21" s="18"/>
      <c r="F21" s="29" t="s">
        <v>1220</v>
      </c>
      <c r="G21" s="42">
        <f>SUM(G8:G20)</f>
        <v>3310567</v>
      </c>
    </row>
    <row r="23" spans="1:9" ht="13">
      <c r="B23" s="20" t="s">
        <v>1221</v>
      </c>
      <c r="G23" s="39"/>
    </row>
    <row r="24" spans="1:9" ht="13">
      <c r="A24" s="119" t="s">
        <v>184</v>
      </c>
      <c r="B24" s="120" t="s">
        <v>1</v>
      </c>
      <c r="C24" s="13" t="s">
        <v>1231</v>
      </c>
      <c r="D24" s="13" t="s">
        <v>1222</v>
      </c>
      <c r="E24" s="13"/>
      <c r="F24" s="13" t="s">
        <v>307</v>
      </c>
      <c r="G24" s="13" t="s">
        <v>752</v>
      </c>
    </row>
    <row r="25" spans="1:9" ht="14.5">
      <c r="A25" s="125">
        <v>1</v>
      </c>
      <c r="B25" s="122" t="str">
        <f>VLOOKUP(A25,Equip.Herram[],2,FALSE)</f>
        <v>Herramienta menor</v>
      </c>
      <c r="C25" s="15" t="str">
        <f>VLOOKUP(A25,Equip.Herram[],3,FALSE)</f>
        <v>UN</v>
      </c>
      <c r="D25" s="36">
        <f>VLOOKUP(A25,Equip.Herram[],4,FALSE)</f>
        <v>24840</v>
      </c>
      <c r="E25" s="36"/>
      <c r="F25" s="16">
        <f>+RENDIMIENTOS!C32</f>
        <v>2</v>
      </c>
      <c r="G25" s="36">
        <f>ROUND(D25/F25,0)</f>
        <v>12420</v>
      </c>
    </row>
    <row r="26" spans="1:9">
      <c r="B26" s="14"/>
      <c r="C26" s="15"/>
      <c r="D26" s="17"/>
      <c r="E26" s="17"/>
      <c r="F26" s="22"/>
      <c r="G26" s="21"/>
    </row>
    <row r="27" spans="1:9">
      <c r="B27" s="14"/>
      <c r="C27" s="15"/>
      <c r="D27" s="17"/>
      <c r="E27" s="17"/>
      <c r="F27" s="22"/>
      <c r="G27" s="21"/>
    </row>
    <row r="28" spans="1:9" ht="13">
      <c r="D28" s="18"/>
      <c r="E28" s="18"/>
      <c r="F28" s="19" t="s">
        <v>1220</v>
      </c>
      <c r="G28" s="37">
        <f>SUM(G25:G27)</f>
        <v>12420</v>
      </c>
    </row>
    <row r="29" spans="1:9" ht="13">
      <c r="D29" s="18"/>
      <c r="E29" s="18"/>
      <c r="F29" s="18"/>
      <c r="G29" s="23"/>
    </row>
    <row r="30" spans="1:9" ht="13">
      <c r="B30" s="11" t="s">
        <v>1223</v>
      </c>
      <c r="G30" s="24"/>
    </row>
    <row r="31" spans="1:9" ht="13">
      <c r="A31" s="119" t="s">
        <v>184</v>
      </c>
      <c r="B31" s="12" t="s">
        <v>1</v>
      </c>
      <c r="C31" s="13" t="s">
        <v>185</v>
      </c>
      <c r="D31" s="13" t="s">
        <v>1230</v>
      </c>
      <c r="E31" s="13"/>
      <c r="F31" s="13" t="s">
        <v>1233</v>
      </c>
      <c r="G31" s="25" t="s">
        <v>752</v>
      </c>
      <c r="I31" s="39"/>
    </row>
    <row r="32" spans="1:9" ht="26.5" customHeight="1">
      <c r="A32" s="125">
        <v>1</v>
      </c>
      <c r="B32" s="122" t="str">
        <f>VLOOKUP(A32,Transporte[],2,FALSE)</f>
        <v>Carga terrestre Bogotá - Teorama</v>
      </c>
      <c r="C32" s="27" t="s">
        <v>1234</v>
      </c>
      <c r="D32" s="118">
        <f>+SUM(E8:E20)</f>
        <v>21.648787999999996</v>
      </c>
      <c r="E32" s="118"/>
      <c r="F32" s="142">
        <f>VLOOKUP(A32,Transporte[],7,FALSE)</f>
        <v>214.17955999999998</v>
      </c>
      <c r="G32" s="35">
        <f>D32*F32</f>
        <v>4636.7278883732788</v>
      </c>
    </row>
    <row r="33" spans="1:9" ht="13.4" customHeight="1">
      <c r="A33" s="125">
        <v>3</v>
      </c>
      <c r="B33" s="122" t="str">
        <f>VLOOKUP(A33,Transporte[],2,FALSE)</f>
        <v>Carga terrestre Teorama - Comunidades</v>
      </c>
      <c r="C33" s="27" t="s">
        <v>1234</v>
      </c>
      <c r="D33" s="118">
        <f>+SUM(E8:E20)</f>
        <v>21.648787999999996</v>
      </c>
      <c r="E33" s="118"/>
      <c r="F33" s="142">
        <f>VLOOKUP(A33,Transporte[],7,FALSE)</f>
        <v>1491</v>
      </c>
      <c r="G33" s="35">
        <f>D33*F33</f>
        <v>32278.342907999995</v>
      </c>
    </row>
    <row r="34" spans="1:9" ht="13.4" customHeight="1">
      <c r="B34" s="26"/>
      <c r="C34" s="27"/>
      <c r="D34" s="28"/>
      <c r="E34" s="28"/>
      <c r="F34" s="35"/>
      <c r="G34" s="35"/>
    </row>
    <row r="35" spans="1:9" ht="13">
      <c r="D35" s="18"/>
      <c r="E35" s="18"/>
      <c r="F35" s="29" t="s">
        <v>1220</v>
      </c>
      <c r="G35" s="37">
        <f>SUM(G32:G34)</f>
        <v>36915.070796373271</v>
      </c>
    </row>
    <row r="36" spans="1:9" ht="13">
      <c r="D36" s="18"/>
      <c r="E36" s="18"/>
      <c r="G36" s="23"/>
    </row>
    <row r="37" spans="1:9" ht="13">
      <c r="B37" s="11" t="s">
        <v>1225</v>
      </c>
      <c r="D37" s="30"/>
      <c r="E37" s="30"/>
      <c r="F37" s="31"/>
      <c r="G37" s="24"/>
    </row>
    <row r="38" spans="1:9" s="18" customFormat="1" ht="13">
      <c r="A38" s="119" t="s">
        <v>184</v>
      </c>
      <c r="B38" s="12" t="s">
        <v>1</v>
      </c>
      <c r="C38" s="13" t="s">
        <v>1226</v>
      </c>
      <c r="D38" s="13" t="s">
        <v>1227</v>
      </c>
      <c r="E38" s="13"/>
      <c r="F38" s="13" t="s">
        <v>307</v>
      </c>
      <c r="G38" s="25" t="s">
        <v>752</v>
      </c>
    </row>
    <row r="39" spans="1:9" ht="14.5">
      <c r="A39" s="125">
        <v>1</v>
      </c>
      <c r="B39" s="122" t="str">
        <f>VLOOKUP(A39,ManoObra[],2,FALSE)</f>
        <v>Electricista</v>
      </c>
      <c r="C39" s="40">
        <f>VLOOKUP(A39,ManoObra[],7,FALSE)</f>
        <v>71863</v>
      </c>
      <c r="D39" s="22">
        <f>FP!$B$28</f>
        <v>1.61</v>
      </c>
      <c r="E39" s="22"/>
      <c r="F39" s="16">
        <f>RENDIMIENTOS!$C$32</f>
        <v>2</v>
      </c>
      <c r="G39" s="36">
        <f>ROUND(C39*D39/F39,0)</f>
        <v>57850</v>
      </c>
      <c r="I39" s="81"/>
    </row>
    <row r="40" spans="1:9" ht="14.5">
      <c r="A40" s="125">
        <v>2</v>
      </c>
      <c r="B40" s="122" t="str">
        <f>VLOOKUP(A40,ManoObra[],2,FALSE)</f>
        <v>Ayudante</v>
      </c>
      <c r="C40" s="40">
        <f>VLOOKUP(A40,ManoObra[],7,FALSE)</f>
        <v>66050</v>
      </c>
      <c r="D40" s="22">
        <f>FP!$B$28</f>
        <v>1.61</v>
      </c>
      <c r="E40" s="22"/>
      <c r="F40" s="16">
        <f>RENDIMIENTOS!$C$32</f>
        <v>2</v>
      </c>
      <c r="G40" s="36">
        <f>ROUND(C40*D40/F40,0)</f>
        <v>53170</v>
      </c>
      <c r="I40" s="81"/>
    </row>
    <row r="41" spans="1:9" ht="13">
      <c r="D41" s="18"/>
      <c r="E41" s="18"/>
      <c r="F41" s="29" t="s">
        <v>1220</v>
      </c>
      <c r="G41" s="42">
        <f>SUM(G39:G40)</f>
        <v>111020</v>
      </c>
    </row>
    <row r="42" spans="1:9" ht="13">
      <c r="D42" s="18"/>
      <c r="E42" s="18"/>
      <c r="G42" s="24"/>
    </row>
    <row r="43" spans="1:9" ht="12.75" customHeight="1">
      <c r="A43"/>
      <c r="D43" s="1725" t="s">
        <v>1228</v>
      </c>
      <c r="E43" s="1730"/>
      <c r="F43" s="1726"/>
      <c r="G43" s="38">
        <f>G21+G28+G35+G41</f>
        <v>3470922.0707963733</v>
      </c>
    </row>
    <row r="44" spans="1:9" ht="13">
      <c r="A44" s="441"/>
      <c r="B44" s="441"/>
      <c r="D44" s="18"/>
      <c r="E44" s="18"/>
      <c r="F44" s="10"/>
      <c r="G44" s="41"/>
    </row>
    <row r="45" spans="1:9" ht="14">
      <c r="A45" s="442"/>
      <c r="B45" s="840"/>
    </row>
    <row r="46" spans="1:9" ht="42">
      <c r="B46" s="1028" t="s">
        <v>1235</v>
      </c>
    </row>
  </sheetData>
  <mergeCells count="4">
    <mergeCell ref="B3:F3"/>
    <mergeCell ref="B4:D4"/>
    <mergeCell ref="D43:F43"/>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B7E2F-CD8B-4417-9360-6D08528E3452}">
  <sheetPr>
    <tabColor rgb="FFFF0000"/>
    <pageSetUpPr fitToPage="1"/>
  </sheetPr>
  <dimension ref="A1:I47"/>
  <sheetViews>
    <sheetView view="pageBreakPreview" zoomScale="70" zoomScaleNormal="100" zoomScaleSheetLayoutView="70"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1.4"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KW'!A10,", ",'PRES MR 10 KW'!A10,", ",'PRES MR 15 KW'!A10)</f>
        <v>ITEM:  2.1.5, 3.1.5, 4.1.5</v>
      </c>
      <c r="C3" s="1728"/>
      <c r="D3" s="1728"/>
      <c r="E3" s="1728"/>
      <c r="F3" s="1728"/>
      <c r="G3" s="6" t="s">
        <v>1229</v>
      </c>
      <c r="H3" s="7"/>
    </row>
    <row r="4" spans="1:9" ht="78.75" customHeight="1">
      <c r="B4" s="1722" t="str">
        <f>+'PRES MR 10 KW'!B10</f>
        <v>Suministro, transporte e instalación de tablero principal en DC con cumplimiento RETIE, dimensiones 820x620x300, incluye barrajes de 500 A, protecciones de 80, 100 y 320 A 500VDC y cableado hacia arreglos de baterías e inversores.</v>
      </c>
      <c r="C4" s="1723"/>
      <c r="D4" s="1724"/>
      <c r="E4" s="328"/>
      <c r="G4" s="8" t="str">
        <f>+'PRES MR 5 KW'!C10</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37.5">
      <c r="A8" s="125">
        <v>18</v>
      </c>
      <c r="B8" s="122" t="str">
        <f>VLOOKUP(A8,Materiales[],3,FALSE)</f>
        <v>Gabinete eléctrico metálico con revestimiento eléctrostatico de dimensiones 820x620x300 IP66 Doble fondo.</v>
      </c>
      <c r="C8" s="121" t="str">
        <f>VLOOKUP(A8,Materiales[],4,FALSE)</f>
        <v>UN</v>
      </c>
      <c r="D8" s="118">
        <v>1</v>
      </c>
      <c r="E8" s="329">
        <f>VLOOKUP(A8,Materiales[],5,FALSE)*D8</f>
        <v>20</v>
      </c>
      <c r="F8" s="123">
        <f>VLOOKUP(A8,Materiales[],6,FALSE)</f>
        <v>1619860</v>
      </c>
      <c r="G8" s="123">
        <f>ROUND(D8*F8,0)</f>
        <v>1619860</v>
      </c>
      <c r="I8" s="33"/>
    </row>
    <row r="9" spans="1:9" ht="25">
      <c r="A9" s="125">
        <v>247</v>
      </c>
      <c r="B9" s="122" t="str">
        <f>VLOOKUP(A9,Materiales[],3,FALSE)</f>
        <v>Barraje de cobre tropicalizado de 300 A para 16 conexiones</v>
      </c>
      <c r="C9" s="121" t="str">
        <f>VLOOKUP(A9,Materiales[],4,FALSE)</f>
        <v>UN</v>
      </c>
      <c r="D9" s="118">
        <v>2</v>
      </c>
      <c r="E9" s="329">
        <f>VLOOKUP(A9,Materiales[],5,FALSE)*D9</f>
        <v>3</v>
      </c>
      <c r="F9" s="123">
        <f>VLOOKUP(A9,Materiales[],6,FALSE)</f>
        <v>103267</v>
      </c>
      <c r="G9" s="123">
        <f t="shared" ref="G9:G18" si="0">ROUND(D9*F9,0)</f>
        <v>206534</v>
      </c>
      <c r="I9" s="33"/>
    </row>
    <row r="10" spans="1:9" ht="14.5">
      <c r="A10" s="125">
        <v>143</v>
      </c>
      <c r="B10" s="122" t="str">
        <f>VLOOKUP(A10,Materiales[],3,FALSE)</f>
        <v xml:space="preserve">Interruptor termomagnético 80A 2P 500 VDC 6 Ka </v>
      </c>
      <c r="C10" s="121" t="str">
        <f>VLOOKUP(A10,Materiales[],4,FALSE)</f>
        <v>UN</v>
      </c>
      <c r="D10" s="118">
        <v>4</v>
      </c>
      <c r="E10" s="329">
        <f>VLOOKUP(A10,Materiales[],5,FALSE)*D10</f>
        <v>1.2</v>
      </c>
      <c r="F10" s="123">
        <f>VLOOKUP(A10,Materiales[],6,FALSE)</f>
        <v>146970</v>
      </c>
      <c r="G10" s="123">
        <f t="shared" si="0"/>
        <v>587880</v>
      </c>
      <c r="I10" s="33"/>
    </row>
    <row r="11" spans="1:9" ht="14.5">
      <c r="A11" s="125">
        <v>239</v>
      </c>
      <c r="B11" s="122" t="str">
        <f>VLOOKUP(A11,Materiales[],3,FALSE)</f>
        <v>Cable Cu THHN 1/0 AWG</v>
      </c>
      <c r="C11" s="121" t="str">
        <f>VLOOKUP(A11,Materiales[],4,FALSE)</f>
        <v>ML</v>
      </c>
      <c r="D11" s="333">
        <f>(3.15+1.47)*2</f>
        <v>9.24</v>
      </c>
      <c r="E11" s="329">
        <f>VLOOKUP(A11,Materiales[],5,FALSE)*D11</f>
        <v>5.0635200000000005</v>
      </c>
      <c r="F11" s="123">
        <f>VLOOKUP(A11,Materiales[],6,FALSE)</f>
        <v>45423</v>
      </c>
      <c r="G11" s="123">
        <f t="shared" si="0"/>
        <v>419709</v>
      </c>
      <c r="I11" s="33"/>
    </row>
    <row r="12" spans="1:9" ht="14.5">
      <c r="A12" s="125">
        <v>252</v>
      </c>
      <c r="B12" s="122" t="str">
        <f>VLOOKUP(A12,Materiales[],3,FALSE)</f>
        <v>Cable Cu THHN 350 MCM</v>
      </c>
      <c r="C12" s="121" t="str">
        <f>VLOOKUP(A12,Materiales[],4,FALSE)</f>
        <v>ML</v>
      </c>
      <c r="D12" s="333">
        <f>(3.15+1.47)*1</f>
        <v>4.62</v>
      </c>
      <c r="E12" s="329">
        <f>VLOOKUP(A12,Materiales[],5,FALSE)*D12</f>
        <v>7.8540000000000001</v>
      </c>
      <c r="F12" s="123">
        <f>VLOOKUP(A12,Materiales[],6,FALSE)</f>
        <v>143750</v>
      </c>
      <c r="G12" s="123">
        <f t="shared" si="0"/>
        <v>664125</v>
      </c>
      <c r="I12" s="33"/>
    </row>
    <row r="13" spans="1:9" ht="14.5">
      <c r="A13" s="125">
        <v>20</v>
      </c>
      <c r="B13" s="122" t="str">
        <f>VLOOKUP(A13,Materiales[],3,FALSE)</f>
        <v xml:space="preserve">Interruptor termomagnético 100A 2P 500 VDC 6 Ka </v>
      </c>
      <c r="C13" s="121" t="str">
        <f>VLOOKUP(A13,Materiales[],4,FALSE)</f>
        <v>UN</v>
      </c>
      <c r="D13" s="118">
        <v>2</v>
      </c>
      <c r="E13" s="329">
        <f>VLOOKUP(A13,Materiales[],5,FALSE)*D13</f>
        <v>0.8</v>
      </c>
      <c r="F13" s="123">
        <f>VLOOKUP(A13,Materiales[],6,FALSE)</f>
        <v>191201</v>
      </c>
      <c r="G13" s="123">
        <f t="shared" si="0"/>
        <v>382402</v>
      </c>
      <c r="I13" s="33"/>
    </row>
    <row r="14" spans="1:9" ht="29.25" customHeight="1">
      <c r="A14" s="125">
        <v>248</v>
      </c>
      <c r="B14" s="122" t="str">
        <f>VLOOKUP(A14,Materiales[],3,FALSE)</f>
        <v xml:space="preserve">Interruptor termomagnético 320A 2P 500 VDC 6 Ka </v>
      </c>
      <c r="C14" s="121" t="str">
        <f>VLOOKUP(A14,Materiales[],4,FALSE)</f>
        <v>UN</v>
      </c>
      <c r="D14" s="118">
        <v>1</v>
      </c>
      <c r="E14" s="329">
        <f>VLOOKUP(A14,Materiales[],5,FALSE)*D14</f>
        <v>0.4</v>
      </c>
      <c r="F14" s="123">
        <f>VLOOKUP(A14,Materiales[],6,FALSE)</f>
        <v>2526550</v>
      </c>
      <c r="G14" s="123">
        <f t="shared" si="0"/>
        <v>2526550</v>
      </c>
      <c r="I14" s="33"/>
    </row>
    <row r="15" spans="1:9" ht="14.5">
      <c r="A15" s="125">
        <v>24</v>
      </c>
      <c r="B15" s="122" t="str">
        <f>VLOOKUP(A15,Materiales[],3,FALSE)</f>
        <v>Borna para ponchar varios calibres y terminales</v>
      </c>
      <c r="C15" s="121" t="str">
        <f>VLOOKUP(A15,Materiales[],4,FALSE)</f>
        <v>UN</v>
      </c>
      <c r="D15" s="118">
        <v>24</v>
      </c>
      <c r="E15" s="329">
        <f>VLOOKUP(A15,Materiales[],5,FALSE)*D15</f>
        <v>0.192</v>
      </c>
      <c r="F15" s="123">
        <f>VLOOKUP(A15,Materiales[],6,FALSE)</f>
        <v>2111</v>
      </c>
      <c r="G15" s="123">
        <f t="shared" si="0"/>
        <v>50664</v>
      </c>
      <c r="I15" s="33"/>
    </row>
    <row r="16" spans="1:9" ht="25">
      <c r="A16" s="125">
        <v>25</v>
      </c>
      <c r="B16" s="122" t="str">
        <f>VLOOKUP(A16,Materiales[],3,FALSE)</f>
        <v>Tubo termoencogible. Distintos calibres, distintos colores</v>
      </c>
      <c r="C16" s="121" t="str">
        <f>VLOOKUP(A16,Materiales[],4,FALSE)</f>
        <v>UN</v>
      </c>
      <c r="D16" s="118">
        <v>24</v>
      </c>
      <c r="E16" s="329">
        <f>VLOOKUP(A16,Materiales[],5,FALSE)*D16</f>
        <v>0.192</v>
      </c>
      <c r="F16" s="123">
        <f>VLOOKUP(A16,Materiales[],6,FALSE)</f>
        <v>3680</v>
      </c>
      <c r="G16" s="123">
        <f t="shared" si="0"/>
        <v>88320</v>
      </c>
      <c r="I16" s="33"/>
    </row>
    <row r="17" spans="1:9" ht="14.5">
      <c r="A17" s="125">
        <v>140</v>
      </c>
      <c r="B17" s="122" t="str">
        <f>VLOOKUP(A17,Materiales[],3,FALSE)</f>
        <v>Marcador tipo anillo ar2 (+, -, L, N,T) x 20 Piezas</v>
      </c>
      <c r="C17" s="121" t="str">
        <f>VLOOKUP(A17,Materiales[],4,FALSE)</f>
        <v>JG</v>
      </c>
      <c r="D17" s="118">
        <v>2</v>
      </c>
      <c r="E17" s="329">
        <f>VLOOKUP(A17,Materiales[],5,FALSE)*D17</f>
        <v>0.02</v>
      </c>
      <c r="F17" s="123">
        <f>VLOOKUP(A17,Materiales[],6,FALSE)</f>
        <v>10810</v>
      </c>
      <c r="G17" s="123">
        <f t="shared" si="0"/>
        <v>21620</v>
      </c>
      <c r="I17" s="33"/>
    </row>
    <row r="18" spans="1:9" ht="14.5">
      <c r="A18" s="125">
        <v>10</v>
      </c>
      <c r="B18" s="122" t="str">
        <f>VLOOKUP(A18,Materiales[],3,FALSE)</f>
        <v>Riel DIN 35 mm x 7.5 mm</v>
      </c>
      <c r="C18" s="121" t="str">
        <f>VLOOKUP(A18,Materiales[],4,FALSE)</f>
        <v>ML</v>
      </c>
      <c r="D18" s="332">
        <v>1</v>
      </c>
      <c r="E18" s="329">
        <f>VLOOKUP(A18,Materiales[],5,FALSE)*D18</f>
        <v>0.3</v>
      </c>
      <c r="F18" s="123">
        <f>VLOOKUP(A18,Materiales[],6,FALSE)</f>
        <v>10732</v>
      </c>
      <c r="G18" s="123">
        <f t="shared" si="0"/>
        <v>10732</v>
      </c>
      <c r="I18" s="33"/>
    </row>
    <row r="19" spans="1:9" ht="14.5">
      <c r="A19" s="125">
        <v>397</v>
      </c>
      <c r="B19" s="122" t="str">
        <f>VLOOKUP(A19,Materiales[],3,FALSE)</f>
        <v>Cable Cu THHN 8 AWG verde</v>
      </c>
      <c r="C19" s="121" t="str">
        <f>VLOOKUP(A19,Materiales[],4,FALSE)</f>
        <v>ML</v>
      </c>
      <c r="D19" s="332">
        <v>2</v>
      </c>
      <c r="E19" s="329">
        <f>VLOOKUP(A19,Materiales[],5,FALSE)*D19</f>
        <v>0.7</v>
      </c>
      <c r="F19" s="123">
        <f>VLOOKUP(A19,Materiales[],6,FALSE)</f>
        <v>7081</v>
      </c>
      <c r="G19" s="123">
        <f t="shared" ref="G19:G20" si="1">ROUND(D19*F19,0)</f>
        <v>14162</v>
      </c>
      <c r="I19" s="33"/>
    </row>
    <row r="20" spans="1:9" ht="14.5">
      <c r="A20" s="125">
        <v>396</v>
      </c>
      <c r="B20" s="122" t="str">
        <f>VLOOKUP(A20,Materiales[],3,FALSE)</f>
        <v>Cable Cu THHN 4 AWG verde</v>
      </c>
      <c r="C20" s="121" t="str">
        <f>VLOOKUP(A20,Materiales[],4,FALSE)</f>
        <v>ML</v>
      </c>
      <c r="D20" s="332">
        <v>1</v>
      </c>
      <c r="E20" s="329">
        <f>VLOOKUP(A20,Materiales[],5,FALSE)*D20</f>
        <v>0.23499999999999999</v>
      </c>
      <c r="F20" s="123">
        <f>VLOOKUP(A20,Materiales[],6,FALSE)</f>
        <v>18272</v>
      </c>
      <c r="G20" s="123">
        <f t="shared" si="1"/>
        <v>18272</v>
      </c>
      <c r="I20" s="33"/>
    </row>
    <row r="21" spans="1:9" ht="14.5">
      <c r="A21" s="125">
        <v>237</v>
      </c>
      <c r="B21" s="122" t="str">
        <f>VLOOKUP(A21,Materiales[],3,FALSE)</f>
        <v>Cable Cu THHN 4 AWG</v>
      </c>
      <c r="C21" s="121" t="str">
        <f>VLOOKUP(A21,Materiales[],4,FALSE)</f>
        <v>ML</v>
      </c>
      <c r="D21" s="332">
        <v>1</v>
      </c>
      <c r="E21" s="329">
        <f>VLOOKUP(A21,Materiales[],5,FALSE)*D21</f>
        <v>0.23499999999999999</v>
      </c>
      <c r="F21" s="123">
        <f>VLOOKUP(A21,Materiales[],6,FALSE)</f>
        <v>18272</v>
      </c>
      <c r="G21" s="123">
        <f t="shared" ref="G21" si="2">ROUND(D21*F21,0)</f>
        <v>18272</v>
      </c>
      <c r="I21" s="33"/>
    </row>
    <row r="22" spans="1:9" ht="13">
      <c r="D22" s="18"/>
      <c r="E22" s="18"/>
      <c r="F22" s="29" t="s">
        <v>1220</v>
      </c>
      <c r="G22" s="42">
        <f>SUM(G8:G21)</f>
        <v>6629102</v>
      </c>
    </row>
    <row r="24" spans="1:9" ht="13">
      <c r="B24" s="20" t="s">
        <v>1221</v>
      </c>
      <c r="G24" s="39"/>
    </row>
    <row r="25" spans="1:9" ht="13">
      <c r="A25" s="119" t="s">
        <v>184</v>
      </c>
      <c r="B25" s="120" t="s">
        <v>1</v>
      </c>
      <c r="C25" s="13" t="s">
        <v>1231</v>
      </c>
      <c r="D25" s="13" t="s">
        <v>1222</v>
      </c>
      <c r="E25" s="13"/>
      <c r="F25" s="13" t="s">
        <v>307</v>
      </c>
      <c r="G25" s="13" t="s">
        <v>752</v>
      </c>
    </row>
    <row r="26" spans="1:9" ht="14.5">
      <c r="A26" s="125">
        <v>1</v>
      </c>
      <c r="B26" s="122" t="str">
        <f>VLOOKUP(A26,Equip.Herram[],2,FALSE)</f>
        <v>Herramienta menor</v>
      </c>
      <c r="C26" s="15" t="str">
        <f>VLOOKUP(A26,Equip.Herram[],3,FALSE)</f>
        <v>UN</v>
      </c>
      <c r="D26" s="36">
        <f>VLOOKUP(A26,Equip.Herram[],4,FALSE)</f>
        <v>24840</v>
      </c>
      <c r="E26" s="36"/>
      <c r="F26" s="16">
        <f>+RENDIMIENTOS!C34</f>
        <v>1</v>
      </c>
      <c r="G26" s="36">
        <f>ROUND(D26/F26,0)</f>
        <v>24840</v>
      </c>
    </row>
    <row r="27" spans="1:9">
      <c r="B27" s="14"/>
      <c r="C27" s="15"/>
      <c r="D27" s="17"/>
      <c r="E27" s="17"/>
      <c r="F27" s="22"/>
      <c r="G27" s="21"/>
    </row>
    <row r="28" spans="1:9">
      <c r="B28" s="14"/>
      <c r="C28" s="15"/>
      <c r="D28" s="17"/>
      <c r="E28" s="17"/>
      <c r="F28" s="22"/>
      <c r="G28" s="21"/>
    </row>
    <row r="29" spans="1:9" ht="13">
      <c r="D29" s="18"/>
      <c r="E29" s="18"/>
      <c r="F29" s="19" t="s">
        <v>1220</v>
      </c>
      <c r="G29" s="37">
        <f>SUM(G26:G28)</f>
        <v>24840</v>
      </c>
    </row>
    <row r="30" spans="1:9" ht="13">
      <c r="D30" s="18"/>
      <c r="E30" s="18"/>
      <c r="F30" s="18"/>
      <c r="G30" s="23"/>
    </row>
    <row r="31" spans="1:9" ht="13">
      <c r="B31" s="11" t="s">
        <v>1223</v>
      </c>
      <c r="G31" s="24"/>
    </row>
    <row r="32" spans="1:9" ht="13">
      <c r="A32" s="119" t="s">
        <v>184</v>
      </c>
      <c r="B32" s="12" t="s">
        <v>1</v>
      </c>
      <c r="C32" s="13" t="s">
        <v>185</v>
      </c>
      <c r="D32" s="13" t="s">
        <v>1230</v>
      </c>
      <c r="E32" s="13"/>
      <c r="F32" s="13" t="s">
        <v>1233</v>
      </c>
      <c r="G32" s="25" t="s">
        <v>752</v>
      </c>
      <c r="I32" s="39"/>
    </row>
    <row r="33" spans="1:9" ht="26.5" customHeight="1">
      <c r="A33" s="125">
        <v>1</v>
      </c>
      <c r="B33" s="122" t="str">
        <f>VLOOKUP(A33,Transporte[],2,FALSE)</f>
        <v>Carga terrestre Bogotá - Teorama</v>
      </c>
      <c r="C33" s="27" t="s">
        <v>1234</v>
      </c>
      <c r="D33" s="118">
        <f>+SUM(E8:E18)</f>
        <v>39.021519999999995</v>
      </c>
      <c r="E33" s="118"/>
      <c r="F33" s="142">
        <f>VLOOKUP(A33,Transporte[],7,FALSE)</f>
        <v>214.17955999999998</v>
      </c>
      <c r="G33" s="35">
        <f>D33*F33</f>
        <v>8357.6119841311975</v>
      </c>
    </row>
    <row r="34" spans="1:9" ht="13.4" customHeight="1">
      <c r="A34" s="125">
        <v>3</v>
      </c>
      <c r="B34" s="122" t="str">
        <f>VLOOKUP(A34,Transporte[],2,FALSE)</f>
        <v>Carga terrestre Teorama - Comunidades</v>
      </c>
      <c r="C34" s="27" t="s">
        <v>1234</v>
      </c>
      <c r="D34" s="118">
        <f>+SUM(E8:E18)</f>
        <v>39.021519999999995</v>
      </c>
      <c r="E34" s="118"/>
      <c r="F34" s="142">
        <f>VLOOKUP(A34,Transporte[],7,FALSE)</f>
        <v>1491</v>
      </c>
      <c r="G34" s="35">
        <f>D34*F34</f>
        <v>58181.086319999995</v>
      </c>
    </row>
    <row r="35" spans="1:9" ht="13.4" customHeight="1">
      <c r="B35" s="26"/>
      <c r="C35" s="27"/>
      <c r="D35" s="28"/>
      <c r="E35" s="28"/>
      <c r="F35" s="35"/>
      <c r="G35" s="35"/>
    </row>
    <row r="36" spans="1:9" ht="13">
      <c r="D36" s="18"/>
      <c r="E36" s="18"/>
      <c r="F36" s="29" t="s">
        <v>1220</v>
      </c>
      <c r="G36" s="37">
        <f>SUM(G33:G35)</f>
        <v>66538.698304131191</v>
      </c>
    </row>
    <row r="37" spans="1:9" ht="13">
      <c r="D37" s="18"/>
      <c r="E37" s="18"/>
      <c r="G37" s="23"/>
    </row>
    <row r="38" spans="1:9" ht="13">
      <c r="B38" s="11" t="s">
        <v>1225</v>
      </c>
      <c r="D38" s="30"/>
      <c r="E38" s="30"/>
      <c r="F38" s="31"/>
      <c r="G38" s="24"/>
    </row>
    <row r="39" spans="1:9" s="18" customFormat="1" ht="13">
      <c r="A39" s="119" t="s">
        <v>184</v>
      </c>
      <c r="B39" s="12" t="s">
        <v>1</v>
      </c>
      <c r="C39" s="13" t="s">
        <v>1226</v>
      </c>
      <c r="D39" s="13" t="s">
        <v>1227</v>
      </c>
      <c r="E39" s="13"/>
      <c r="F39" s="13" t="s">
        <v>307</v>
      </c>
      <c r="G39" s="25" t="s">
        <v>752</v>
      </c>
    </row>
    <row r="40" spans="1:9" ht="14.5">
      <c r="A40" s="125">
        <v>1</v>
      </c>
      <c r="B40" s="122" t="str">
        <f>VLOOKUP(A40,ManoObra[],2,FALSE)</f>
        <v>Electricista</v>
      </c>
      <c r="C40" s="40">
        <f>VLOOKUP(A40,ManoObra[],7,FALSE)</f>
        <v>71863</v>
      </c>
      <c r="D40" s="22">
        <f>FP!$B$28</f>
        <v>1.61</v>
      </c>
      <c r="E40" s="22"/>
      <c r="F40" s="16">
        <f>+RENDIMIENTOS!$C$34</f>
        <v>1</v>
      </c>
      <c r="G40" s="36">
        <f>ROUND(C40*D40/F40,0)</f>
        <v>115699</v>
      </c>
      <c r="I40" s="81"/>
    </row>
    <row r="41" spans="1:9" ht="14.5">
      <c r="A41" s="125">
        <v>2</v>
      </c>
      <c r="B41" s="122" t="str">
        <f>VLOOKUP(A41,ManoObra[],2,FALSE)</f>
        <v>Ayudante</v>
      </c>
      <c r="C41" s="40">
        <f>VLOOKUP(A41,ManoObra[],7,FALSE)</f>
        <v>66050</v>
      </c>
      <c r="D41" s="22">
        <f>FP!$B$28</f>
        <v>1.61</v>
      </c>
      <c r="E41" s="22"/>
      <c r="F41" s="16">
        <f>+RENDIMIENTOS!$C$34</f>
        <v>1</v>
      </c>
      <c r="G41" s="36">
        <f>ROUND(C41*D41/F41,0)</f>
        <v>106341</v>
      </c>
      <c r="I41" s="81"/>
    </row>
    <row r="42" spans="1:9" ht="13">
      <c r="D42" s="18"/>
      <c r="E42" s="18"/>
      <c r="F42" s="29" t="s">
        <v>1220</v>
      </c>
      <c r="G42" s="42">
        <f>SUM(G40:G41)</f>
        <v>222040</v>
      </c>
    </row>
    <row r="43" spans="1:9" ht="13">
      <c r="D43" s="18"/>
      <c r="E43" s="18"/>
      <c r="G43" s="24"/>
    </row>
    <row r="44" spans="1:9" ht="12.75" customHeight="1">
      <c r="A44"/>
      <c r="D44" s="1725" t="s">
        <v>1228</v>
      </c>
      <c r="E44" s="1730"/>
      <c r="F44" s="1726"/>
      <c r="G44" s="38">
        <f>G22+G29+G36+G42</f>
        <v>6942520.6983041316</v>
      </c>
    </row>
    <row r="45" spans="1:9" ht="13">
      <c r="A45" s="441"/>
      <c r="B45" s="441"/>
      <c r="D45" s="18"/>
      <c r="E45" s="18"/>
      <c r="F45" s="10"/>
      <c r="G45" s="41"/>
    </row>
    <row r="46" spans="1:9" ht="14">
      <c r="A46" s="442"/>
      <c r="B46" s="840"/>
    </row>
    <row r="47" spans="1:9" ht="42">
      <c r="B47" s="1028" t="s">
        <v>1235</v>
      </c>
    </row>
  </sheetData>
  <mergeCells count="4">
    <mergeCell ref="B3:F3"/>
    <mergeCell ref="B4:D4"/>
    <mergeCell ref="D44:F44"/>
    <mergeCell ref="A1:G1"/>
  </mergeCells>
  <printOptions horizontalCentered="1"/>
  <pageMargins left="0.70866141732283472" right="0.70866141732283472" top="1.5748031496062993" bottom="0.98425196850393704" header="0.98425196850393704" footer="0.51181102362204722"/>
  <pageSetup scale="72" orientation="portrait" r:id="rId1"/>
  <headerFooter alignWithMargins="0">
    <oddHeader xml:space="preserve">&amp;C&amp;"Arial,Negrita"&amp;12ANÁLISIS DE PRECIOS UNITARIOS
</oddHeader>
  </headerFooter>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C58CD-2966-4A5A-882B-FABA63630398}">
  <sheetPr>
    <tabColor theme="8" tint="0.59999389629810485"/>
    <pageSetUpPr fitToPage="1"/>
  </sheetPr>
  <dimension ref="A1:L40"/>
  <sheetViews>
    <sheetView view="pageBreakPreview" zoomScale="80" zoomScaleNormal="100" zoomScaleSheetLayoutView="80"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7" style="5" bestFit="1" customWidth="1"/>
    <col min="8" max="8" width="6.453125" style="5" customWidth="1"/>
    <col min="9" max="9" width="11.453125" style="5"/>
    <col min="10" max="10" width="11.54296875" style="5" bestFit="1" customWidth="1"/>
    <col min="11" max="16384" width="11.453125" style="5"/>
  </cols>
  <sheetData>
    <row r="1" spans="1:12" ht="33"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12" ht="12.75" customHeight="1">
      <c r="B3" s="1727" t="str">
        <f>CONCATENATE("ITEM:  ",'PRES MR 10 KW'!A11)</f>
        <v>ITEM:  3.1.6</v>
      </c>
      <c r="C3" s="1728"/>
      <c r="D3" s="1728"/>
      <c r="E3" s="1728"/>
      <c r="F3" s="1728"/>
      <c r="G3" s="6" t="s">
        <v>1229</v>
      </c>
      <c r="H3" s="7"/>
    </row>
    <row r="4" spans="1:12" ht="78.75" customHeight="1">
      <c r="B4" s="1722" t="str">
        <f>+'PRES MR 10 KW'!B11</f>
        <v>Suministro, transporte e instalación de banco de baterías de 49152 Wh a 51,2 V. Incluye rack de baterías, cables de interconexión y conexión al sistema de moniteoreo mediante protocolo CAN-BUS. las baterías de ion - litio tipo fosfato de hierro (LiFePO4) de ciclo profundo de 120 Ah - 51,2 VDC -  6.000 ciclos hasta el 80% DOD, libre de mantenimiento. Con BMS, puertos de comunicaciones,  vida útil mín de 15 años y 10 años de garantia.</v>
      </c>
      <c r="C4" s="1723"/>
      <c r="D4" s="1724"/>
      <c r="E4" s="328"/>
      <c r="G4" s="8" t="str">
        <f>+'PRES MR 5 KW'!C11</f>
        <v>UN</v>
      </c>
    </row>
    <row r="5" spans="1:12" ht="13">
      <c r="B5" s="9"/>
      <c r="G5" s="10"/>
    </row>
    <row r="6" spans="1:12" ht="13">
      <c r="B6" s="20" t="s">
        <v>1219</v>
      </c>
    </row>
    <row r="7" spans="1:12" ht="13">
      <c r="A7" s="119" t="s">
        <v>184</v>
      </c>
      <c r="B7" s="120" t="s">
        <v>1</v>
      </c>
      <c r="C7" s="120" t="s">
        <v>185</v>
      </c>
      <c r="D7" s="120" t="s">
        <v>334</v>
      </c>
      <c r="E7" s="120" t="s">
        <v>1230</v>
      </c>
      <c r="F7" s="120" t="s">
        <v>751</v>
      </c>
      <c r="G7" s="120" t="s">
        <v>752</v>
      </c>
    </row>
    <row r="8" spans="1:12" ht="25">
      <c r="A8" s="439">
        <v>337</v>
      </c>
      <c r="B8" s="122" t="str">
        <f>VLOOKUP(A8,Materiales[],3,FALSE)</f>
        <v>Batería de ión - litio tipo fosfato de hierro (LiFePO4) de ciclo profundo de 120 Ah - 51,2 VDC</v>
      </c>
      <c r="C8" s="121" t="str">
        <f>VLOOKUP(A8,Materiales[],4,FALSE)</f>
        <v>UN</v>
      </c>
      <c r="D8" s="440">
        <v>8</v>
      </c>
      <c r="E8" s="329">
        <f>VLOOKUP(A8,Materiales[],5,FALSE)*D8</f>
        <v>456</v>
      </c>
      <c r="F8" s="123">
        <f>VLOOKUP(A8,Materiales[],6,FALSE)</f>
        <v>10512974</v>
      </c>
      <c r="G8" s="123">
        <f>ROUND(D8*F8,0)</f>
        <v>84103792</v>
      </c>
      <c r="I8" s="33">
        <f>6.1*8</f>
        <v>48.8</v>
      </c>
      <c r="K8" s="5">
        <f>120*51.2</f>
        <v>6144</v>
      </c>
      <c r="L8" s="5">
        <f>+K8*8</f>
        <v>49152</v>
      </c>
    </row>
    <row r="9" spans="1:12" ht="25">
      <c r="A9" s="125">
        <v>27</v>
      </c>
      <c r="B9" s="122" t="str">
        <f>VLOOKUP(A9,Materiales[],3,FALSE)</f>
        <v>Gabinete de Piso 40U (Ancho: 710 mm • Fondo: 990 mm)</v>
      </c>
      <c r="C9" s="121" t="str">
        <f>VLOOKUP(A9,Materiales[],4,FALSE)</f>
        <v>UN</v>
      </c>
      <c r="D9" s="118">
        <v>1</v>
      </c>
      <c r="E9" s="329">
        <f>VLOOKUP(A9,Materiales[],5,FALSE)*D9</f>
        <v>25</v>
      </c>
      <c r="F9" s="123">
        <f>VLOOKUP(A9,Materiales[],6,FALSE)</f>
        <v>2975622</v>
      </c>
      <c r="G9" s="123">
        <f t="shared" ref="G9:G14" si="0">ROUND(D9*F9,0)</f>
        <v>2975622</v>
      </c>
      <c r="I9" s="33">
        <f>120*6</f>
        <v>720</v>
      </c>
    </row>
    <row r="10" spans="1:12" ht="14.5">
      <c r="A10" s="125">
        <v>166</v>
      </c>
      <c r="B10" s="122" t="str">
        <f>VLOOKUP(A10,Materiales[],3,FALSE)</f>
        <v>Cable Cu SGT 4 AWG</v>
      </c>
      <c r="C10" s="121" t="str">
        <f>VLOOKUP(A10,Materiales[],4,FALSE)</f>
        <v>ML</v>
      </c>
      <c r="D10" s="333">
        <f>0.63*8</f>
        <v>5.04</v>
      </c>
      <c r="E10" s="329">
        <f>VLOOKUP(A10,Materiales[],5,FALSE)*D10</f>
        <v>1.1843999999999999</v>
      </c>
      <c r="F10" s="123">
        <f>VLOOKUP(A10,Materiales[],6,FALSE)</f>
        <v>39137</v>
      </c>
      <c r="G10" s="123">
        <f t="shared" si="0"/>
        <v>197250</v>
      </c>
      <c r="I10" s="33"/>
    </row>
    <row r="11" spans="1:12" ht="14.5">
      <c r="A11" s="125">
        <v>52</v>
      </c>
      <c r="B11" s="122" t="str">
        <f>VLOOKUP(A11,Materiales[],3,FALSE)</f>
        <v>Desconectador de baterías 600 A</v>
      </c>
      <c r="C11" s="121" t="str">
        <f>VLOOKUP(A11,Materiales[],4,FALSE)</f>
        <v>UN</v>
      </c>
      <c r="D11" s="118">
        <v>1</v>
      </c>
      <c r="E11" s="329">
        <f>VLOOKUP(A11,Materiales[],5,FALSE)*D11</f>
        <v>0.35</v>
      </c>
      <c r="F11" s="123">
        <f>VLOOKUP(A11,Materiales[],6,FALSE)</f>
        <v>283017</v>
      </c>
      <c r="G11" s="123">
        <f t="shared" si="0"/>
        <v>283017</v>
      </c>
      <c r="I11" s="33"/>
    </row>
    <row r="12" spans="1:12" ht="14.5">
      <c r="A12" s="125">
        <v>56</v>
      </c>
      <c r="B12" s="122" t="str">
        <f>VLOOKUP(A12,Materiales[],3,FALSE)</f>
        <v>Cable UTP Cat6</v>
      </c>
      <c r="C12" s="121" t="str">
        <f>VLOOKUP(A12,Materiales[],4,FALSE)</f>
        <v>ML</v>
      </c>
      <c r="D12" s="118">
        <v>8</v>
      </c>
      <c r="E12" s="329">
        <f>VLOOKUP(A12,Materiales[],5,FALSE)*D12</f>
        <v>0.25600000000000001</v>
      </c>
      <c r="F12" s="123">
        <f>VLOOKUP(A12,Materiales[],6,FALSE)</f>
        <v>3144</v>
      </c>
      <c r="G12" s="123">
        <f t="shared" si="0"/>
        <v>25152</v>
      </c>
      <c r="I12" s="33"/>
    </row>
    <row r="13" spans="1:12" ht="14.5">
      <c r="A13" s="125">
        <v>57</v>
      </c>
      <c r="B13" s="122" t="str">
        <f>VLOOKUP(A13,Materiales[],3,FALSE)</f>
        <v>Conector RJ45</v>
      </c>
      <c r="C13" s="121" t="str">
        <f>VLOOKUP(A13,Materiales[],4,FALSE)</f>
        <v>UN</v>
      </c>
      <c r="D13" s="118">
        <f>+D8</f>
        <v>8</v>
      </c>
      <c r="E13" s="329">
        <f>VLOOKUP(A13,Materiales[],5,FALSE)*D13</f>
        <v>0.08</v>
      </c>
      <c r="F13" s="123">
        <f>VLOOKUP(A13,Materiales[],6,FALSE)</f>
        <v>3429</v>
      </c>
      <c r="G13" s="123">
        <f t="shared" si="0"/>
        <v>27432</v>
      </c>
      <c r="I13" s="33"/>
    </row>
    <row r="14" spans="1:12" ht="14.5">
      <c r="A14" s="125">
        <v>29</v>
      </c>
      <c r="B14" s="122" t="str">
        <f>VLOOKUP(A14,Materiales[],3,FALSE)</f>
        <v>Terminales para batería. Par</v>
      </c>
      <c r="C14" s="121" t="str">
        <f>VLOOKUP(A14,Materiales[],4,FALSE)</f>
        <v>JG</v>
      </c>
      <c r="D14" s="118">
        <f>+D8</f>
        <v>8</v>
      </c>
      <c r="E14" s="329">
        <f>VLOOKUP(A14,Materiales[],5,FALSE)*D14</f>
        <v>0.16</v>
      </c>
      <c r="F14" s="123">
        <f>VLOOKUP(A14,Materiales[],6,FALSE)</f>
        <v>122165</v>
      </c>
      <c r="G14" s="123">
        <f t="shared" si="0"/>
        <v>977320</v>
      </c>
      <c r="I14" s="33"/>
    </row>
    <row r="15" spans="1:12" ht="13">
      <c r="D15" s="18"/>
      <c r="E15" s="18"/>
      <c r="F15" s="29" t="s">
        <v>1220</v>
      </c>
      <c r="G15" s="42">
        <f>SUM(G8:G14)</f>
        <v>88589585</v>
      </c>
    </row>
    <row r="17" spans="1:9" ht="13">
      <c r="B17" s="20" t="s">
        <v>1221</v>
      </c>
      <c r="G17" s="39"/>
    </row>
    <row r="18" spans="1:9" ht="13">
      <c r="A18" s="119" t="s">
        <v>184</v>
      </c>
      <c r="B18" s="120" t="s">
        <v>1</v>
      </c>
      <c r="C18" s="13" t="s">
        <v>1231</v>
      </c>
      <c r="D18" s="13" t="s">
        <v>1222</v>
      </c>
      <c r="E18" s="13"/>
      <c r="F18" s="13" t="s">
        <v>307</v>
      </c>
      <c r="G18" s="13" t="s">
        <v>752</v>
      </c>
    </row>
    <row r="19" spans="1:9" ht="14.5">
      <c r="A19" s="125">
        <v>1</v>
      </c>
      <c r="B19" s="122" t="str">
        <f>VLOOKUP(A19,Equip.Herram[],2,FALSE)</f>
        <v>Herramienta menor</v>
      </c>
      <c r="C19" s="15" t="str">
        <f>VLOOKUP(A19,Equip.Herram[],3,FALSE)</f>
        <v>UN</v>
      </c>
      <c r="D19" s="36">
        <f>VLOOKUP(A19,Equip.Herram[],4,FALSE)</f>
        <v>24840</v>
      </c>
      <c r="E19" s="36"/>
      <c r="F19" s="16">
        <f>+RENDIMIENTOS!$C$35</f>
        <v>1</v>
      </c>
      <c r="G19" s="36">
        <f>ROUND(D19/F19,0)</f>
        <v>24840</v>
      </c>
    </row>
    <row r="20" spans="1:9">
      <c r="B20" s="14"/>
      <c r="C20" s="15"/>
      <c r="D20" s="17"/>
      <c r="E20" s="17"/>
      <c r="F20" s="22"/>
      <c r="G20" s="21"/>
    </row>
    <row r="21" spans="1:9">
      <c r="B21" s="14"/>
      <c r="C21" s="15"/>
      <c r="D21" s="17"/>
      <c r="E21" s="17"/>
      <c r="F21" s="22"/>
      <c r="G21" s="21"/>
    </row>
    <row r="22" spans="1:9" ht="13">
      <c r="D22" s="18"/>
      <c r="E22" s="18"/>
      <c r="F22" s="19" t="s">
        <v>1220</v>
      </c>
      <c r="G22" s="37">
        <f>SUM(G19:G21)</f>
        <v>24840</v>
      </c>
    </row>
    <row r="23" spans="1:9" ht="13">
      <c r="D23" s="18"/>
      <c r="E23" s="18"/>
      <c r="F23" s="18"/>
      <c r="G23" s="23"/>
    </row>
    <row r="24" spans="1:9" ht="13">
      <c r="B24" s="11" t="s">
        <v>1223</v>
      </c>
      <c r="G24" s="24"/>
    </row>
    <row r="25" spans="1:9" ht="13">
      <c r="A25" s="119" t="s">
        <v>184</v>
      </c>
      <c r="B25" s="12" t="s">
        <v>1</v>
      </c>
      <c r="C25" s="13" t="s">
        <v>185</v>
      </c>
      <c r="D25" s="13" t="s">
        <v>1230</v>
      </c>
      <c r="E25" s="13"/>
      <c r="F25" s="13" t="s">
        <v>1233</v>
      </c>
      <c r="G25" s="25" t="s">
        <v>752</v>
      </c>
      <c r="I25" s="39"/>
    </row>
    <row r="26" spans="1:9" ht="26.5" customHeight="1">
      <c r="A26" s="125">
        <v>1</v>
      </c>
      <c r="B26" s="122" t="str">
        <f>VLOOKUP(A26,Transporte[],2,FALSE)</f>
        <v>Carga terrestre Bogotá - Teorama</v>
      </c>
      <c r="C26" s="27" t="s">
        <v>1234</v>
      </c>
      <c r="D26" s="118">
        <f>+SUM(E8:E14)</f>
        <v>483.03039999999999</v>
      </c>
      <c r="E26" s="118"/>
      <c r="F26" s="142">
        <f>VLOOKUP(A26,Transporte[],7,FALSE)</f>
        <v>214.17955999999998</v>
      </c>
      <c r="G26" s="35">
        <f>D26*F26</f>
        <v>103455.23853862399</v>
      </c>
    </row>
    <row r="27" spans="1:9" ht="13.4" customHeight="1">
      <c r="A27" s="125">
        <v>3</v>
      </c>
      <c r="B27" s="122" t="str">
        <f>VLOOKUP(A27,Transporte[],2,FALSE)</f>
        <v>Carga terrestre Teorama - Comunidades</v>
      </c>
      <c r="C27" s="27" t="s">
        <v>1234</v>
      </c>
      <c r="D27" s="118">
        <f>+SUM(E8:E14)</f>
        <v>483.03039999999999</v>
      </c>
      <c r="E27" s="118"/>
      <c r="F27" s="142">
        <f>VLOOKUP(A27,Transporte[],7,FALSE)</f>
        <v>1491</v>
      </c>
      <c r="G27" s="35">
        <f>D27*F27</f>
        <v>720198.32640000002</v>
      </c>
    </row>
    <row r="28" spans="1:9" ht="13.4" customHeight="1">
      <c r="B28" s="26"/>
      <c r="C28" s="27"/>
      <c r="D28" s="28"/>
      <c r="E28" s="28"/>
      <c r="F28" s="35"/>
      <c r="G28" s="35"/>
    </row>
    <row r="29" spans="1:9" ht="13">
      <c r="D29" s="18"/>
      <c r="E29" s="18"/>
      <c r="F29" s="29" t="s">
        <v>1220</v>
      </c>
      <c r="G29" s="37">
        <f>SUM(G26:G28)</f>
        <v>823653.56493862404</v>
      </c>
    </row>
    <row r="30" spans="1:9" ht="13">
      <c r="D30" s="18"/>
      <c r="E30" s="18"/>
      <c r="G30" s="23"/>
    </row>
    <row r="31" spans="1:9" ht="13">
      <c r="B31" s="11" t="s">
        <v>1225</v>
      </c>
      <c r="D31" s="30"/>
      <c r="E31" s="30"/>
      <c r="F31" s="31"/>
      <c r="G31" s="24"/>
    </row>
    <row r="32" spans="1:9" s="18" customFormat="1" ht="13">
      <c r="A32" s="119" t="s">
        <v>184</v>
      </c>
      <c r="B32" s="12" t="s">
        <v>1</v>
      </c>
      <c r="C32" s="13" t="s">
        <v>1226</v>
      </c>
      <c r="D32" s="13" t="s">
        <v>1227</v>
      </c>
      <c r="E32" s="13"/>
      <c r="F32" s="13" t="s">
        <v>307</v>
      </c>
      <c r="G32" s="25" t="s">
        <v>752</v>
      </c>
    </row>
    <row r="33" spans="1:9" ht="14.5">
      <c r="A33" s="125">
        <v>1</v>
      </c>
      <c r="B33" s="122" t="str">
        <f>VLOOKUP(A33,ManoObra[],2,FALSE)</f>
        <v>Electricista</v>
      </c>
      <c r="C33" s="40">
        <f>VLOOKUP(A33,ManoObra[],7,FALSE)</f>
        <v>71863</v>
      </c>
      <c r="D33" s="22">
        <f>FP!$B$28</f>
        <v>1.61</v>
      </c>
      <c r="E33" s="22"/>
      <c r="F33" s="16">
        <f>+RENDIMIENTOS!$C$35</f>
        <v>1</v>
      </c>
      <c r="G33" s="36">
        <f>ROUND(C33*D33/F33,0)</f>
        <v>115699</v>
      </c>
      <c r="I33" s="81"/>
    </row>
    <row r="34" spans="1:9" ht="14.5">
      <c r="A34" s="125">
        <v>2</v>
      </c>
      <c r="B34" s="122" t="str">
        <f>VLOOKUP(A34,ManoObra[],2,FALSE)</f>
        <v>Ayudante</v>
      </c>
      <c r="C34" s="40">
        <f>VLOOKUP(A34,ManoObra[],7,FALSE)</f>
        <v>66050</v>
      </c>
      <c r="D34" s="22">
        <f>FP!$B$28</f>
        <v>1.61</v>
      </c>
      <c r="E34" s="22"/>
      <c r="F34" s="16">
        <f>+RENDIMIENTOS!$C$35</f>
        <v>1</v>
      </c>
      <c r="G34" s="36">
        <f>ROUND(C34*D34/F34,0)</f>
        <v>106341</v>
      </c>
      <c r="I34" s="81"/>
    </row>
    <row r="35" spans="1:9" ht="13">
      <c r="D35" s="18"/>
      <c r="E35" s="18"/>
      <c r="F35" s="29" t="s">
        <v>1220</v>
      </c>
      <c r="G35" s="42">
        <f>SUM(G33:G34)</f>
        <v>222040</v>
      </c>
    </row>
    <row r="36" spans="1:9" ht="13">
      <c r="D36" s="18"/>
      <c r="E36" s="18"/>
      <c r="G36" s="24"/>
    </row>
    <row r="37" spans="1:9" ht="12.75" customHeight="1">
      <c r="A37"/>
      <c r="D37" s="1725" t="s">
        <v>1228</v>
      </c>
      <c r="E37" s="1730"/>
      <c r="F37" s="1726"/>
      <c r="G37" s="38">
        <f>G15+G22+G29+G35</f>
        <v>89660118.56493862</v>
      </c>
    </row>
    <row r="38" spans="1:9" ht="13">
      <c r="A38" s="441"/>
      <c r="B38" s="441"/>
      <c r="D38" s="18"/>
      <c r="E38" s="18"/>
      <c r="F38" s="10"/>
      <c r="G38" s="41"/>
    </row>
    <row r="39" spans="1:9" ht="14">
      <c r="A39" s="442"/>
      <c r="B39" s="840"/>
    </row>
    <row r="40" spans="1:9" ht="42">
      <c r="B40" s="1028" t="s">
        <v>1235</v>
      </c>
    </row>
  </sheetData>
  <mergeCells count="4">
    <mergeCell ref="B3:F3"/>
    <mergeCell ref="B4:D4"/>
    <mergeCell ref="D37:F37"/>
    <mergeCell ref="A1:G1"/>
  </mergeCells>
  <printOptions horizontalCentered="1"/>
  <pageMargins left="0.70866141732283472" right="0.70866141732283472" top="1.5748031496062993" bottom="0.98425196850393704" header="0.98425196850393704" footer="0.51181102362204722"/>
  <pageSetup scale="75" orientation="portrait" r:id="rId1"/>
  <headerFooter alignWithMargins="0">
    <oddHeader xml:space="preserve">&amp;C&amp;"Arial,Negrita"&amp;12ANÁLISIS DE PRECIOS UNITARIOS
</oddHeader>
  </headerFooter>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31FAF-96A2-4006-8613-4DCF723B26F9}">
  <sheetPr>
    <tabColor theme="8" tint="0.59999389629810485"/>
    <pageSetUpPr fitToPage="1"/>
  </sheetPr>
  <dimension ref="A1:I42"/>
  <sheetViews>
    <sheetView view="pageBreakPreview" zoomScale="80" zoomScaleNormal="100" zoomScaleSheetLayoutView="80"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2.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10 KW'!A13)</f>
        <v>ITEM: 3.1.8</v>
      </c>
      <c r="C3" s="1728"/>
      <c r="D3" s="1728"/>
      <c r="E3" s="1728"/>
      <c r="F3" s="1728"/>
      <c r="G3" s="6" t="s">
        <v>1229</v>
      </c>
      <c r="H3" s="7"/>
    </row>
    <row r="4" spans="1:9" ht="59.15" customHeight="1">
      <c r="B4" s="1722" t="str">
        <f>+'PRES MR 10 KW'!B13</f>
        <v>Suministro, transporte e instalación de tablero de inversores en AC con cumplimiento retie, dimensiones 420x320x200 mm, incluye barrajes de 200 A, protecciones de 50 A y 100 A 120 Vac, y cableado de salida a autotransformador</v>
      </c>
      <c r="C4" s="1723"/>
      <c r="D4" s="1724"/>
      <c r="E4" s="328"/>
      <c r="G4" s="8" t="str">
        <f>+'PRES MR 5 KW'!C13</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37.5">
      <c r="A8" s="125">
        <v>31</v>
      </c>
      <c r="B8" s="122" t="str">
        <f>VLOOKUP(A8,Materiales[],3,FALSE)</f>
        <v>Gabinete eléctrico metálico con cumplimiento RETIE, con revestimiento eléctrostatico de dimensiones 420x320x200 IP66 Doble fondo.</v>
      </c>
      <c r="C8" s="121" t="str">
        <f>VLOOKUP(A8,Materiales[],4,FALSE)</f>
        <v>UN</v>
      </c>
      <c r="D8" s="118">
        <v>1</v>
      </c>
      <c r="E8" s="329">
        <f>VLOOKUP(A8,Materiales[],5,FALSE)*D8</f>
        <v>10</v>
      </c>
      <c r="F8" s="123">
        <f>VLOOKUP(A8,Materiales[],6,FALSE)</f>
        <v>827004</v>
      </c>
      <c r="G8" s="123">
        <f>ROUND(D8*F8,0)</f>
        <v>827004</v>
      </c>
      <c r="I8" s="33"/>
    </row>
    <row r="9" spans="1:9" ht="25">
      <c r="A9" s="125">
        <v>170</v>
      </c>
      <c r="B9" s="122" t="str">
        <f>VLOOKUP(A9,Materiales[],3,FALSE)</f>
        <v>Barraje de cobre tropicalizado de 125 A para 16 conexiones</v>
      </c>
      <c r="C9" s="121" t="str">
        <f>VLOOKUP(A9,Materiales[],4,FALSE)</f>
        <v>UN</v>
      </c>
      <c r="D9" s="118">
        <v>2</v>
      </c>
      <c r="E9" s="329">
        <f>VLOOKUP(A9,Materiales[],5,FALSE)*D9</f>
        <v>1</v>
      </c>
      <c r="F9" s="123">
        <f>VLOOKUP(A9,Materiales[],6,FALSE)</f>
        <v>43028</v>
      </c>
      <c r="G9" s="123">
        <f t="shared" ref="G9:G15" si="0">ROUND(D9*F9,0)</f>
        <v>86056</v>
      </c>
      <c r="I9" s="33"/>
    </row>
    <row r="10" spans="1:9" ht="14.5">
      <c r="A10" s="125">
        <v>24</v>
      </c>
      <c r="B10" s="122" t="str">
        <f>VLOOKUP(A10,Materiales[],3,FALSE)</f>
        <v>Borna para ponchar varios calibres y terminales</v>
      </c>
      <c r="C10" s="121" t="str">
        <f>VLOOKUP(A10,Materiales[],4,FALSE)</f>
        <v>UN</v>
      </c>
      <c r="D10" s="332">
        <v>6</v>
      </c>
      <c r="E10" s="329">
        <f>VLOOKUP(A10,Materiales[],5,FALSE)*D10</f>
        <v>4.8000000000000001E-2</v>
      </c>
      <c r="F10" s="123">
        <f>VLOOKUP(A10,Materiales[],6,FALSE)</f>
        <v>2111</v>
      </c>
      <c r="G10" s="123">
        <f t="shared" si="0"/>
        <v>12666</v>
      </c>
      <c r="I10" s="33"/>
    </row>
    <row r="11" spans="1:9" ht="25">
      <c r="A11" s="125">
        <v>25</v>
      </c>
      <c r="B11" s="122" t="str">
        <f>VLOOKUP(A11,Materiales[],3,FALSE)</f>
        <v>Tubo termoencogible. Distintos calibres, distintos colores</v>
      </c>
      <c r="C11" s="121" t="str">
        <f>VLOOKUP(A11,Materiales[],4,FALSE)</f>
        <v>UN</v>
      </c>
      <c r="D11" s="332">
        <v>6</v>
      </c>
      <c r="E11" s="329">
        <f>VLOOKUP(A11,Materiales[],5,FALSE)*D11</f>
        <v>4.8000000000000001E-2</v>
      </c>
      <c r="F11" s="123">
        <f>VLOOKUP(A11,Materiales[],6,FALSE)</f>
        <v>3680</v>
      </c>
      <c r="G11" s="123">
        <f t="shared" si="0"/>
        <v>22080</v>
      </c>
      <c r="I11" s="33"/>
    </row>
    <row r="12" spans="1:9" ht="14.5">
      <c r="A12" s="125">
        <v>11</v>
      </c>
      <c r="B12" s="122" t="str">
        <f>VLOOKUP(A12,Materiales[],3,FALSE)</f>
        <v xml:space="preserve">Interruptor termomagnético 50A 2P 500 VDC 6 Ka </v>
      </c>
      <c r="C12" s="121" t="str">
        <f>VLOOKUP(A12,Materiales[],4,FALSE)</f>
        <v>UN</v>
      </c>
      <c r="D12" s="332">
        <v>2</v>
      </c>
      <c r="E12" s="329">
        <f>VLOOKUP(A12,Materiales[],5,FALSE)*D12</f>
        <v>0.48</v>
      </c>
      <c r="F12" s="123">
        <f>VLOOKUP(A12,Materiales[],6,FALSE)</f>
        <v>98625</v>
      </c>
      <c r="G12" s="123">
        <f t="shared" si="0"/>
        <v>197250</v>
      </c>
      <c r="I12" s="33"/>
    </row>
    <row r="13" spans="1:9" ht="14.5">
      <c r="A13" s="125">
        <v>239</v>
      </c>
      <c r="B13" s="122" t="str">
        <f>VLOOKUP(A13,Materiales[],3,FALSE)</f>
        <v>Cable Cu THHN 1/0 AWG</v>
      </c>
      <c r="C13" s="121" t="str">
        <f>VLOOKUP(A13,Materiales[],4,FALSE)</f>
        <v>ML</v>
      </c>
      <c r="D13" s="332">
        <v>3.15</v>
      </c>
      <c r="E13" s="329">
        <f>VLOOKUP(A13,Materiales[],5,FALSE)*D13</f>
        <v>1.7262000000000002</v>
      </c>
      <c r="F13" s="123">
        <f>VLOOKUP(A13,Materiales[],6,FALSE)</f>
        <v>45423</v>
      </c>
      <c r="G13" s="123">
        <f t="shared" si="0"/>
        <v>143082</v>
      </c>
      <c r="I13" s="33"/>
    </row>
    <row r="14" spans="1:9" ht="14.5">
      <c r="A14" s="125">
        <v>10</v>
      </c>
      <c r="B14" s="122" t="str">
        <f>VLOOKUP(A14,Materiales[],3,FALSE)</f>
        <v>Riel DIN 35 mm x 7.5 mm</v>
      </c>
      <c r="C14" s="121" t="str">
        <f>VLOOKUP(A14,Materiales[],4,FALSE)</f>
        <v>ML</v>
      </c>
      <c r="D14" s="332">
        <v>1</v>
      </c>
      <c r="E14" s="329">
        <f>VLOOKUP(A14,Materiales[],5,FALSE)*D14</f>
        <v>0.3</v>
      </c>
      <c r="F14" s="123">
        <f>VLOOKUP(A14,Materiales[],6,FALSE)</f>
        <v>10732</v>
      </c>
      <c r="G14" s="123">
        <f t="shared" si="0"/>
        <v>10732</v>
      </c>
      <c r="I14" s="33"/>
    </row>
    <row r="15" spans="1:9" ht="14.5">
      <c r="A15" s="125">
        <v>20</v>
      </c>
      <c r="B15" s="122" t="str">
        <f>VLOOKUP(A15,Materiales[],3,FALSE)</f>
        <v xml:space="preserve">Interruptor termomagnético 100A 2P 500 VDC 6 Ka </v>
      </c>
      <c r="C15" s="121" t="str">
        <f>VLOOKUP(A15,Materiales[],4,FALSE)</f>
        <v>UN</v>
      </c>
      <c r="D15" s="118">
        <v>1</v>
      </c>
      <c r="E15" s="329">
        <f>VLOOKUP(A15,Materiales[],5,FALSE)*D15</f>
        <v>0.4</v>
      </c>
      <c r="F15" s="123">
        <f>VLOOKUP(A15,Materiales[],6,FALSE)</f>
        <v>191201</v>
      </c>
      <c r="G15" s="123">
        <f t="shared" si="0"/>
        <v>191201</v>
      </c>
      <c r="I15" s="33"/>
    </row>
    <row r="16" spans="1:9" ht="14.5">
      <c r="A16" s="125">
        <v>397</v>
      </c>
      <c r="B16" s="122" t="str">
        <f>VLOOKUP(A16,Materiales[],3,FALSE)</f>
        <v>Cable Cu THHN 8 AWG verde</v>
      </c>
      <c r="C16" s="121" t="str">
        <f>VLOOKUP(A16,Materiales[],4,FALSE)</f>
        <v>ML</v>
      </c>
      <c r="D16" s="118">
        <v>1</v>
      </c>
      <c r="E16" s="329">
        <f>VLOOKUP(A16,Materiales[],5,FALSE)*D16</f>
        <v>0.35</v>
      </c>
      <c r="F16" s="123">
        <f>VLOOKUP(A16,Materiales[],6,FALSE)</f>
        <v>7081</v>
      </c>
      <c r="G16" s="123">
        <f t="shared" ref="G16" si="1">ROUND(D16*F16,0)</f>
        <v>7081</v>
      </c>
      <c r="I16" s="33"/>
    </row>
    <row r="17" spans="1:9" ht="13">
      <c r="D17" s="18"/>
      <c r="E17" s="18"/>
      <c r="F17" s="29" t="s">
        <v>1220</v>
      </c>
      <c r="G17" s="42">
        <f>SUM(G8:G16)</f>
        <v>1497152</v>
      </c>
    </row>
    <row r="19" spans="1:9" ht="13">
      <c r="B19" s="20" t="s">
        <v>1221</v>
      </c>
      <c r="G19" s="39"/>
    </row>
    <row r="20" spans="1:9" ht="13">
      <c r="A20" s="119" t="s">
        <v>184</v>
      </c>
      <c r="B20" s="120" t="s">
        <v>1</v>
      </c>
      <c r="C20" s="13" t="s">
        <v>1231</v>
      </c>
      <c r="D20" s="13" t="s">
        <v>1222</v>
      </c>
      <c r="E20" s="13"/>
      <c r="F20" s="13" t="s">
        <v>307</v>
      </c>
      <c r="G20" s="13" t="s">
        <v>752</v>
      </c>
    </row>
    <row r="21" spans="1:9" ht="14.5">
      <c r="A21" s="125">
        <v>1</v>
      </c>
      <c r="B21" s="122" t="str">
        <f>VLOOKUP(A21,Equip.Herram[],2,FALSE)</f>
        <v>Herramienta menor</v>
      </c>
      <c r="C21" s="15" t="str">
        <f>VLOOKUP(A21,Equip.Herram[],3,FALSE)</f>
        <v>UN</v>
      </c>
      <c r="D21" s="36">
        <f>VLOOKUP(A21,Equip.Herram[],4,FALSE)</f>
        <v>24840</v>
      </c>
      <c r="E21" s="36"/>
      <c r="F21" s="16">
        <f>+RENDIMIENTOS!$C$37</f>
        <v>3</v>
      </c>
      <c r="G21" s="36">
        <f>ROUND(D21/F21,0)</f>
        <v>8280</v>
      </c>
    </row>
    <row r="22" spans="1:9">
      <c r="B22" s="14"/>
      <c r="C22" s="15"/>
      <c r="D22" s="17"/>
      <c r="E22" s="17"/>
      <c r="F22" s="22"/>
      <c r="G22" s="21"/>
    </row>
    <row r="23" spans="1:9">
      <c r="B23" s="14"/>
      <c r="C23" s="15"/>
      <c r="D23" s="17"/>
      <c r="E23" s="17"/>
      <c r="F23" s="22"/>
      <c r="G23" s="21"/>
    </row>
    <row r="24" spans="1:9" ht="13">
      <c r="D24" s="18"/>
      <c r="E24" s="18"/>
      <c r="F24" s="19" t="s">
        <v>1220</v>
      </c>
      <c r="G24" s="37">
        <f>SUM(G21:G23)</f>
        <v>8280</v>
      </c>
    </row>
    <row r="25" spans="1:9" ht="13">
      <c r="D25" s="18"/>
      <c r="E25" s="18"/>
      <c r="F25" s="18"/>
      <c r="G25" s="23"/>
    </row>
    <row r="26" spans="1:9" ht="13">
      <c r="B26" s="11" t="s">
        <v>1223</v>
      </c>
      <c r="G26" s="24"/>
    </row>
    <row r="27" spans="1:9" ht="13">
      <c r="A27" s="119" t="s">
        <v>184</v>
      </c>
      <c r="B27" s="12" t="s">
        <v>1</v>
      </c>
      <c r="C27" s="13" t="s">
        <v>185</v>
      </c>
      <c r="D27" s="13" t="s">
        <v>1230</v>
      </c>
      <c r="E27" s="13"/>
      <c r="F27" s="13" t="s">
        <v>1233</v>
      </c>
      <c r="G27" s="25" t="s">
        <v>752</v>
      </c>
      <c r="I27" s="39"/>
    </row>
    <row r="28" spans="1:9" ht="26.5" customHeight="1">
      <c r="A28" s="125">
        <v>1</v>
      </c>
      <c r="B28" s="122" t="str">
        <f>VLOOKUP(A28,Transporte[],2,FALSE)</f>
        <v>Carga terrestre Bogotá - Teorama</v>
      </c>
      <c r="C28" s="27" t="s">
        <v>1234</v>
      </c>
      <c r="D28" s="118">
        <f>+SUM(E8:E15)</f>
        <v>14.002200000000002</v>
      </c>
      <c r="E28" s="118"/>
      <c r="F28" s="142">
        <f>VLOOKUP(A28,Transporte[],7,FALSE)</f>
        <v>214.17955999999998</v>
      </c>
      <c r="G28" s="35">
        <f>D28*F28</f>
        <v>2998.9850350320003</v>
      </c>
    </row>
    <row r="29" spans="1:9" ht="13.4" customHeight="1">
      <c r="A29" s="125">
        <v>3</v>
      </c>
      <c r="B29" s="122" t="str">
        <f>VLOOKUP(A29,Transporte[],2,FALSE)</f>
        <v>Carga terrestre Teorama - Comunidades</v>
      </c>
      <c r="C29" s="27" t="s">
        <v>1234</v>
      </c>
      <c r="D29" s="118">
        <f>+SUM(E8:E15)</f>
        <v>14.002200000000002</v>
      </c>
      <c r="E29" s="118"/>
      <c r="F29" s="142">
        <f>VLOOKUP(A29,Transporte[],7,FALSE)</f>
        <v>1491</v>
      </c>
      <c r="G29" s="35">
        <f>D29*F29</f>
        <v>20877.280200000005</v>
      </c>
    </row>
    <row r="30" spans="1:9" ht="13.4" customHeight="1">
      <c r="B30" s="26"/>
      <c r="C30" s="27"/>
      <c r="D30" s="28"/>
      <c r="E30" s="28"/>
      <c r="F30" s="35"/>
      <c r="G30" s="35"/>
    </row>
    <row r="31" spans="1:9" ht="13">
      <c r="D31" s="18"/>
      <c r="E31" s="18"/>
      <c r="F31" s="29" t="s">
        <v>1220</v>
      </c>
      <c r="G31" s="37">
        <f>SUM(G28:G30)</f>
        <v>23876.265235032006</v>
      </c>
    </row>
    <row r="32" spans="1:9" ht="13">
      <c r="D32" s="18"/>
      <c r="E32" s="18"/>
      <c r="G32" s="23"/>
    </row>
    <row r="33" spans="1:9" ht="13">
      <c r="B33" s="11" t="s">
        <v>1225</v>
      </c>
      <c r="D33" s="30"/>
      <c r="E33" s="30"/>
      <c r="F33" s="31"/>
      <c r="G33" s="24"/>
    </row>
    <row r="34" spans="1:9" s="18" customFormat="1" ht="13">
      <c r="A34" s="119" t="s">
        <v>184</v>
      </c>
      <c r="B34" s="12" t="s">
        <v>1</v>
      </c>
      <c r="C34" s="13" t="s">
        <v>1226</v>
      </c>
      <c r="D34" s="13" t="s">
        <v>1227</v>
      </c>
      <c r="E34" s="13"/>
      <c r="F34" s="13" t="s">
        <v>307</v>
      </c>
      <c r="G34" s="25" t="s">
        <v>752</v>
      </c>
    </row>
    <row r="35" spans="1:9" ht="14.5">
      <c r="A35" s="125">
        <v>1</v>
      </c>
      <c r="B35" s="122" t="str">
        <f>VLOOKUP(A35,ManoObra[],2,FALSE)</f>
        <v>Electricista</v>
      </c>
      <c r="C35" s="40">
        <f>VLOOKUP(A35,ManoObra[],7,FALSE)</f>
        <v>71863</v>
      </c>
      <c r="D35" s="22">
        <f>FP!$B$28</f>
        <v>1.61</v>
      </c>
      <c r="E35" s="22"/>
      <c r="F35" s="16">
        <f>+RENDIMIENTOS!$C$37</f>
        <v>3</v>
      </c>
      <c r="G35" s="36">
        <f>ROUND(C35*D35/F35,0)</f>
        <v>38566</v>
      </c>
      <c r="I35" s="81"/>
    </row>
    <row r="36" spans="1:9" ht="14.5">
      <c r="A36" s="125">
        <v>2</v>
      </c>
      <c r="B36" s="122" t="str">
        <f>VLOOKUP(A36,ManoObra[],2,FALSE)</f>
        <v>Ayudante</v>
      </c>
      <c r="C36" s="40">
        <f>VLOOKUP(A36,ManoObra[],7,FALSE)</f>
        <v>66050</v>
      </c>
      <c r="D36" s="22">
        <f>FP!$B$28</f>
        <v>1.61</v>
      </c>
      <c r="E36" s="22"/>
      <c r="F36" s="16">
        <f>+RENDIMIENTOS!$C$37</f>
        <v>3</v>
      </c>
      <c r="G36" s="36">
        <f>ROUND(C36*D36/F36,0)</f>
        <v>35447</v>
      </c>
      <c r="I36" s="81"/>
    </row>
    <row r="37" spans="1:9" ht="13">
      <c r="D37" s="18"/>
      <c r="E37" s="18"/>
      <c r="F37" s="29" t="s">
        <v>1220</v>
      </c>
      <c r="G37" s="42">
        <f>SUM(G35:G36)</f>
        <v>74013</v>
      </c>
    </row>
    <row r="38" spans="1:9" ht="13">
      <c r="D38" s="18"/>
      <c r="E38" s="18"/>
      <c r="G38" s="24"/>
    </row>
    <row r="39" spans="1:9" ht="12.75" customHeight="1">
      <c r="A39"/>
      <c r="D39" s="1725" t="s">
        <v>1228</v>
      </c>
      <c r="E39" s="1730"/>
      <c r="F39" s="1726"/>
      <c r="G39" s="38">
        <f>G17+G24+G31+G37</f>
        <v>1603321.265235032</v>
      </c>
    </row>
    <row r="40" spans="1:9" ht="13">
      <c r="A40" s="441"/>
      <c r="B40" s="441"/>
      <c r="D40" s="18"/>
      <c r="E40" s="18"/>
      <c r="F40" s="10"/>
      <c r="G40" s="41"/>
    </row>
    <row r="41" spans="1:9" ht="14">
      <c r="A41" s="442"/>
      <c r="B41" s="840"/>
    </row>
    <row r="42" spans="1:9" ht="42">
      <c r="B42" s="1028" t="s">
        <v>1235</v>
      </c>
    </row>
  </sheetData>
  <mergeCells count="4">
    <mergeCell ref="B3:F3"/>
    <mergeCell ref="B4:D4"/>
    <mergeCell ref="D39:F39"/>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C7C44-32D6-495C-8B39-ABDFD066FA90}">
  <sheetPr>
    <tabColor theme="9" tint="0.59999389629810485"/>
    <pageSetUpPr fitToPage="1"/>
  </sheetPr>
  <dimension ref="A1:I36"/>
  <sheetViews>
    <sheetView view="pageBreakPreview" zoomScale="80" zoomScaleNormal="100" zoomScaleSheetLayoutView="80"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0.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CONCATENATE("ITEM:",'PRES MR 10 KW'!A14)</f>
        <v>ITEM:3.1.9</v>
      </c>
      <c r="C3" s="1728"/>
      <c r="D3" s="1728"/>
      <c r="E3" s="1728"/>
      <c r="F3" s="1728"/>
      <c r="G3" s="6" t="s">
        <v>1229</v>
      </c>
      <c r="H3" s="7"/>
    </row>
    <row r="4" spans="1:9" ht="78.75" customHeight="1">
      <c r="B4" s="1722" t="str">
        <f>+'PRES MR 10 KW'!B14</f>
        <v>Suministro, transporte e instalación de autotransformador tipo SPLIT de 10 kVA 120/240 V</v>
      </c>
      <c r="C4" s="1723"/>
      <c r="D4" s="1724"/>
      <c r="E4" s="328"/>
      <c r="G4" s="8" t="str">
        <f>+'PRES MR 5 KW'!C14</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25">
      <c r="A8" s="125">
        <v>399</v>
      </c>
      <c r="B8" s="122" t="str">
        <f>VLOOKUP(A8,Materiales[],3,FALSE)</f>
        <v xml:space="preserve">Autotransformador 10 kVA trifásico, IP40 Y/Y 120/208 V </v>
      </c>
      <c r="C8" s="121" t="str">
        <f>VLOOKUP(A8,Materiales[],4,FALSE)</f>
        <v>UN</v>
      </c>
      <c r="D8" s="118">
        <v>1</v>
      </c>
      <c r="E8" s="329">
        <f>VLOOKUP(A8,Materiales[],5,FALSE)*D8</f>
        <v>162</v>
      </c>
      <c r="F8" s="123">
        <f>VLOOKUP(A8,Materiales[],6,FALSE)</f>
        <v>8625000</v>
      </c>
      <c r="G8" s="123">
        <f>ROUND(D8*F8,0)</f>
        <v>8625000</v>
      </c>
      <c r="I8" s="33"/>
    </row>
    <row r="9" spans="1:9" ht="22.5" customHeight="1">
      <c r="A9" s="125">
        <v>24</v>
      </c>
      <c r="B9" s="122" t="str">
        <f>VLOOKUP(A9,Materiales[],3,FALSE)</f>
        <v>Borna para ponchar varios calibres y terminales</v>
      </c>
      <c r="C9" s="121" t="str">
        <f>VLOOKUP(A9,Materiales[],4,FALSE)</f>
        <v>UN</v>
      </c>
      <c r="D9" s="118">
        <v>5</v>
      </c>
      <c r="E9" s="329">
        <f>VLOOKUP(A9,Materiales[],5,FALSE)*D9</f>
        <v>0.04</v>
      </c>
      <c r="F9" s="123">
        <f>VLOOKUP(A9,Materiales[],6,FALSE)</f>
        <v>2111</v>
      </c>
      <c r="G9" s="123">
        <f t="shared" ref="G9:G10" si="0">ROUND(D9*F9,0)</f>
        <v>10555</v>
      </c>
      <c r="I9" s="33"/>
    </row>
    <row r="10" spans="1:9" ht="22.5" customHeight="1">
      <c r="A10" s="125">
        <v>25</v>
      </c>
      <c r="B10" s="122" t="str">
        <f>VLOOKUP(A10,Materiales[],3,FALSE)</f>
        <v>Tubo termoencogible. Distintos calibres, distintos colores</v>
      </c>
      <c r="C10" s="121" t="str">
        <f>VLOOKUP(A10,Materiales[],4,FALSE)</f>
        <v>UN</v>
      </c>
      <c r="D10" s="118">
        <v>5</v>
      </c>
      <c r="E10" s="329">
        <f>VLOOKUP(A10,Materiales[],5,FALSE)*D10</f>
        <v>0.04</v>
      </c>
      <c r="F10" s="123">
        <f>VLOOKUP(A10,Materiales[],6,FALSE)</f>
        <v>3680</v>
      </c>
      <c r="G10" s="123">
        <f t="shared" si="0"/>
        <v>18400</v>
      </c>
      <c r="I10" s="33"/>
    </row>
    <row r="11" spans="1:9" ht="13">
      <c r="D11" s="18"/>
      <c r="E11" s="18"/>
      <c r="F11" s="29" t="s">
        <v>1220</v>
      </c>
      <c r="G11" s="42">
        <f>SUM(G8:G10)</f>
        <v>8653955</v>
      </c>
    </row>
    <row r="13" spans="1:9" ht="13">
      <c r="B13" s="20" t="s">
        <v>1221</v>
      </c>
      <c r="G13" s="39"/>
    </row>
    <row r="14" spans="1:9" ht="13">
      <c r="A14" s="119" t="s">
        <v>184</v>
      </c>
      <c r="B14" s="120" t="s">
        <v>1</v>
      </c>
      <c r="C14" s="13" t="s">
        <v>1231</v>
      </c>
      <c r="D14" s="13" t="s">
        <v>1222</v>
      </c>
      <c r="E14" s="13"/>
      <c r="F14" s="13" t="s">
        <v>307</v>
      </c>
      <c r="G14" s="13" t="s">
        <v>752</v>
      </c>
    </row>
    <row r="15" spans="1:9" ht="14.5">
      <c r="A15" s="125">
        <v>1</v>
      </c>
      <c r="B15" s="122" t="str">
        <f>VLOOKUP(A15,Equip.Herram[],2,FALSE)</f>
        <v>Herramienta menor</v>
      </c>
      <c r="C15" s="15" t="str">
        <f>VLOOKUP(A15,Equip.Herram[],3,FALSE)</f>
        <v>UN</v>
      </c>
      <c r="D15" s="36">
        <f>VLOOKUP(A15,Equip.Herram[],4,FALSE)</f>
        <v>24840</v>
      </c>
      <c r="E15" s="36"/>
      <c r="F15" s="16">
        <f>+RENDIMIENTOS!$C$38</f>
        <v>3</v>
      </c>
      <c r="G15" s="36">
        <f>ROUND(D15/F15,0)</f>
        <v>8280</v>
      </c>
    </row>
    <row r="16" spans="1:9">
      <c r="B16" s="14"/>
      <c r="C16" s="15"/>
      <c r="D16" s="17"/>
      <c r="E16" s="17"/>
      <c r="F16" s="22"/>
      <c r="G16" s="21"/>
    </row>
    <row r="17" spans="1:9">
      <c r="B17" s="14"/>
      <c r="C17" s="15"/>
      <c r="D17" s="17"/>
      <c r="E17" s="17"/>
      <c r="F17" s="22"/>
      <c r="G17" s="21"/>
    </row>
    <row r="18" spans="1:9" ht="13">
      <c r="D18" s="18"/>
      <c r="E18" s="18"/>
      <c r="F18" s="19" t="s">
        <v>1220</v>
      </c>
      <c r="G18" s="37">
        <f>SUM(G15:G17)</f>
        <v>8280</v>
      </c>
    </row>
    <row r="19" spans="1:9" ht="13">
      <c r="D19" s="18"/>
      <c r="E19" s="18"/>
      <c r="F19" s="18"/>
      <c r="G19" s="23"/>
    </row>
    <row r="20" spans="1:9" ht="13">
      <c r="B20" s="11" t="s">
        <v>1223</v>
      </c>
      <c r="G20" s="24"/>
    </row>
    <row r="21" spans="1:9" ht="13">
      <c r="A21" s="119" t="s">
        <v>184</v>
      </c>
      <c r="B21" s="12" t="s">
        <v>1</v>
      </c>
      <c r="C21" s="13" t="s">
        <v>185</v>
      </c>
      <c r="D21" s="13" t="s">
        <v>1230</v>
      </c>
      <c r="E21" s="13"/>
      <c r="F21" s="13" t="s">
        <v>1233</v>
      </c>
      <c r="G21" s="25" t="s">
        <v>752</v>
      </c>
      <c r="I21" s="39"/>
    </row>
    <row r="22" spans="1:9" ht="26.5" customHeight="1">
      <c r="A22" s="125">
        <v>1</v>
      </c>
      <c r="B22" s="122" t="str">
        <f>VLOOKUP(A22,Transporte[],2,FALSE)</f>
        <v>Carga terrestre Bogotá - Teorama</v>
      </c>
      <c r="C22" s="27" t="s">
        <v>1234</v>
      </c>
      <c r="D22" s="118">
        <f>+SUM(E8:E10)</f>
        <v>162.07999999999998</v>
      </c>
      <c r="E22" s="118"/>
      <c r="F22" s="142">
        <f>VLOOKUP(A22,Transporte[],7,FALSE)</f>
        <v>214.17955999999998</v>
      </c>
      <c r="G22" s="35">
        <f>D22*F22</f>
        <v>34714.223084799996</v>
      </c>
    </row>
    <row r="23" spans="1:9" ht="13.4" customHeight="1">
      <c r="A23" s="125">
        <v>3</v>
      </c>
      <c r="B23" s="122" t="str">
        <f>VLOOKUP(A23,Transporte[],2,FALSE)</f>
        <v>Carga terrestre Teorama - Comunidades</v>
      </c>
      <c r="C23" s="27" t="s">
        <v>1234</v>
      </c>
      <c r="D23" s="118">
        <f>+SUM(E8:E10)</f>
        <v>162.07999999999998</v>
      </c>
      <c r="E23" s="118"/>
      <c r="F23" s="142">
        <f>VLOOKUP(A23,Transporte[],7,FALSE)</f>
        <v>1491</v>
      </c>
      <c r="G23" s="35">
        <f>D23*F23</f>
        <v>241661.27999999997</v>
      </c>
    </row>
    <row r="24" spans="1:9" ht="13.4" customHeight="1">
      <c r="B24" s="26"/>
      <c r="C24" s="27"/>
      <c r="D24" s="28"/>
      <c r="E24" s="28"/>
      <c r="F24" s="35"/>
      <c r="G24" s="35"/>
    </row>
    <row r="25" spans="1:9" ht="13">
      <c r="D25" s="18"/>
      <c r="E25" s="18"/>
      <c r="F25" s="29" t="s">
        <v>1220</v>
      </c>
      <c r="G25" s="37">
        <f>SUM(G22:G24)</f>
        <v>276375.50308479997</v>
      </c>
    </row>
    <row r="26" spans="1:9" ht="13">
      <c r="D26" s="18"/>
      <c r="E26" s="18"/>
      <c r="G26" s="23"/>
    </row>
    <row r="27" spans="1:9" ht="13">
      <c r="B27" s="11" t="s">
        <v>1225</v>
      </c>
      <c r="D27" s="30"/>
      <c r="E27" s="30"/>
      <c r="F27" s="31"/>
      <c r="G27" s="24"/>
    </row>
    <row r="28" spans="1:9" s="18" customFormat="1" ht="13">
      <c r="A28" s="119" t="s">
        <v>184</v>
      </c>
      <c r="B28" s="12" t="s">
        <v>1</v>
      </c>
      <c r="C28" s="13" t="s">
        <v>1226</v>
      </c>
      <c r="D28" s="13" t="s">
        <v>1227</v>
      </c>
      <c r="E28" s="13"/>
      <c r="F28" s="13" t="s">
        <v>307</v>
      </c>
      <c r="G28" s="25" t="s">
        <v>752</v>
      </c>
    </row>
    <row r="29" spans="1:9" ht="14.5">
      <c r="A29" s="125">
        <v>1</v>
      </c>
      <c r="B29" s="122" t="str">
        <f>VLOOKUP(A29,ManoObra[],2,FALSE)</f>
        <v>Electricista</v>
      </c>
      <c r="C29" s="40">
        <f>VLOOKUP(A29,ManoObra[],7,FALSE)</f>
        <v>71863</v>
      </c>
      <c r="D29" s="22">
        <f>FP!$B$28</f>
        <v>1.61</v>
      </c>
      <c r="E29" s="22"/>
      <c r="F29" s="16">
        <f>+RENDIMIENTOS!$C$38</f>
        <v>3</v>
      </c>
      <c r="G29" s="36">
        <f>ROUND(C29*D29/F29,0)</f>
        <v>38566</v>
      </c>
      <c r="I29" s="81"/>
    </row>
    <row r="30" spans="1:9" ht="14.5">
      <c r="A30" s="125">
        <v>2</v>
      </c>
      <c r="B30" s="122" t="str">
        <f>VLOOKUP(A30,ManoObra[],2,FALSE)</f>
        <v>Ayudante</v>
      </c>
      <c r="C30" s="40">
        <f>VLOOKUP(A30,ManoObra[],7,FALSE)</f>
        <v>66050</v>
      </c>
      <c r="D30" s="22">
        <f>FP!$B$28</f>
        <v>1.61</v>
      </c>
      <c r="E30" s="22"/>
      <c r="F30" s="16">
        <f>+RENDIMIENTOS!$C$38</f>
        <v>3</v>
      </c>
      <c r="G30" s="36">
        <f>ROUND(C30*D30/F30,0)</f>
        <v>35447</v>
      </c>
      <c r="I30" s="81"/>
    </row>
    <row r="31" spans="1:9" ht="13">
      <c r="D31" s="18"/>
      <c r="E31" s="18"/>
      <c r="F31" s="29" t="s">
        <v>1220</v>
      </c>
      <c r="G31" s="42">
        <f>SUM(G29:G30)</f>
        <v>74013</v>
      </c>
    </row>
    <row r="32" spans="1:9" ht="13">
      <c r="D32" s="18"/>
      <c r="E32" s="18"/>
      <c r="G32" s="24"/>
    </row>
    <row r="33" spans="1:7" ht="12.75" customHeight="1">
      <c r="A33"/>
      <c r="D33" s="1725" t="s">
        <v>1228</v>
      </c>
      <c r="E33" s="1730"/>
      <c r="F33" s="1726"/>
      <c r="G33" s="38">
        <f>G11+G18+G25+G31</f>
        <v>9012623.5030847993</v>
      </c>
    </row>
    <row r="34" spans="1:7" ht="13">
      <c r="A34" s="441"/>
      <c r="B34" s="441"/>
      <c r="D34" s="18"/>
      <c r="E34" s="18"/>
      <c r="F34" s="10"/>
      <c r="G34" s="41"/>
    </row>
    <row r="35" spans="1:7" ht="14">
      <c r="A35" s="442"/>
      <c r="B35" s="840"/>
    </row>
    <row r="36" spans="1:7" ht="42">
      <c r="B36" s="1028" t="s">
        <v>1235</v>
      </c>
    </row>
  </sheetData>
  <mergeCells count="4">
    <mergeCell ref="A1:G1"/>
    <mergeCell ref="B3:F3"/>
    <mergeCell ref="B4:D4"/>
    <mergeCell ref="D33:F33"/>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70AD2-D3D2-48B6-B5AF-9D569A7DE43F}">
  <sheetPr>
    <tabColor theme="8" tint="0.59999389629810485"/>
    <pageSetUpPr fitToPage="1"/>
  </sheetPr>
  <dimension ref="A1:I45"/>
  <sheetViews>
    <sheetView view="pageBreakPreview" topLeftCell="B1" zoomScale="85" zoomScaleNormal="100" zoomScaleSheetLayoutView="85"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3"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KW'!A15,", ",'PRES MR 10 KW'!A15,", ",'PRES MR 15 KW'!A15)</f>
        <v>ITEM:  2.1.10, 3.1.10, 4.1.10</v>
      </c>
      <c r="C3" s="1728"/>
      <c r="D3" s="1728"/>
      <c r="E3" s="1728"/>
      <c r="F3" s="1728"/>
      <c r="G3" s="6" t="s">
        <v>1229</v>
      </c>
      <c r="H3" s="7"/>
    </row>
    <row r="4" spans="1:9" ht="78.75" customHeight="1">
      <c r="B4" s="1722" t="str">
        <f>+'PRES MR 10 KW'!B15</f>
        <v>Suministro, transporte e instalación de tablero de distribución en AC, para 6 circuitos. Incluye barrajes de 100 A para sistema trifásico tetrafilar, DPS tipo 2, protección de entrada de 50 A 120 VAC y protecciones de circuitos de 40 A y 16 A.</v>
      </c>
      <c r="C4" s="1723"/>
      <c r="D4" s="1724"/>
      <c r="E4" s="328"/>
      <c r="G4" s="8" t="str">
        <f>+'PRES MR 5 KW'!C15</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37.5">
      <c r="A8" s="125">
        <v>36</v>
      </c>
      <c r="B8" s="122" t="str">
        <f>VLOOKUP(A8,Materiales[],3,FALSE)</f>
        <v>Gabinete eléctrico metálico con cumplimiento RETIE, con revestimiento eléctrostatico de dimensiones 250x700x100 IP66 Doble fondo.</v>
      </c>
      <c r="C8" s="121" t="str">
        <f>VLOOKUP(A8,Materiales[],4,FALSE)</f>
        <v>UN</v>
      </c>
      <c r="D8" s="118">
        <v>1</v>
      </c>
      <c r="E8" s="329">
        <f>VLOOKUP(A8,Materiales[],5,FALSE)*D8</f>
        <v>15</v>
      </c>
      <c r="F8" s="123">
        <f>VLOOKUP(A8,Materiales[],6,FALSE)</f>
        <v>204447</v>
      </c>
      <c r="G8" s="123">
        <f>ROUND(D8*F8,0)</f>
        <v>204447</v>
      </c>
      <c r="I8" s="33"/>
    </row>
    <row r="9" spans="1:9" ht="25.5" customHeight="1">
      <c r="A9" s="125">
        <v>190</v>
      </c>
      <c r="B9" s="122" t="str">
        <f>VLOOKUP(A9,Materiales[],3,FALSE)</f>
        <v>Barraje de cobre tropicalizado de 80 A para 16 conexiones</v>
      </c>
      <c r="C9" s="121" t="str">
        <f>VLOOKUP(A9,Materiales[],4,FALSE)</f>
        <v>UN</v>
      </c>
      <c r="D9" s="118">
        <v>3</v>
      </c>
      <c r="E9" s="329">
        <f>VLOOKUP(A9,Materiales[],5,FALSE)*D9</f>
        <v>1.2000000000000002</v>
      </c>
      <c r="F9" s="123">
        <f>VLOOKUP(A9,Materiales[],6,FALSE)</f>
        <v>27538</v>
      </c>
      <c r="G9" s="123">
        <f t="shared" ref="G9:G18" si="0">ROUND(D9*F9,0)</f>
        <v>82614</v>
      </c>
      <c r="I9" s="33"/>
    </row>
    <row r="10" spans="1:9" ht="14.5">
      <c r="A10" s="125">
        <v>386</v>
      </c>
      <c r="B10" s="122" t="str">
        <f>VLOOKUP(A10,Materiales[],3,FALSE)</f>
        <v>Cable Cu THHN 12 AWG verde</v>
      </c>
      <c r="C10" s="121" t="str">
        <f>VLOOKUP(A10,Materiales[],4,FALSE)</f>
        <v>ML</v>
      </c>
      <c r="D10" s="332">
        <v>4.2</v>
      </c>
      <c r="E10" s="329">
        <f>VLOOKUP(A10,Materiales[],5,FALSE)*D10</f>
        <v>0.14280000000000001</v>
      </c>
      <c r="F10" s="123">
        <f>VLOOKUP(A10,Materiales[],6,FALSE)</f>
        <v>3260</v>
      </c>
      <c r="G10" s="123">
        <f t="shared" si="0"/>
        <v>13692</v>
      </c>
      <c r="I10" s="33"/>
    </row>
    <row r="11" spans="1:9" ht="14.5">
      <c r="A11" s="125">
        <v>186</v>
      </c>
      <c r="B11" s="122" t="str">
        <f>VLOOKUP(A11,Materiales[],3,FALSE)</f>
        <v>Interruptor termomagnético 50 A 2P 120/240 VAC 10kA</v>
      </c>
      <c r="C11" s="121" t="str">
        <f>VLOOKUP(A11,Materiales[],4,FALSE)</f>
        <v>UN</v>
      </c>
      <c r="D11" s="118">
        <v>1</v>
      </c>
      <c r="E11" s="329">
        <f>VLOOKUP(A11,Materiales[],5,FALSE)*D11</f>
        <v>0.48</v>
      </c>
      <c r="F11" s="123">
        <f>VLOOKUP(A11,Materiales[],6,FALSE)</f>
        <v>40250</v>
      </c>
      <c r="G11" s="123">
        <f t="shared" si="0"/>
        <v>40250</v>
      </c>
      <c r="I11" s="33"/>
    </row>
    <row r="12" spans="1:9" ht="14.5">
      <c r="A12" s="125">
        <v>191</v>
      </c>
      <c r="B12" s="122" t="str">
        <f>VLOOKUP(A12,Materiales[],3,FALSE)</f>
        <v>Interruptor termomagnético 40 A 2P 120/240 VAC 10kA</v>
      </c>
      <c r="C12" s="121" t="str">
        <f>VLOOKUP(A12,Materiales[],4,FALSE)</f>
        <v>UN</v>
      </c>
      <c r="D12" s="118">
        <v>5</v>
      </c>
      <c r="E12" s="329">
        <f>VLOOKUP(A12,Materiales[],5,FALSE)*D12</f>
        <v>2.4</v>
      </c>
      <c r="F12" s="123">
        <f>VLOOKUP(A12,Materiales[],6,FALSE)</f>
        <v>34500</v>
      </c>
      <c r="G12" s="123">
        <f t="shared" si="0"/>
        <v>172500</v>
      </c>
      <c r="I12" s="33"/>
    </row>
    <row r="13" spans="1:9" ht="14.5">
      <c r="A13" s="125">
        <v>42</v>
      </c>
      <c r="B13" s="122" t="str">
        <f>VLOOKUP(A13,Materiales[],3,FALSE)</f>
        <v>Interruptor termomagnético 16 A 1P 120/240 VAC 10kA</v>
      </c>
      <c r="C13" s="121" t="str">
        <f>VLOOKUP(A13,Materiales[],4,FALSE)</f>
        <v>UN</v>
      </c>
      <c r="D13" s="118">
        <v>1</v>
      </c>
      <c r="E13" s="329">
        <f>VLOOKUP(A13,Materiales[],5,FALSE)*D13</f>
        <v>0.24</v>
      </c>
      <c r="F13" s="123">
        <f>VLOOKUP(A13,Materiales[],6,FALSE)</f>
        <v>29153</v>
      </c>
      <c r="G13" s="123">
        <f t="shared" si="0"/>
        <v>29153</v>
      </c>
      <c r="I13" s="33"/>
    </row>
    <row r="14" spans="1:9" ht="14.5">
      <c r="A14" s="125">
        <v>24</v>
      </c>
      <c r="B14" s="122" t="str">
        <f>VLOOKUP(A14,Materiales[],3,FALSE)</f>
        <v>Borna para ponchar varios calibres y terminales</v>
      </c>
      <c r="C14" s="121" t="str">
        <f>VLOOKUP(A14,Materiales[],4,FALSE)</f>
        <v>UN</v>
      </c>
      <c r="D14" s="118">
        <v>29</v>
      </c>
      <c r="E14" s="329">
        <f>VLOOKUP(A14,Materiales[],5,FALSE)*D14</f>
        <v>0.23200000000000001</v>
      </c>
      <c r="F14" s="123">
        <f>VLOOKUP(A14,Materiales[],6,FALSE)</f>
        <v>2111</v>
      </c>
      <c r="G14" s="123">
        <f t="shared" si="0"/>
        <v>61219</v>
      </c>
      <c r="I14" s="33"/>
    </row>
    <row r="15" spans="1:9" ht="25">
      <c r="A15" s="125">
        <v>25</v>
      </c>
      <c r="B15" s="122" t="str">
        <f>VLOOKUP(A15,Materiales[],3,FALSE)</f>
        <v>Tubo termoencogible. Distintos calibres, distintos colores</v>
      </c>
      <c r="C15" s="121" t="str">
        <f>VLOOKUP(A15,Materiales[],4,FALSE)</f>
        <v>UN</v>
      </c>
      <c r="D15" s="118">
        <v>29</v>
      </c>
      <c r="E15" s="329">
        <f>VLOOKUP(A15,Materiales[],5,FALSE)*D15</f>
        <v>0.23200000000000001</v>
      </c>
      <c r="F15" s="123">
        <f>VLOOKUP(A15,Materiales[],6,FALSE)</f>
        <v>3680</v>
      </c>
      <c r="G15" s="123">
        <f t="shared" si="0"/>
        <v>106720</v>
      </c>
      <c r="I15" s="33"/>
    </row>
    <row r="16" spans="1:9" ht="14.5">
      <c r="A16" s="125">
        <v>243</v>
      </c>
      <c r="B16" s="122" t="str">
        <f>VLOOKUP(A16,Materiales[],3,FALSE)</f>
        <v>DPS- Señalizacion Tipo 2 2P 150 Uc 20-40 kA</v>
      </c>
      <c r="C16" s="121" t="str">
        <f>VLOOKUP(A16,Materiales[],4,FALSE)</f>
        <v>UN</v>
      </c>
      <c r="D16" s="118">
        <v>1</v>
      </c>
      <c r="E16" s="329">
        <f>VLOOKUP(A16,Materiales[],5,FALSE)*D16</f>
        <v>0.24</v>
      </c>
      <c r="F16" s="123">
        <f>VLOOKUP(A16,Materiales[],6,FALSE)</f>
        <v>755412</v>
      </c>
      <c r="G16" s="123">
        <f t="shared" si="0"/>
        <v>755412</v>
      </c>
      <c r="I16" s="33"/>
    </row>
    <row r="17" spans="1:9" ht="14.5">
      <c r="A17" s="125">
        <v>10</v>
      </c>
      <c r="B17" s="122" t="str">
        <f>VLOOKUP(A17,Materiales[],3,FALSE)</f>
        <v>Riel DIN 35 mm x 7.5 mm</v>
      </c>
      <c r="C17" s="121" t="str">
        <f>VLOOKUP(A17,Materiales[],4,FALSE)</f>
        <v>ML</v>
      </c>
      <c r="D17" s="118">
        <v>2</v>
      </c>
      <c r="E17" s="329">
        <f>VLOOKUP(A17,Materiales[],5,FALSE)*D17</f>
        <v>0.6</v>
      </c>
      <c r="F17" s="123">
        <f>VLOOKUP(A17,Materiales[],6,FALSE)</f>
        <v>10732</v>
      </c>
      <c r="G17" s="123">
        <f t="shared" si="0"/>
        <v>21464</v>
      </c>
      <c r="I17" s="33"/>
    </row>
    <row r="18" spans="1:9" ht="22.5" customHeight="1">
      <c r="A18" s="125">
        <v>241</v>
      </c>
      <c r="B18" s="122" t="str">
        <f>VLOOKUP(A18,Materiales[],3,FALSE)</f>
        <v>Cable Cu THHN 6 AWG</v>
      </c>
      <c r="C18" s="121" t="str">
        <f>VLOOKUP(A18,Materiales[],4,FALSE)</f>
        <v>ML</v>
      </c>
      <c r="D18" s="332">
        <v>6.3</v>
      </c>
      <c r="E18" s="329">
        <f>VLOOKUP(A18,Materiales[],5,FALSE)*D18</f>
        <v>0.91791</v>
      </c>
      <c r="F18" s="123">
        <f>VLOOKUP(A18,Materiales[],6,FALSE)</f>
        <v>10868</v>
      </c>
      <c r="G18" s="123">
        <f t="shared" si="0"/>
        <v>68468</v>
      </c>
      <c r="I18" s="33"/>
    </row>
    <row r="19" spans="1:9" ht="22.5" customHeight="1">
      <c r="A19" s="125">
        <v>237</v>
      </c>
      <c r="B19" s="122" t="str">
        <f>VLOOKUP(A19,Materiales[],3,FALSE)</f>
        <v>Cable Cu THHN 4 AWG</v>
      </c>
      <c r="C19" s="121" t="str">
        <f>VLOOKUP(A19,Materiales[],4,FALSE)</f>
        <v>ML</v>
      </c>
      <c r="D19" s="332">
        <v>2</v>
      </c>
      <c r="E19" s="329">
        <f>VLOOKUP(A19,Materiales[],5,FALSE)*D19</f>
        <v>0.47</v>
      </c>
      <c r="F19" s="123">
        <f>VLOOKUP(A19,Materiales[],6,FALSE)</f>
        <v>18272</v>
      </c>
      <c r="G19" s="123">
        <f t="shared" ref="G19" si="1">ROUND(D19*F19,0)</f>
        <v>36544</v>
      </c>
      <c r="I19" s="33"/>
    </row>
    <row r="20" spans="1:9" ht="13">
      <c r="D20" s="18"/>
      <c r="E20" s="18"/>
      <c r="F20" s="29" t="s">
        <v>1220</v>
      </c>
      <c r="G20" s="42">
        <f>SUM(G8:G19)</f>
        <v>1592483</v>
      </c>
    </row>
    <row r="22" spans="1:9" ht="13">
      <c r="B22" s="20" t="s">
        <v>1221</v>
      </c>
      <c r="G22" s="39"/>
    </row>
    <row r="23" spans="1:9" ht="13">
      <c r="A23" s="119" t="s">
        <v>184</v>
      </c>
      <c r="B23" s="120" t="s">
        <v>1</v>
      </c>
      <c r="C23" s="13" t="s">
        <v>1231</v>
      </c>
      <c r="D23" s="13" t="s">
        <v>1222</v>
      </c>
      <c r="E23" s="13"/>
      <c r="F23" s="13" t="s">
        <v>307</v>
      </c>
      <c r="G23" s="13" t="s">
        <v>752</v>
      </c>
    </row>
    <row r="24" spans="1:9" ht="14.5">
      <c r="A24" s="125">
        <v>1</v>
      </c>
      <c r="B24" s="122" t="str">
        <f>VLOOKUP(A24,Equip.Herram[],2,FALSE)</f>
        <v>Herramienta menor</v>
      </c>
      <c r="C24" s="15" t="str">
        <f>VLOOKUP(A24,Equip.Herram[],3,FALSE)</f>
        <v>UN</v>
      </c>
      <c r="D24" s="36">
        <f>VLOOKUP(A24,Equip.Herram[],4,FALSE)</f>
        <v>24840</v>
      </c>
      <c r="E24" s="36"/>
      <c r="F24" s="16">
        <f>+RENDIMIENTOS!$C$39</f>
        <v>6</v>
      </c>
      <c r="G24" s="36">
        <f>ROUND(D24/F24,0)</f>
        <v>4140</v>
      </c>
    </row>
    <row r="25" spans="1:9">
      <c r="B25" s="14"/>
      <c r="C25" s="15"/>
      <c r="D25" s="17"/>
      <c r="E25" s="17"/>
      <c r="F25" s="22"/>
      <c r="G25" s="21"/>
    </row>
    <row r="26" spans="1:9">
      <c r="B26" s="14"/>
      <c r="C26" s="15"/>
      <c r="D26" s="17"/>
      <c r="E26" s="17"/>
      <c r="F26" s="22"/>
      <c r="G26" s="21"/>
    </row>
    <row r="27" spans="1:9" ht="13">
      <c r="D27" s="18"/>
      <c r="E27" s="18"/>
      <c r="F27" s="19" t="s">
        <v>1220</v>
      </c>
      <c r="G27" s="37">
        <f>SUM(G24:G26)</f>
        <v>4140</v>
      </c>
    </row>
    <row r="28" spans="1:9" ht="13">
      <c r="D28" s="18"/>
      <c r="E28" s="18"/>
      <c r="F28" s="18"/>
      <c r="G28" s="23"/>
    </row>
    <row r="29" spans="1:9" ht="13">
      <c r="B29" s="11" t="s">
        <v>1223</v>
      </c>
      <c r="G29" s="24"/>
    </row>
    <row r="30" spans="1:9" ht="13">
      <c r="A30" s="119" t="s">
        <v>184</v>
      </c>
      <c r="B30" s="12" t="s">
        <v>1</v>
      </c>
      <c r="C30" s="13" t="s">
        <v>185</v>
      </c>
      <c r="D30" s="13" t="s">
        <v>1230</v>
      </c>
      <c r="E30" s="13"/>
      <c r="F30" s="13" t="s">
        <v>1233</v>
      </c>
      <c r="G30" s="25" t="s">
        <v>752</v>
      </c>
      <c r="I30" s="39"/>
    </row>
    <row r="31" spans="1:9" ht="26.5" customHeight="1">
      <c r="A31" s="125">
        <v>1</v>
      </c>
      <c r="B31" s="122" t="str">
        <f>VLOOKUP(A31,Transporte[],2,FALSE)</f>
        <v>Carga terrestre Bogotá - Teorama</v>
      </c>
      <c r="C31" s="27" t="s">
        <v>1234</v>
      </c>
      <c r="D31" s="118">
        <f>+SUM(E8:E19)</f>
        <v>22.154709999999994</v>
      </c>
      <c r="E31" s="118"/>
      <c r="F31" s="142">
        <f>VLOOKUP(A31,Transporte[],7,FALSE)</f>
        <v>214.17955999999998</v>
      </c>
      <c r="G31" s="35">
        <f>D31*F31</f>
        <v>4745.0860397275983</v>
      </c>
    </row>
    <row r="32" spans="1:9" ht="13.4" customHeight="1">
      <c r="A32" s="125">
        <v>3</v>
      </c>
      <c r="B32" s="122" t="str">
        <f>VLOOKUP(A32,Transporte[],2,FALSE)</f>
        <v>Carga terrestre Teorama - Comunidades</v>
      </c>
      <c r="C32" s="27" t="s">
        <v>1234</v>
      </c>
      <c r="D32" s="118">
        <f>+SUM(E8:E19)</f>
        <v>22.154709999999994</v>
      </c>
      <c r="E32" s="118"/>
      <c r="F32" s="142">
        <f>VLOOKUP(A32,Transporte[],7,FALSE)</f>
        <v>1491</v>
      </c>
      <c r="G32" s="35">
        <f>D32*F32</f>
        <v>33032.672609999994</v>
      </c>
    </row>
    <row r="33" spans="1:9" ht="13.4" customHeight="1">
      <c r="B33" s="26"/>
      <c r="C33" s="27"/>
      <c r="D33" s="28"/>
      <c r="E33" s="28"/>
      <c r="F33" s="35"/>
      <c r="G33" s="35"/>
    </row>
    <row r="34" spans="1:9" ht="13">
      <c r="D34" s="18"/>
      <c r="E34" s="18"/>
      <c r="F34" s="29" t="s">
        <v>1220</v>
      </c>
      <c r="G34" s="37">
        <f>SUM(G31:G33)</f>
        <v>37777.758649727592</v>
      </c>
    </row>
    <row r="35" spans="1:9" ht="13">
      <c r="D35" s="18"/>
      <c r="E35" s="18"/>
      <c r="G35" s="23"/>
    </row>
    <row r="36" spans="1:9" ht="13">
      <c r="B36" s="11" t="s">
        <v>1225</v>
      </c>
      <c r="D36" s="30"/>
      <c r="E36" s="30"/>
      <c r="F36" s="31"/>
      <c r="G36" s="24"/>
    </row>
    <row r="37" spans="1:9" s="18" customFormat="1" ht="13">
      <c r="A37" s="119" t="s">
        <v>184</v>
      </c>
      <c r="B37" s="12" t="s">
        <v>1</v>
      </c>
      <c r="C37" s="13" t="s">
        <v>1226</v>
      </c>
      <c r="D37" s="13" t="s">
        <v>1227</v>
      </c>
      <c r="E37" s="13"/>
      <c r="F37" s="13" t="s">
        <v>307</v>
      </c>
      <c r="G37" s="25" t="s">
        <v>752</v>
      </c>
    </row>
    <row r="38" spans="1:9" ht="14.5">
      <c r="A38" s="125">
        <v>1</v>
      </c>
      <c r="B38" s="122" t="str">
        <f>VLOOKUP(A38,ManoObra[],2,FALSE)</f>
        <v>Electricista</v>
      </c>
      <c r="C38" s="40">
        <f>VLOOKUP(A38,ManoObra[],7,FALSE)</f>
        <v>71863</v>
      </c>
      <c r="D38" s="22">
        <f>FP!$B$28</f>
        <v>1.61</v>
      </c>
      <c r="E38" s="22"/>
      <c r="F38" s="16">
        <f>+RENDIMIENTOS!$C$39</f>
        <v>6</v>
      </c>
      <c r="G38" s="36">
        <f>ROUND(C38*D38/F38,0)</f>
        <v>19283</v>
      </c>
      <c r="I38" s="81"/>
    </row>
    <row r="39" spans="1:9" ht="14.5">
      <c r="A39" s="125">
        <v>2</v>
      </c>
      <c r="B39" s="122" t="str">
        <f>VLOOKUP(A39,ManoObra[],2,FALSE)</f>
        <v>Ayudante</v>
      </c>
      <c r="C39" s="40">
        <f>VLOOKUP(A39,ManoObra[],7,FALSE)</f>
        <v>66050</v>
      </c>
      <c r="D39" s="22">
        <f>FP!$B$28</f>
        <v>1.61</v>
      </c>
      <c r="E39" s="22"/>
      <c r="F39" s="16">
        <f>+RENDIMIENTOS!$C$39</f>
        <v>6</v>
      </c>
      <c r="G39" s="36">
        <f>ROUND(C39*D39/F39,0)</f>
        <v>17723</v>
      </c>
      <c r="I39" s="81"/>
    </row>
    <row r="40" spans="1:9" ht="13">
      <c r="D40" s="18"/>
      <c r="E40" s="18"/>
      <c r="F40" s="29" t="s">
        <v>1220</v>
      </c>
      <c r="G40" s="42">
        <f>SUM(G38:G39)</f>
        <v>37006</v>
      </c>
    </row>
    <row r="41" spans="1:9" ht="13">
      <c r="D41" s="18"/>
      <c r="E41" s="18"/>
      <c r="G41" s="24"/>
    </row>
    <row r="42" spans="1:9" ht="12.75" customHeight="1">
      <c r="A42"/>
      <c r="D42" s="1725" t="s">
        <v>1228</v>
      </c>
      <c r="E42" s="1730"/>
      <c r="F42" s="1726"/>
      <c r="G42" s="38">
        <f>G20+G27+G34+G40</f>
        <v>1671406.7586497276</v>
      </c>
    </row>
    <row r="43" spans="1:9" ht="13">
      <c r="A43" s="441"/>
      <c r="B43" s="441"/>
      <c r="D43" s="18"/>
      <c r="E43" s="18"/>
      <c r="F43" s="10"/>
      <c r="G43" s="41"/>
    </row>
    <row r="44" spans="1:9" ht="14">
      <c r="A44" s="442"/>
      <c r="B44" s="840"/>
    </row>
    <row r="45" spans="1:9" ht="42">
      <c r="B45" s="1028" t="s">
        <v>1235</v>
      </c>
    </row>
  </sheetData>
  <mergeCells count="4">
    <mergeCell ref="B3:F3"/>
    <mergeCell ref="B4:D4"/>
    <mergeCell ref="D42:F42"/>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E7E26-9794-4206-84CD-94764CAD1B23}">
  <sheetPr>
    <tabColor theme="8" tint="0.59999389629810485"/>
    <pageSetUpPr fitToPage="1"/>
  </sheetPr>
  <dimension ref="A1:I40"/>
  <sheetViews>
    <sheetView view="pageBreakPreview" zoomScale="70" zoomScaleNormal="100" zoomScaleSheetLayoutView="70"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3.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5 KW'!A16,", ",'PRES MR 10 KW'!A16,", ",'PRES MR 15 KW'!A16)</f>
        <v>ITEM:  2.1.11, 3.1.11, 4.1.11</v>
      </c>
      <c r="C3" s="1728"/>
      <c r="D3" s="1728"/>
      <c r="E3" s="1728"/>
      <c r="F3" s="1728"/>
      <c r="G3" s="6" t="s">
        <v>1229</v>
      </c>
      <c r="H3" s="7"/>
    </row>
    <row r="4" spans="1:9" ht="78.75" customHeight="1">
      <c r="B4" s="1722" t="str">
        <f>'PRES MR 5 KW'!B16</f>
        <v>Suministro, transporte e instalación de canalizaciones internas del envolvente. Incluye canaleta de 60x200 mm y tubería conduit PVC SCH 40.</v>
      </c>
      <c r="C4" s="1723"/>
      <c r="D4" s="1724"/>
      <c r="E4" s="328"/>
      <c r="G4" s="8" t="str">
        <f>+'PRES MR 5 KW'!C16</f>
        <v>GB</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172</v>
      </c>
      <c r="B8" s="122" t="str">
        <f>VLOOKUP(A8,Materiales[],3,FALSE)</f>
        <v>Canaleta conduit de 60x200 mm</v>
      </c>
      <c r="C8" s="121" t="str">
        <f>VLOOKUP(A8,Materiales[],4,FALSE)</f>
        <v>ML</v>
      </c>
      <c r="D8" s="118">
        <v>12</v>
      </c>
      <c r="E8" s="329">
        <f>VLOOKUP(A8,Materiales[],5,FALSE)*D8</f>
        <v>4.8000000000000007</v>
      </c>
      <c r="F8" s="123">
        <f>VLOOKUP(A8,Materiales[],6,FALSE)</f>
        <v>54427</v>
      </c>
      <c r="G8" s="123">
        <f>ROUND(D8*F8,0)</f>
        <v>653124</v>
      </c>
      <c r="I8" s="33"/>
    </row>
    <row r="9" spans="1:9" ht="25.5" customHeight="1">
      <c r="A9" s="125">
        <v>44</v>
      </c>
      <c r="B9" s="122" t="str">
        <f>VLOOKUP(A9,Materiales[],3,FALSE)</f>
        <v>Tuberia conduit PVC SCH 40 1/4"</v>
      </c>
      <c r="C9" s="121" t="str">
        <f>VLOOKUP(A9,Materiales[],4,FALSE)</f>
        <v>ML</v>
      </c>
      <c r="D9" s="332">
        <v>3.5</v>
      </c>
      <c r="E9" s="335">
        <f>VLOOKUP(A9,Materiales[],5,FALSE)*D9</f>
        <v>0.46083333333333337</v>
      </c>
      <c r="F9" s="123">
        <f>VLOOKUP(A9,Materiales[],6,FALSE)</f>
        <v>2962</v>
      </c>
      <c r="G9" s="123">
        <f t="shared" ref="G9:G14" si="0">ROUND(D9*F9,0)</f>
        <v>10367</v>
      </c>
      <c r="I9" s="33"/>
    </row>
    <row r="10" spans="1:9" ht="14.5">
      <c r="A10" s="125">
        <v>45</v>
      </c>
      <c r="B10" s="122" t="str">
        <f>VLOOKUP(A10,Materiales[],3,FALSE)</f>
        <v>Tuberia conduit PVC 2 1/2"</v>
      </c>
      <c r="C10" s="121" t="str">
        <f>VLOOKUP(A10,Materiales[],4,FALSE)</f>
        <v>ML</v>
      </c>
      <c r="D10" s="118">
        <v>1</v>
      </c>
      <c r="E10" s="335">
        <f>VLOOKUP(A10,Materiales[],5,FALSE)*D10</f>
        <v>1.0666666666666667</v>
      </c>
      <c r="F10" s="123">
        <f>VLOOKUP(A10,Materiales[],6,FALSE)</f>
        <v>17903</v>
      </c>
      <c r="G10" s="123">
        <f t="shared" si="0"/>
        <v>17903</v>
      </c>
      <c r="I10" s="33"/>
    </row>
    <row r="11" spans="1:9" ht="25">
      <c r="A11" s="125">
        <v>49</v>
      </c>
      <c r="B11" s="122" t="str">
        <f>VLOOKUP(A11,Materiales[],3,FALSE)</f>
        <v>Union rápida para curvas canaleta conduit. Difertentes medidas</v>
      </c>
      <c r="C11" s="121" t="str">
        <f>VLOOKUP(A11,Materiales[],4,FALSE)</f>
        <v>UN</v>
      </c>
      <c r="D11" s="118">
        <v>6</v>
      </c>
      <c r="E11" s="335">
        <f>VLOOKUP(A11,Materiales[],5,FALSE)*D11</f>
        <v>0.60000000000000009</v>
      </c>
      <c r="F11" s="123">
        <f>VLOOKUP(A11,Materiales[],6,FALSE)</f>
        <v>3096</v>
      </c>
      <c r="G11" s="123">
        <f t="shared" si="0"/>
        <v>18576</v>
      </c>
      <c r="I11" s="33"/>
    </row>
    <row r="12" spans="1:9" ht="14.5">
      <c r="A12" s="125">
        <v>50</v>
      </c>
      <c r="B12" s="122" t="str">
        <f>VLOOKUP(A12,Materiales[],3,FALSE)</f>
        <v>Union con tornillo para canaleta (tipo perro)</v>
      </c>
      <c r="C12" s="121" t="str">
        <f>VLOOKUP(A12,Materiales[],4,FALSE)</f>
        <v>UN</v>
      </c>
      <c r="D12" s="118">
        <v>6</v>
      </c>
      <c r="E12" s="335">
        <f>VLOOKUP(A12,Materiales[],5,FALSE)*D12</f>
        <v>0.30000000000000004</v>
      </c>
      <c r="F12" s="123">
        <f>VLOOKUP(A12,Materiales[],6,FALSE)</f>
        <v>2743</v>
      </c>
      <c r="G12" s="123">
        <f t="shared" si="0"/>
        <v>16458</v>
      </c>
      <c r="I12" s="33"/>
    </row>
    <row r="13" spans="1:9" ht="14.5">
      <c r="A13" s="125">
        <v>51</v>
      </c>
      <c r="B13" s="122" t="str">
        <f>VLOOKUP(A13,Materiales[],3,FALSE)</f>
        <v>Union rápida para canaleta EDRN</v>
      </c>
      <c r="C13" s="121" t="str">
        <f>VLOOKUP(A13,Materiales[],4,FALSE)</f>
        <v>UN</v>
      </c>
      <c r="D13" s="118">
        <v>6</v>
      </c>
      <c r="E13" s="335">
        <f>VLOOKUP(A13,Materiales[],5,FALSE)*D13</f>
        <v>0.30000000000000004</v>
      </c>
      <c r="F13" s="123">
        <f>VLOOKUP(A13,Materiales[],6,FALSE)</f>
        <v>9174</v>
      </c>
      <c r="G13" s="123">
        <f t="shared" si="0"/>
        <v>55044</v>
      </c>
      <c r="I13" s="33"/>
    </row>
    <row r="14" spans="1:9" ht="25">
      <c r="A14" s="125">
        <v>47</v>
      </c>
      <c r="B14" s="122" t="str">
        <f>VLOOKUP(A14,Materiales[],3,FALSE)</f>
        <v>Accesorios para fijación de canaleta (tornillería, pegante, chazos, etc)</v>
      </c>
      <c r="C14" s="121" t="str">
        <f>VLOOKUP(A14,Materiales[],4,FALSE)</f>
        <v>JG</v>
      </c>
      <c r="D14" s="118">
        <f>+D8</f>
        <v>12</v>
      </c>
      <c r="E14" s="329">
        <f>VLOOKUP(A14,Materiales[],5,FALSE)*D14</f>
        <v>2.4000000000000004</v>
      </c>
      <c r="F14" s="123">
        <f>VLOOKUP(A14,Materiales[],6,FALSE)</f>
        <v>5227</v>
      </c>
      <c r="G14" s="123">
        <f t="shared" si="0"/>
        <v>62724</v>
      </c>
      <c r="I14" s="33"/>
    </row>
    <row r="15" spans="1:9" ht="13">
      <c r="D15" s="18"/>
      <c r="E15" s="18"/>
      <c r="F15" s="29" t="s">
        <v>1220</v>
      </c>
      <c r="G15" s="42">
        <f>SUM(G8:G14)</f>
        <v>834196</v>
      </c>
    </row>
    <row r="17" spans="1:9" ht="13">
      <c r="B17" s="20" t="s">
        <v>1221</v>
      </c>
      <c r="G17" s="39"/>
    </row>
    <row r="18" spans="1:9" ht="13">
      <c r="A18" s="119" t="s">
        <v>184</v>
      </c>
      <c r="B18" s="120" t="s">
        <v>1</v>
      </c>
      <c r="C18" s="13" t="s">
        <v>1231</v>
      </c>
      <c r="D18" s="13" t="s">
        <v>1222</v>
      </c>
      <c r="E18" s="13"/>
      <c r="F18" s="13" t="s">
        <v>307</v>
      </c>
      <c r="G18" s="13" t="s">
        <v>752</v>
      </c>
    </row>
    <row r="19" spans="1:9" ht="14.5">
      <c r="A19" s="125">
        <v>1</v>
      </c>
      <c r="B19" s="122" t="str">
        <f>VLOOKUP(A19,Equip.Herram[],2,FALSE)</f>
        <v>Herramienta menor</v>
      </c>
      <c r="C19" s="15" t="str">
        <f>VLOOKUP(A19,Equip.Herram[],3,FALSE)</f>
        <v>UN</v>
      </c>
      <c r="D19" s="36">
        <f>VLOOKUP(A19,Equip.Herram[],4,FALSE)</f>
        <v>24840</v>
      </c>
      <c r="E19" s="36"/>
      <c r="F19" s="16">
        <f>+RENDIMIENTOS!$C$40</f>
        <v>3</v>
      </c>
      <c r="G19" s="36">
        <f>ROUND(D19/F19,0)</f>
        <v>8280</v>
      </c>
    </row>
    <row r="20" spans="1:9">
      <c r="B20" s="14"/>
      <c r="C20" s="15"/>
      <c r="D20" s="17"/>
      <c r="E20" s="17"/>
      <c r="F20" s="22"/>
      <c r="G20" s="21"/>
    </row>
    <row r="21" spans="1:9">
      <c r="B21" s="14"/>
      <c r="C21" s="15"/>
      <c r="D21" s="17"/>
      <c r="E21" s="17"/>
      <c r="F21" s="22"/>
      <c r="G21" s="21"/>
    </row>
    <row r="22" spans="1:9" ht="13">
      <c r="D22" s="18"/>
      <c r="E22" s="18"/>
      <c r="F22" s="19" t="s">
        <v>1220</v>
      </c>
      <c r="G22" s="37">
        <f>SUM(G19:G21)</f>
        <v>8280</v>
      </c>
    </row>
    <row r="23" spans="1:9" ht="13">
      <c r="D23" s="18"/>
      <c r="E23" s="18"/>
      <c r="F23" s="18"/>
      <c r="G23" s="23"/>
    </row>
    <row r="24" spans="1:9" ht="13">
      <c r="B24" s="11" t="s">
        <v>1223</v>
      </c>
      <c r="G24" s="24"/>
    </row>
    <row r="25" spans="1:9" ht="13">
      <c r="A25" s="119" t="s">
        <v>184</v>
      </c>
      <c r="B25" s="12" t="s">
        <v>1</v>
      </c>
      <c r="C25" s="13" t="s">
        <v>185</v>
      </c>
      <c r="D25" s="13" t="s">
        <v>1230</v>
      </c>
      <c r="E25" s="13"/>
      <c r="F25" s="13" t="s">
        <v>1233</v>
      </c>
      <c r="G25" s="25" t="s">
        <v>752</v>
      </c>
      <c r="I25" s="39"/>
    </row>
    <row r="26" spans="1:9" ht="26.5" customHeight="1">
      <c r="A26" s="125">
        <v>1</v>
      </c>
      <c r="B26" s="122" t="str">
        <f>VLOOKUP(A26,Transporte[],2,FALSE)</f>
        <v>Carga terrestre Bogotá - Teorama</v>
      </c>
      <c r="C26" s="27" t="s">
        <v>1234</v>
      </c>
      <c r="D26" s="118">
        <f>+SUM(E8:E14)</f>
        <v>9.9275000000000002</v>
      </c>
      <c r="E26" s="118"/>
      <c r="F26" s="142">
        <f>VLOOKUP(A26,Transporte[],7,FALSE)</f>
        <v>214.17955999999998</v>
      </c>
      <c r="G26" s="35">
        <f>D26*F26</f>
        <v>2126.2675818999996</v>
      </c>
    </row>
    <row r="27" spans="1:9" ht="13.4" customHeight="1">
      <c r="A27" s="125">
        <v>3</v>
      </c>
      <c r="B27" s="122" t="str">
        <f>VLOOKUP(A27,Transporte[],2,FALSE)</f>
        <v>Carga terrestre Teorama - Comunidades</v>
      </c>
      <c r="C27" s="27" t="s">
        <v>1234</v>
      </c>
      <c r="D27" s="118">
        <f>+SUM(E8:E14)</f>
        <v>9.9275000000000002</v>
      </c>
      <c r="E27" s="118"/>
      <c r="F27" s="142">
        <f>VLOOKUP(A27,Transporte[],7,FALSE)</f>
        <v>1491</v>
      </c>
      <c r="G27" s="35">
        <f>D27*F27</f>
        <v>14801.9025</v>
      </c>
    </row>
    <row r="28" spans="1:9" ht="13.4" customHeight="1">
      <c r="B28" s="26"/>
      <c r="C28" s="27"/>
      <c r="D28" s="28"/>
      <c r="E28" s="28"/>
      <c r="F28" s="35"/>
      <c r="G28" s="35"/>
    </row>
    <row r="29" spans="1:9" ht="13">
      <c r="D29" s="18"/>
      <c r="E29" s="18"/>
      <c r="F29" s="29" t="s">
        <v>1220</v>
      </c>
      <c r="G29" s="37">
        <f>SUM(G26:G28)</f>
        <v>16928.1700819</v>
      </c>
    </row>
    <row r="30" spans="1:9" ht="13">
      <c r="D30" s="18"/>
      <c r="E30" s="18"/>
      <c r="G30" s="23"/>
    </row>
    <row r="31" spans="1:9" ht="13">
      <c r="B31" s="11" t="s">
        <v>1225</v>
      </c>
      <c r="D31" s="30"/>
      <c r="E31" s="30"/>
      <c r="F31" s="31"/>
      <c r="G31" s="24"/>
    </row>
    <row r="32" spans="1:9" s="18" customFormat="1" ht="13">
      <c r="A32" s="119" t="s">
        <v>184</v>
      </c>
      <c r="B32" s="12" t="s">
        <v>1</v>
      </c>
      <c r="C32" s="13" t="s">
        <v>1226</v>
      </c>
      <c r="D32" s="13" t="s">
        <v>1227</v>
      </c>
      <c r="E32" s="13"/>
      <c r="F32" s="13" t="s">
        <v>307</v>
      </c>
      <c r="G32" s="25" t="s">
        <v>752</v>
      </c>
    </row>
    <row r="33" spans="1:9" ht="14.5">
      <c r="A33" s="125">
        <v>1</v>
      </c>
      <c r="B33" s="122" t="str">
        <f>VLOOKUP(A33,ManoObra[],2,FALSE)</f>
        <v>Electricista</v>
      </c>
      <c r="C33" s="40">
        <f>VLOOKUP(A33,ManoObra[],7,FALSE)</f>
        <v>71863</v>
      </c>
      <c r="D33" s="22">
        <f>FP!$B$28</f>
        <v>1.61</v>
      </c>
      <c r="E33" s="22"/>
      <c r="F33" s="16">
        <f>+RENDIMIENTOS!$C$40</f>
        <v>3</v>
      </c>
      <c r="G33" s="36">
        <f>ROUND(C33*D33/F33,0)</f>
        <v>38566</v>
      </c>
      <c r="I33" s="81"/>
    </row>
    <row r="34" spans="1:9" ht="14.5">
      <c r="A34" s="125">
        <v>2</v>
      </c>
      <c r="B34" s="122" t="str">
        <f>VLOOKUP(A34,ManoObra[],2,FALSE)</f>
        <v>Ayudante</v>
      </c>
      <c r="C34" s="40">
        <f>VLOOKUP(A34,ManoObra[],7,FALSE)</f>
        <v>66050</v>
      </c>
      <c r="D34" s="22">
        <f>FP!$B$28</f>
        <v>1.61</v>
      </c>
      <c r="E34" s="22"/>
      <c r="F34" s="16">
        <f>+RENDIMIENTOS!$C$40</f>
        <v>3</v>
      </c>
      <c r="G34" s="36">
        <f>ROUND(C34*D34/F34,0)</f>
        <v>35447</v>
      </c>
      <c r="I34" s="81"/>
    </row>
    <row r="35" spans="1:9" ht="13">
      <c r="D35" s="18"/>
      <c r="E35" s="18"/>
      <c r="F35" s="29" t="s">
        <v>1220</v>
      </c>
      <c r="G35" s="42">
        <f>SUM(G33:G34)</f>
        <v>74013</v>
      </c>
    </row>
    <row r="36" spans="1:9" ht="13">
      <c r="D36" s="18"/>
      <c r="E36" s="18"/>
      <c r="G36" s="24"/>
    </row>
    <row r="37" spans="1:9" ht="12.75" customHeight="1">
      <c r="A37"/>
      <c r="D37" s="1725" t="s">
        <v>1228</v>
      </c>
      <c r="E37" s="1730"/>
      <c r="F37" s="1726"/>
      <c r="G37" s="38">
        <f>G15+G22+G29+G35</f>
        <v>933417.17008189997</v>
      </c>
    </row>
    <row r="38" spans="1:9" ht="13">
      <c r="A38" s="441"/>
      <c r="B38" s="441"/>
      <c r="D38" s="18"/>
      <c r="E38" s="18"/>
      <c r="F38" s="10"/>
      <c r="G38" s="41"/>
    </row>
    <row r="39" spans="1:9" ht="14">
      <c r="A39" s="442"/>
      <c r="B39" s="840"/>
    </row>
    <row r="40" spans="1:9" ht="42">
      <c r="B40" s="1028" t="s">
        <v>1235</v>
      </c>
    </row>
  </sheetData>
  <mergeCells count="4">
    <mergeCell ref="B3:F3"/>
    <mergeCell ref="B4:D4"/>
    <mergeCell ref="D37:F37"/>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tabColor theme="9" tint="0.59999389629810485"/>
  </sheetPr>
  <dimension ref="A1:F32"/>
  <sheetViews>
    <sheetView topLeftCell="A10" workbookViewId="0">
      <selection activeCell="C4" sqref="C4"/>
    </sheetView>
  </sheetViews>
  <sheetFormatPr baseColWidth="10" defaultColWidth="11.453125" defaultRowHeight="12.5"/>
  <cols>
    <col min="1" max="1" width="29.453125" customWidth="1"/>
    <col min="2" max="2" width="24.54296875" bestFit="1" customWidth="1"/>
    <col min="3" max="3" width="27.1796875" bestFit="1" customWidth="1"/>
    <col min="4" max="4" width="45.54296875" customWidth="1"/>
    <col min="5" max="5" width="26.1796875" bestFit="1" customWidth="1"/>
    <col min="6" max="6" width="24.54296875" bestFit="1" customWidth="1"/>
    <col min="7" max="7" width="33.1796875" bestFit="1" customWidth="1"/>
  </cols>
  <sheetData>
    <row r="1" spans="1:6">
      <c r="A1" s="34" t="s">
        <v>371</v>
      </c>
    </row>
    <row r="2" spans="1:6" ht="13">
      <c r="A2" s="1443" t="s">
        <v>372</v>
      </c>
      <c r="B2" s="1443"/>
      <c r="C2" s="1443"/>
      <c r="D2" s="1443"/>
    </row>
    <row r="3" spans="1:6">
      <c r="A3" s="90" t="s">
        <v>373</v>
      </c>
      <c r="B3" s="90" t="s">
        <v>374</v>
      </c>
      <c r="C3" s="90" t="s">
        <v>375</v>
      </c>
      <c r="D3" s="90" t="s">
        <v>376</v>
      </c>
    </row>
    <row r="4" spans="1:6" ht="14.5">
      <c r="A4" s="88">
        <f>RENDIMIENTOS!D24</f>
        <v>3.54</v>
      </c>
      <c r="B4" s="166">
        <v>24</v>
      </c>
      <c r="C4" s="166">
        <v>3</v>
      </c>
      <c r="D4" s="91" t="e">
        <f>ROUNDUP(#REF!*A4/B4/'MANO DE OBRA'!C8,0)</f>
        <v>#REF!</v>
      </c>
      <c r="E4" s="256" t="e">
        <f>#REF!</f>
        <v>#REF!</v>
      </c>
    </row>
    <row r="5" spans="1:6" ht="14.5">
      <c r="A5" s="160" t="s">
        <v>377</v>
      </c>
      <c r="B5" s="167">
        <f>ROUNDUP(B4/('TIEMPO EJECUCIÓN'!A4/RENDIMIENTOS!C13),0)</f>
        <v>7</v>
      </c>
      <c r="D5" s="165"/>
    </row>
    <row r="7" spans="1:6">
      <c r="A7" s="34" t="s">
        <v>378</v>
      </c>
    </row>
    <row r="8" spans="1:6" ht="13">
      <c r="A8" s="1445" t="s">
        <v>379</v>
      </c>
      <c r="B8" s="1446"/>
      <c r="C8" s="1447"/>
      <c r="E8" s="34"/>
      <c r="F8" s="34"/>
    </row>
    <row r="9" spans="1:6" ht="14.5">
      <c r="A9" s="1444" t="s">
        <v>380</v>
      </c>
      <c r="B9" s="1444"/>
      <c r="C9" s="89">
        <v>0</v>
      </c>
      <c r="E9" s="34"/>
    </row>
    <row r="10" spans="1:6" ht="14.5">
      <c r="A10" s="1444" t="s">
        <v>381</v>
      </c>
      <c r="B10" s="1444"/>
      <c r="C10" s="89">
        <v>1</v>
      </c>
    </row>
    <row r="14" spans="1:6" ht="13">
      <c r="A14" s="1443" t="s">
        <v>382</v>
      </c>
      <c r="B14" s="1443"/>
    </row>
    <row r="15" spans="1:6" ht="14.5">
      <c r="A15" s="87" t="s">
        <v>383</v>
      </c>
      <c r="B15" s="92">
        <v>3</v>
      </c>
      <c r="C15" s="34" t="s">
        <v>384</v>
      </c>
    </row>
    <row r="16" spans="1:6">
      <c r="A16" s="87" t="s">
        <v>385</v>
      </c>
      <c r="B16" s="91" t="e">
        <f>D4</f>
        <v>#REF!</v>
      </c>
    </row>
    <row r="17" spans="1:4">
      <c r="A17" s="87" t="s">
        <v>386</v>
      </c>
      <c r="B17" s="88">
        <v>0</v>
      </c>
    </row>
    <row r="18" spans="1:4" ht="13">
      <c r="A18" s="94" t="s">
        <v>387</v>
      </c>
      <c r="B18" s="98" t="e">
        <f>B15+B16+B17</f>
        <v>#REF!</v>
      </c>
    </row>
    <row r="19" spans="1:4">
      <c r="A19" s="87" t="s">
        <v>388</v>
      </c>
      <c r="B19" s="93" t="e">
        <f>B18+C10+C9</f>
        <v>#REF!</v>
      </c>
    </row>
    <row r="20" spans="1:4">
      <c r="A20" s="87" t="s">
        <v>389</v>
      </c>
      <c r="B20" s="93" t="e">
        <f>B19</f>
        <v>#REF!</v>
      </c>
    </row>
    <row r="21" spans="1:4" ht="13">
      <c r="A21" s="95" t="s">
        <v>390</v>
      </c>
      <c r="B21" s="96" t="e">
        <f>B19</f>
        <v>#REF!</v>
      </c>
    </row>
    <row r="25" spans="1:4" ht="13">
      <c r="A25" s="1443" t="s">
        <v>391</v>
      </c>
      <c r="B25" s="1443"/>
    </row>
    <row r="26" spans="1:4" ht="25">
      <c r="A26" s="104" t="s">
        <v>392</v>
      </c>
      <c r="B26" s="170" t="e">
        <f>B15/$B$18</f>
        <v>#REF!</v>
      </c>
    </row>
    <row r="27" spans="1:4" ht="25">
      <c r="A27" s="104" t="s">
        <v>393</v>
      </c>
      <c r="B27" s="170" t="e">
        <f t="shared" ref="B27:B28" si="0">B16/$B$18</f>
        <v>#REF!</v>
      </c>
    </row>
    <row r="28" spans="1:4" ht="25">
      <c r="A28" s="104" t="s">
        <v>394</v>
      </c>
      <c r="B28" s="170" t="e">
        <f t="shared" si="0"/>
        <v>#REF!</v>
      </c>
    </row>
    <row r="29" spans="1:4">
      <c r="A29" s="87" t="s">
        <v>395</v>
      </c>
      <c r="B29" s="170" t="e">
        <f>B18/$B$21</f>
        <v>#REF!</v>
      </c>
    </row>
    <row r="30" spans="1:4">
      <c r="A30" s="87" t="s">
        <v>396</v>
      </c>
      <c r="B30" s="170" t="e">
        <f t="shared" ref="B30:B31" si="1">B19/$B$21</f>
        <v>#REF!</v>
      </c>
      <c r="D30" s="97"/>
    </row>
    <row r="31" spans="1:4">
      <c r="A31" s="87" t="s">
        <v>397</v>
      </c>
      <c r="B31" s="170" t="e">
        <f t="shared" si="1"/>
        <v>#REF!</v>
      </c>
    </row>
    <row r="32" spans="1:4" ht="13">
      <c r="A32" s="95" t="s">
        <v>390</v>
      </c>
      <c r="B32" s="171" t="e">
        <f>B21/$B$21</f>
        <v>#REF!</v>
      </c>
    </row>
  </sheetData>
  <mergeCells count="6">
    <mergeCell ref="A25:B25"/>
    <mergeCell ref="A2:D2"/>
    <mergeCell ref="A9:B9"/>
    <mergeCell ref="A10:B10"/>
    <mergeCell ref="A14:B14"/>
    <mergeCell ref="A8:C8"/>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9F3E8-D252-4DA4-9280-AFE5C783A2BD}">
  <sheetPr>
    <tabColor theme="7" tint="0.59999389629810485"/>
    <pageSetUpPr fitToPage="1"/>
  </sheetPr>
  <dimension ref="A1:I39"/>
  <sheetViews>
    <sheetView view="pageBreakPreview" zoomScale="85" zoomScaleNormal="100" zoomScaleSheetLayoutView="85"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0.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15 KW'!A7)</f>
        <v>ITEM:  4.1.2</v>
      </c>
      <c r="C3" s="1728"/>
      <c r="D3" s="1728"/>
      <c r="E3" s="1728"/>
      <c r="F3" s="1728"/>
      <c r="G3" s="6" t="s">
        <v>1229</v>
      </c>
      <c r="H3" s="7"/>
    </row>
    <row r="4" spans="1:9" ht="75" customHeight="1">
      <c r="B4" s="1722" t="str">
        <f>+'PRES MR 15 KW'!B7</f>
        <v>Suministro, transporte e instalación de acometida solar para 12 lazos fotovoltaicos. Incluye cable bajante de los lazos fotovoltaicos Cu solar FV calibre 10 AWG hasta la caja combinadora FV y tubería LiquidTight para ingreso al envolvente, con accesorios.</v>
      </c>
      <c r="C4" s="1723"/>
      <c r="D4" s="1724"/>
      <c r="E4" s="328"/>
      <c r="G4" s="8" t="str">
        <f>+'PRES MR 15 KW'!C7</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131</v>
      </c>
      <c r="B8" s="122" t="str">
        <f>VLOOKUP(A8,Materiales[],3,FALSE)</f>
        <v>Cable Cu solar XLPE 10 AWG 1kV 120 °C</v>
      </c>
      <c r="C8" s="121" t="str">
        <f>VLOOKUP(A8,Materiales[],4,FALSE)</f>
        <v>ML</v>
      </c>
      <c r="D8" s="118">
        <f>50.4/3*12</f>
        <v>201.60000000000002</v>
      </c>
      <c r="E8" s="329">
        <f>VLOOKUP(A8,Materiales[],5,FALSE)*D8</f>
        <v>11.733120000000001</v>
      </c>
      <c r="F8" s="123">
        <f>VLOOKUP(A8,Materiales[],6,FALSE)</f>
        <v>5775</v>
      </c>
      <c r="G8" s="123">
        <f>ROUND(D8*F8,0)</f>
        <v>1164240</v>
      </c>
      <c r="I8" s="33"/>
    </row>
    <row r="9" spans="1:9" ht="14.5">
      <c r="A9" s="117">
        <v>5</v>
      </c>
      <c r="B9" s="122" t="str">
        <f>VLOOKUP(A9,Materiales[],3,FALSE)</f>
        <v>Coraza flexible Liquid Tight 1 1/4"</v>
      </c>
      <c r="C9" s="121" t="str">
        <f>VLOOKUP(A9,Materiales[],4,FALSE)</f>
        <v>ML</v>
      </c>
      <c r="D9" s="124">
        <v>3</v>
      </c>
      <c r="E9" s="329">
        <f>VLOOKUP(A9,Materiales[],5,FALSE)*D9</f>
        <v>1.6500000000000001</v>
      </c>
      <c r="F9" s="123">
        <f>VLOOKUP(A9,Materiales[],6,FALSE)</f>
        <v>11500</v>
      </c>
      <c r="G9" s="123">
        <f t="shared" ref="G9:G13" si="0">ROUND(D9*F9,0)</f>
        <v>34500</v>
      </c>
    </row>
    <row r="10" spans="1:9" ht="14.5">
      <c r="A10" s="117">
        <v>48</v>
      </c>
      <c r="B10" s="122" t="str">
        <f>VLOOKUP(A10,Materiales[],3,FALSE)</f>
        <v>Conector recto coraza Liquid Tight 1 1/4"</v>
      </c>
      <c r="C10" s="121" t="str">
        <f>VLOOKUP(A10,Materiales[],4,FALSE)</f>
        <v>UN</v>
      </c>
      <c r="D10" s="124">
        <v>2</v>
      </c>
      <c r="E10" s="329">
        <f>VLOOKUP(A10,Materiales[],5,FALSE)*D10</f>
        <v>0.38</v>
      </c>
      <c r="F10" s="123">
        <f>VLOOKUP(A10,Materiales[],6,FALSE)</f>
        <v>11443</v>
      </c>
      <c r="G10" s="123">
        <f t="shared" si="0"/>
        <v>22886</v>
      </c>
    </row>
    <row r="11" spans="1:9" ht="14.5">
      <c r="A11" s="117">
        <v>388</v>
      </c>
      <c r="B11" s="122" t="str">
        <f>VLOOKUP(A11,Materiales[],3,FALSE)</f>
        <v>Fusible DC 25 A</v>
      </c>
      <c r="C11" s="121" t="str">
        <f>VLOOKUP(A11,Materiales[],4,FALSE)</f>
        <v>UN</v>
      </c>
      <c r="D11" s="124">
        <v>12</v>
      </c>
      <c r="E11" s="329">
        <f>VLOOKUP(A11,Materiales[],5,FALSE)*D11</f>
        <v>1.2000000000000002</v>
      </c>
      <c r="F11" s="123">
        <f>VLOOKUP(A11,Materiales[],6,FALSE)</f>
        <v>15619</v>
      </c>
      <c r="G11" s="123">
        <f t="shared" ref="G11" si="1">ROUND(D11*F11,0)</f>
        <v>187428</v>
      </c>
    </row>
    <row r="12" spans="1:9" ht="14.5">
      <c r="A12" s="117">
        <v>411</v>
      </c>
      <c r="B12" s="122" t="str">
        <f>VLOOKUP(A12,Materiales[],3,FALSE)</f>
        <v xml:space="preserve">Portafusibles 1P 1000VDC </v>
      </c>
      <c r="C12" s="121" t="str">
        <f>VLOOKUP(A12,Materiales[],4,FALSE)</f>
        <v>UN</v>
      </c>
      <c r="D12" s="124">
        <v>12</v>
      </c>
      <c r="E12" s="329">
        <f>VLOOKUP(A12,Materiales[],5,FALSE)*D12</f>
        <v>3</v>
      </c>
      <c r="F12" s="123">
        <f>VLOOKUP(A12,Materiales[],6,FALSE)</f>
        <v>23496</v>
      </c>
      <c r="G12" s="123">
        <f t="shared" ref="G12" si="2">ROUND(D12*F12,0)</f>
        <v>281952</v>
      </c>
    </row>
    <row r="13" spans="1:9" ht="14.5">
      <c r="A13" s="117">
        <v>7</v>
      </c>
      <c r="B13" s="122" t="str">
        <f>VLOOKUP(A13,Materiales[],3,FALSE)</f>
        <v>Abrazadera metálica doble ala 1 1/4"</v>
      </c>
      <c r="C13" s="121" t="str">
        <f>VLOOKUP(A13,Materiales[],4,FALSE)</f>
        <v>UN</v>
      </c>
      <c r="D13" s="124">
        <v>5</v>
      </c>
      <c r="E13" s="329">
        <f>VLOOKUP(A13,Materiales[],5,FALSE)*D13</f>
        <v>0.5</v>
      </c>
      <c r="F13" s="123">
        <f>VLOOKUP(A13,Materiales[],6,FALSE)</f>
        <v>1304</v>
      </c>
      <c r="G13" s="123">
        <f t="shared" si="0"/>
        <v>6520</v>
      </c>
    </row>
    <row r="14" spans="1:9" ht="13">
      <c r="D14" s="18"/>
      <c r="E14" s="18"/>
      <c r="F14" s="29" t="s">
        <v>1220</v>
      </c>
      <c r="G14" s="42">
        <f>SUM(G8:G13)</f>
        <v>1697526</v>
      </c>
    </row>
    <row r="16" spans="1:9" ht="13">
      <c r="B16" s="20" t="s">
        <v>1221</v>
      </c>
      <c r="G16" s="39"/>
    </row>
    <row r="17" spans="1:9" ht="13">
      <c r="A17" s="119" t="s">
        <v>184</v>
      </c>
      <c r="B17" s="120" t="s">
        <v>1</v>
      </c>
      <c r="C17" s="13" t="s">
        <v>1231</v>
      </c>
      <c r="D17" s="13" t="s">
        <v>1222</v>
      </c>
      <c r="E17" s="13"/>
      <c r="F17" s="13" t="s">
        <v>307</v>
      </c>
      <c r="G17" s="13" t="s">
        <v>752</v>
      </c>
    </row>
    <row r="18" spans="1:9" ht="14.5">
      <c r="A18" s="125">
        <v>1</v>
      </c>
      <c r="B18" s="122" t="str">
        <f>VLOOKUP(A18,Equip.Herram[],2,FALSE)</f>
        <v>Herramienta menor</v>
      </c>
      <c r="C18" s="15" t="str">
        <f>VLOOKUP(A18,Equip.Herram[],3,FALSE)</f>
        <v>UN</v>
      </c>
      <c r="D18" s="36">
        <f>VLOOKUP(A18,Equip.Herram[],4,FALSE)</f>
        <v>24840</v>
      </c>
      <c r="E18" s="36"/>
      <c r="F18" s="16">
        <f>+RENDIMIENTOS!C30</f>
        <v>6</v>
      </c>
      <c r="G18" s="36">
        <f>ROUND(D18/F18,0)</f>
        <v>4140</v>
      </c>
    </row>
    <row r="19" spans="1:9">
      <c r="B19" s="14"/>
      <c r="C19" s="15"/>
      <c r="D19" s="17"/>
      <c r="E19" s="17"/>
      <c r="F19" s="22"/>
      <c r="G19" s="21"/>
    </row>
    <row r="20" spans="1:9">
      <c r="B20" s="14"/>
      <c r="C20" s="15"/>
      <c r="D20" s="17"/>
      <c r="E20" s="17"/>
      <c r="F20" s="22"/>
      <c r="G20" s="21"/>
    </row>
    <row r="21" spans="1:9" ht="13">
      <c r="D21" s="18"/>
      <c r="E21" s="18"/>
      <c r="F21" s="19" t="s">
        <v>1220</v>
      </c>
      <c r="G21" s="37">
        <f>SUM(G18:G20)</f>
        <v>4140</v>
      </c>
    </row>
    <row r="22" spans="1:9" ht="13">
      <c r="D22" s="18"/>
      <c r="E22" s="18"/>
      <c r="F22" s="18"/>
      <c r="G22" s="23"/>
    </row>
    <row r="23" spans="1:9" ht="13">
      <c r="B23" s="11" t="s">
        <v>1223</v>
      </c>
      <c r="G23" s="24"/>
    </row>
    <row r="24" spans="1:9" ht="13">
      <c r="A24" s="119" t="s">
        <v>184</v>
      </c>
      <c r="B24" s="12" t="s">
        <v>1</v>
      </c>
      <c r="C24" s="13" t="s">
        <v>185</v>
      </c>
      <c r="D24" s="13" t="s">
        <v>1230</v>
      </c>
      <c r="E24" s="13"/>
      <c r="F24" s="13" t="s">
        <v>1233</v>
      </c>
      <c r="G24" s="25" t="s">
        <v>752</v>
      </c>
      <c r="I24" s="39"/>
    </row>
    <row r="25" spans="1:9" ht="26.5" customHeight="1">
      <c r="A25" s="125">
        <v>1</v>
      </c>
      <c r="B25" s="122" t="str">
        <f>VLOOKUP(A25,Transporte[],2,FALSE)</f>
        <v>Carga terrestre Bogotá - Teorama</v>
      </c>
      <c r="C25" s="27" t="s">
        <v>1234</v>
      </c>
      <c r="D25" s="118">
        <f>+SUM(E8:E13)</f>
        <v>18.463120000000004</v>
      </c>
      <c r="E25" s="118"/>
      <c r="F25" s="142">
        <f>VLOOKUP(A25,Transporte[],7,FALSE)</f>
        <v>214.17955999999998</v>
      </c>
      <c r="G25" s="35">
        <f>D25*F25</f>
        <v>3954.4229178272003</v>
      </c>
    </row>
    <row r="26" spans="1:9" ht="13.4" customHeight="1">
      <c r="A26" s="125">
        <v>3</v>
      </c>
      <c r="B26" s="122" t="str">
        <f>VLOOKUP(A26,Transporte[],2,FALSE)</f>
        <v>Carga terrestre Teorama - Comunidades</v>
      </c>
      <c r="C26" s="27" t="s">
        <v>1234</v>
      </c>
      <c r="D26" s="118">
        <f>+SUM(E8:E13)</f>
        <v>18.463120000000004</v>
      </c>
      <c r="E26" s="118"/>
      <c r="F26" s="142">
        <f>VLOOKUP(A26,Transporte[],7,FALSE)</f>
        <v>1491</v>
      </c>
      <c r="G26" s="35">
        <f>D26*F26</f>
        <v>27528.511920000004</v>
      </c>
    </row>
    <row r="27" spans="1:9" ht="13.4" customHeight="1">
      <c r="B27" s="26"/>
      <c r="C27" s="27"/>
      <c r="D27" s="28"/>
      <c r="E27" s="28"/>
      <c r="F27" s="35"/>
      <c r="G27" s="35"/>
    </row>
    <row r="28" spans="1:9" ht="13">
      <c r="D28" s="18"/>
      <c r="E28" s="18"/>
      <c r="F28" s="29" t="s">
        <v>1220</v>
      </c>
      <c r="G28" s="37">
        <f>SUM(G25:G27)</f>
        <v>31482.934837827204</v>
      </c>
    </row>
    <row r="29" spans="1:9" ht="13">
      <c r="D29" s="18"/>
      <c r="E29" s="18"/>
      <c r="G29" s="23"/>
    </row>
    <row r="30" spans="1:9" ht="13">
      <c r="B30" s="11" t="s">
        <v>1225</v>
      </c>
      <c r="D30" s="30"/>
      <c r="E30" s="30"/>
      <c r="F30" s="31"/>
      <c r="G30" s="24"/>
    </row>
    <row r="31" spans="1:9" s="18" customFormat="1" ht="13">
      <c r="A31" s="119" t="s">
        <v>184</v>
      </c>
      <c r="B31" s="12" t="s">
        <v>1</v>
      </c>
      <c r="C31" s="13" t="s">
        <v>1226</v>
      </c>
      <c r="D31" s="13" t="s">
        <v>1227</v>
      </c>
      <c r="E31" s="13"/>
      <c r="F31" s="13" t="s">
        <v>307</v>
      </c>
      <c r="G31" s="25" t="s">
        <v>752</v>
      </c>
    </row>
    <row r="32" spans="1:9" ht="14.5">
      <c r="A32" s="125">
        <v>1</v>
      </c>
      <c r="B32" s="122" t="str">
        <f>VLOOKUP(A32,ManoObra[],2,FALSE)</f>
        <v>Electricista</v>
      </c>
      <c r="C32" s="40">
        <f>VLOOKUP(A32,ManoObra[],7,FALSE)</f>
        <v>71863</v>
      </c>
      <c r="D32" s="22">
        <f>FP!$B$28</f>
        <v>1.61</v>
      </c>
      <c r="E32" s="22"/>
      <c r="F32" s="16">
        <f>+RENDIMIENTOS!$C$31</f>
        <v>6</v>
      </c>
      <c r="G32" s="36">
        <f>ROUND(C32*D32/F32,0)</f>
        <v>19283</v>
      </c>
      <c r="I32" s="81"/>
    </row>
    <row r="33" spans="1:9" ht="14.5">
      <c r="A33" s="125">
        <v>2</v>
      </c>
      <c r="B33" s="122" t="str">
        <f>VLOOKUP(A33,ManoObra[],2,FALSE)</f>
        <v>Ayudante</v>
      </c>
      <c r="C33" s="40">
        <f>VLOOKUP(A33,ManoObra[],7,FALSE)</f>
        <v>66050</v>
      </c>
      <c r="D33" s="22">
        <f>FP!$B$28</f>
        <v>1.61</v>
      </c>
      <c r="E33" s="22"/>
      <c r="F33" s="16">
        <f>+RENDIMIENTOS!$C$31</f>
        <v>6</v>
      </c>
      <c r="G33" s="36">
        <f>ROUND(C33*D33/F33,0)</f>
        <v>17723</v>
      </c>
      <c r="I33" s="81"/>
    </row>
    <row r="34" spans="1:9" ht="13">
      <c r="D34" s="18"/>
      <c r="E34" s="18"/>
      <c r="F34" s="29" t="s">
        <v>1220</v>
      </c>
      <c r="G34" s="42">
        <f>SUM(G32:G33)</f>
        <v>37006</v>
      </c>
    </row>
    <row r="35" spans="1:9" ht="13">
      <c r="D35" s="18"/>
      <c r="E35" s="18"/>
      <c r="G35" s="24"/>
    </row>
    <row r="36" spans="1:9" ht="12.75" customHeight="1">
      <c r="A36"/>
      <c r="D36" s="1725" t="s">
        <v>1228</v>
      </c>
      <c r="E36" s="1730"/>
      <c r="F36" s="1726"/>
      <c r="G36" s="38">
        <f>G14+G21+G28+G34</f>
        <v>1770154.9348378272</v>
      </c>
    </row>
    <row r="37" spans="1:9" ht="13">
      <c r="A37" s="441"/>
      <c r="B37" s="441"/>
      <c r="D37" s="18"/>
      <c r="E37" s="18"/>
      <c r="F37" s="10"/>
      <c r="G37" s="41"/>
    </row>
    <row r="38" spans="1:9" ht="14">
      <c r="A38" s="442"/>
      <c r="B38" s="840"/>
    </row>
    <row r="39" spans="1:9" ht="42">
      <c r="B39" s="1028" t="s">
        <v>1235</v>
      </c>
    </row>
  </sheetData>
  <mergeCells count="4">
    <mergeCell ref="B3:F3"/>
    <mergeCell ref="B4:D4"/>
    <mergeCell ref="D36:F36"/>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B2BC2-03FD-4DB7-A519-BA3F6ED57E5F}">
  <sheetPr>
    <tabColor theme="7" tint="0.59999389629810485"/>
    <pageSetUpPr fitToPage="1"/>
  </sheetPr>
  <dimension ref="A1:I46"/>
  <sheetViews>
    <sheetView view="pageBreakPreview" zoomScale="70" zoomScaleNormal="100" zoomScaleSheetLayoutView="70"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0.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15 KW'!A8)</f>
        <v>ITEM:  4.1.3</v>
      </c>
      <c r="C3" s="1728"/>
      <c r="D3" s="1728"/>
      <c r="E3" s="1728"/>
      <c r="F3" s="1728"/>
      <c r="G3" s="6" t="s">
        <v>1229</v>
      </c>
      <c r="H3" s="7"/>
    </row>
    <row r="4" spans="1:9" ht="53.25" customHeight="1">
      <c r="B4" s="1722" t="str">
        <f>+'PRES MR 15 KW'!B8</f>
        <v>Suministro, transporte e instalación de caja combinadora FV. Incluye gabinete eléctrico con cumplimiento RETIE y tapa traslucida, de dimensiones 630x530x180 mm; protecciones, barrajes y DPS Tipo 1 +2.</v>
      </c>
      <c r="C4" s="1723"/>
      <c r="D4" s="1724"/>
      <c r="E4" s="328"/>
      <c r="G4" s="8" t="str">
        <f>+'PRES MR 15 KW'!C8</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40.4" customHeight="1">
      <c r="A8" s="125">
        <v>8</v>
      </c>
      <c r="B8" s="122" t="str">
        <f>VLOOKUP(A8,Materiales[],3,FALSE)</f>
        <v>Gabinete eléctrico con tapa traslucida, doble fondo y cumplimiento RETIE, dimensiones 630x530x180 mm</v>
      </c>
      <c r="C8" s="121" t="str">
        <f>VLOOKUP(A8,Materiales[],4,FALSE)</f>
        <v>UN</v>
      </c>
      <c r="D8" s="118">
        <v>1</v>
      </c>
      <c r="E8" s="329">
        <f>VLOOKUP(A8,Materiales[],5,FALSE)*D8</f>
        <v>13</v>
      </c>
      <c r="F8" s="123">
        <f>VLOOKUP(A8,Materiales[],6,FALSE)</f>
        <v>724444</v>
      </c>
      <c r="G8" s="123">
        <f>ROUND(D8*F8,0)</f>
        <v>724444</v>
      </c>
      <c r="I8" s="33"/>
    </row>
    <row r="9" spans="1:9" ht="25">
      <c r="A9" s="117">
        <v>247</v>
      </c>
      <c r="B9" s="122" t="str">
        <f>VLOOKUP(A9,Materiales[],3,FALSE)</f>
        <v>Barraje de cobre tropicalizado de 300 A para 16 conexiones</v>
      </c>
      <c r="C9" s="121" t="str">
        <f>VLOOKUP(A9,Materiales[],4,FALSE)</f>
        <v>UN</v>
      </c>
      <c r="D9" s="118">
        <v>4</v>
      </c>
      <c r="E9" s="329">
        <f>VLOOKUP(A9,Materiales[],5,FALSE)*D9</f>
        <v>6</v>
      </c>
      <c r="F9" s="123">
        <f>VLOOKUP(A9,Materiales[],6,FALSE)</f>
        <v>103267</v>
      </c>
      <c r="G9" s="123">
        <f t="shared" ref="G9:G17" si="0">ROUND(D9*F9,0)</f>
        <v>413068</v>
      </c>
    </row>
    <row r="10" spans="1:9" ht="14.5">
      <c r="A10" s="117">
        <v>10</v>
      </c>
      <c r="B10" s="122" t="str">
        <f>VLOOKUP(A10,Materiales[],3,FALSE)</f>
        <v>Riel DIN 35 mm x 7.5 mm</v>
      </c>
      <c r="C10" s="121" t="str">
        <f>VLOOKUP(A10,Materiales[],4,FALSE)</f>
        <v>ML</v>
      </c>
      <c r="D10" s="124">
        <v>1</v>
      </c>
      <c r="E10" s="329">
        <f>VLOOKUP(A10,Materiales[],5,FALSE)*D10</f>
        <v>0.3</v>
      </c>
      <c r="F10" s="123">
        <f>VLOOKUP(A10,Materiales[],6,FALSE)</f>
        <v>10732</v>
      </c>
      <c r="G10" s="123">
        <f t="shared" si="0"/>
        <v>10732</v>
      </c>
    </row>
    <row r="11" spans="1:9" ht="14.5">
      <c r="A11" s="117">
        <v>383</v>
      </c>
      <c r="B11" s="122" t="str">
        <f>VLOOKUP(A11,Materiales[],3,FALSE)</f>
        <v xml:space="preserve">Interruptor termomagnético 30A 2P 500 VDC 6 Ka </v>
      </c>
      <c r="C11" s="121" t="str">
        <f>VLOOKUP(A11,Materiales[],4,FALSE)</f>
        <v>UN</v>
      </c>
      <c r="D11" s="124">
        <v>12</v>
      </c>
      <c r="E11" s="329">
        <f>VLOOKUP(A11,Materiales[],5,FALSE)*D11</f>
        <v>2.88</v>
      </c>
      <c r="F11" s="123">
        <f>VLOOKUP(A11,Materiales[],6,FALSE)</f>
        <v>115000</v>
      </c>
      <c r="G11" s="123">
        <f t="shared" si="0"/>
        <v>1380000</v>
      </c>
    </row>
    <row r="12" spans="1:9" ht="14.5">
      <c r="A12" s="117">
        <v>11</v>
      </c>
      <c r="B12" s="122" t="str">
        <f>VLOOKUP(A12,Materiales[],3,FALSE)</f>
        <v xml:space="preserve">Interruptor termomagnético 50A 2P 500 VDC 6 Ka </v>
      </c>
      <c r="C12" s="121" t="str">
        <f>VLOOKUP(A12,Materiales[],4,FALSE)</f>
        <v>UN</v>
      </c>
      <c r="D12" s="124">
        <v>1</v>
      </c>
      <c r="E12" s="329">
        <f>VLOOKUP(A12,Materiales[],5,FALSE)*D12</f>
        <v>0.24</v>
      </c>
      <c r="F12" s="123">
        <f>VLOOKUP(A12,Materiales[],6,FALSE)</f>
        <v>98625</v>
      </c>
      <c r="G12" s="123">
        <f t="shared" si="0"/>
        <v>98625</v>
      </c>
    </row>
    <row r="13" spans="1:9" ht="14.5">
      <c r="A13" s="117">
        <v>400</v>
      </c>
      <c r="B13" s="122" t="str">
        <f>VLOOKUP(A13,Materiales[],3,FALSE)</f>
        <v xml:space="preserve">Interruptor termomagnético 300A 2P 500 VDC 6 Ka </v>
      </c>
      <c r="C13" s="121" t="str">
        <f>VLOOKUP(A13,Materiales[],4,FALSE)</f>
        <v>UN</v>
      </c>
      <c r="D13" s="124">
        <v>1</v>
      </c>
      <c r="E13" s="329">
        <f>VLOOKUP(A13,Materiales[],5,FALSE)*D13</f>
        <v>0.3</v>
      </c>
      <c r="F13" s="123">
        <f>VLOOKUP(A13,Materiales[],6,FALSE)</f>
        <v>1380000</v>
      </c>
      <c r="G13" s="123">
        <f t="shared" si="0"/>
        <v>1380000</v>
      </c>
    </row>
    <row r="14" spans="1:9" ht="14.5">
      <c r="A14" s="117">
        <v>236</v>
      </c>
      <c r="B14" s="122" t="str">
        <f>VLOOKUP(A14,Materiales[],3,FALSE)</f>
        <v>DPS Tipo 1+2 500 Uc Up 2,5 kV 18-40 kA</v>
      </c>
      <c r="C14" s="121" t="str">
        <f>VLOOKUP(A14,Materiales[],4,FALSE)</f>
        <v>UN</v>
      </c>
      <c r="D14" s="124">
        <v>1</v>
      </c>
      <c r="E14" s="329">
        <f>VLOOKUP(A14,Materiales[],5,FALSE)*D14</f>
        <v>0.24</v>
      </c>
      <c r="F14" s="123">
        <f>VLOOKUP(A14,Materiales[],6,FALSE)</f>
        <v>383180</v>
      </c>
      <c r="G14" s="123">
        <f t="shared" si="0"/>
        <v>383180</v>
      </c>
    </row>
    <row r="15" spans="1:9" ht="14.5">
      <c r="A15" s="117">
        <v>24</v>
      </c>
      <c r="B15" s="122" t="str">
        <f>VLOOKUP(A15,Materiales[],3,FALSE)</f>
        <v>Borna para ponchar varios calibres y terminales</v>
      </c>
      <c r="C15" s="121" t="str">
        <f>VLOOKUP(A15,Materiales[],4,FALSE)</f>
        <v>UN</v>
      </c>
      <c r="D15" s="124">
        <v>32</v>
      </c>
      <c r="E15" s="329">
        <f>VLOOKUP(A15,Materiales[],5,FALSE)*D15</f>
        <v>0.25600000000000001</v>
      </c>
      <c r="F15" s="123">
        <f>VLOOKUP(A15,Materiales[],6,FALSE)</f>
        <v>2111</v>
      </c>
      <c r="G15" s="123">
        <f t="shared" si="0"/>
        <v>67552</v>
      </c>
    </row>
    <row r="16" spans="1:9" ht="25">
      <c r="A16" s="117">
        <v>25</v>
      </c>
      <c r="B16" s="122" t="str">
        <f>VLOOKUP(A16,Materiales[],3,FALSE)</f>
        <v>Tubo termoencogible. Distintos calibres, distintos colores</v>
      </c>
      <c r="C16" s="121" t="str">
        <f>VLOOKUP(A16,Materiales[],4,FALSE)</f>
        <v>UN</v>
      </c>
      <c r="D16" s="124">
        <v>32</v>
      </c>
      <c r="E16" s="329">
        <f>VLOOKUP(A16,Materiales[],5,FALSE)*D16</f>
        <v>0.25600000000000001</v>
      </c>
      <c r="F16" s="123">
        <f>VLOOKUP(A16,Materiales[],6,FALSE)</f>
        <v>3680</v>
      </c>
      <c r="G16" s="123">
        <f t="shared" si="0"/>
        <v>117760</v>
      </c>
    </row>
    <row r="17" spans="1:9" ht="14.5">
      <c r="A17" s="117">
        <v>252</v>
      </c>
      <c r="B17" s="122" t="str">
        <f>VLOOKUP(A17,Materiales[],3,FALSE)</f>
        <v>Cable Cu THHN 350 MCM</v>
      </c>
      <c r="C17" s="121" t="str">
        <f>VLOOKUP(A17,Materiales[],4,FALSE)</f>
        <v>ML</v>
      </c>
      <c r="D17" s="126">
        <f>2.1+0.21</f>
        <v>2.31</v>
      </c>
      <c r="E17" s="329">
        <f>VLOOKUP(A17,Materiales[],5,FALSE)*D17</f>
        <v>3.927</v>
      </c>
      <c r="F17" s="123">
        <f>VLOOKUP(A17,Materiales[],6,FALSE)</f>
        <v>143750</v>
      </c>
      <c r="G17" s="123">
        <f t="shared" si="0"/>
        <v>332063</v>
      </c>
    </row>
    <row r="18" spans="1:9" ht="14.5">
      <c r="A18" s="117">
        <v>237</v>
      </c>
      <c r="B18" s="122" t="str">
        <f>VLOOKUP(A18,Materiales[],3,FALSE)</f>
        <v>Cable Cu THHN 4 AWG</v>
      </c>
      <c r="C18" s="121" t="str">
        <f>VLOOKUP(A18,Materiales[],4,FALSE)</f>
        <v>ML</v>
      </c>
      <c r="D18" s="126">
        <v>2</v>
      </c>
      <c r="E18" s="329">
        <f>VLOOKUP(A18,Materiales[],5,FALSE)*D18</f>
        <v>0.47</v>
      </c>
      <c r="F18" s="123">
        <f>VLOOKUP(A18,Materiales[],6,FALSE)</f>
        <v>18272</v>
      </c>
      <c r="G18" s="123">
        <f t="shared" ref="G18" si="1">ROUND(D18*F18,0)</f>
        <v>36544</v>
      </c>
    </row>
    <row r="19" spans="1:9" ht="14.5">
      <c r="A19" s="117">
        <v>412</v>
      </c>
      <c r="B19" s="122" t="str">
        <f>VLOOKUP(A19,Materiales[],3,FALSE)</f>
        <v>Cable de Cobre Desnudo. 1/0 AWG</v>
      </c>
      <c r="C19" s="121" t="str">
        <f>VLOOKUP(A19,Materiales[],4,FALSE)</f>
        <v>ML</v>
      </c>
      <c r="D19" s="126">
        <v>1</v>
      </c>
      <c r="E19" s="329">
        <f>VLOOKUP(A19,Materiales[],5,FALSE)*D19</f>
        <v>0.48499999999999999</v>
      </c>
      <c r="F19" s="123">
        <f>VLOOKUP(A19,Materiales[],6,FALSE)</f>
        <v>47465</v>
      </c>
      <c r="G19" s="123">
        <f t="shared" ref="G19" si="2">ROUND(D19*F19,0)</f>
        <v>47465</v>
      </c>
    </row>
    <row r="20" spans="1:9" ht="14.5">
      <c r="A20" s="117">
        <v>396</v>
      </c>
      <c r="B20" s="122" t="str">
        <f>VLOOKUP(A20,Materiales[],3,FALSE)</f>
        <v>Cable Cu THHN 4 AWG verde</v>
      </c>
      <c r="C20" s="121" t="str">
        <f>VLOOKUP(A20,Materiales[],4,FALSE)</f>
        <v>ML</v>
      </c>
      <c r="D20" s="126">
        <v>1</v>
      </c>
      <c r="E20" s="329">
        <f>VLOOKUP(A20,Materiales[],5,FALSE)*D20</f>
        <v>0.23499999999999999</v>
      </c>
      <c r="F20" s="123">
        <f>VLOOKUP(A20,Materiales[],6,FALSE)</f>
        <v>18272</v>
      </c>
      <c r="G20" s="123">
        <f t="shared" ref="G20" si="3">ROUND(D20*F20,0)</f>
        <v>18272</v>
      </c>
    </row>
    <row r="21" spans="1:9" ht="13">
      <c r="D21" s="18"/>
      <c r="E21" s="18"/>
      <c r="F21" s="29" t="s">
        <v>1220</v>
      </c>
      <c r="G21" s="42">
        <f>SUM(G8:G20)</f>
        <v>5009705</v>
      </c>
    </row>
    <row r="23" spans="1:9" ht="13">
      <c r="B23" s="20" t="s">
        <v>1221</v>
      </c>
      <c r="G23" s="39"/>
    </row>
    <row r="24" spans="1:9" ht="13">
      <c r="A24" s="119" t="s">
        <v>184</v>
      </c>
      <c r="B24" s="120" t="s">
        <v>1</v>
      </c>
      <c r="C24" s="13" t="s">
        <v>1231</v>
      </c>
      <c r="D24" s="13" t="s">
        <v>1222</v>
      </c>
      <c r="E24" s="13"/>
      <c r="F24" s="13" t="s">
        <v>307</v>
      </c>
      <c r="G24" s="13" t="s">
        <v>752</v>
      </c>
    </row>
    <row r="25" spans="1:9" ht="14.5">
      <c r="A25" s="125">
        <v>1</v>
      </c>
      <c r="B25" s="122" t="str">
        <f>VLOOKUP(A25,Equip.Herram[],2,FALSE)</f>
        <v>Herramienta menor</v>
      </c>
      <c r="C25" s="15" t="str">
        <f>VLOOKUP(A25,Equip.Herram[],3,FALSE)</f>
        <v>UN</v>
      </c>
      <c r="D25" s="36">
        <f>VLOOKUP(A25,Equip.Herram[],4,FALSE)</f>
        <v>24840</v>
      </c>
      <c r="E25" s="36"/>
      <c r="F25" s="16">
        <f>+RENDIMIENTOS!C32</f>
        <v>2</v>
      </c>
      <c r="G25" s="36">
        <f>ROUND(D25/F25,0)</f>
        <v>12420</v>
      </c>
    </row>
    <row r="26" spans="1:9">
      <c r="B26" s="14"/>
      <c r="C26" s="15"/>
      <c r="D26" s="17"/>
      <c r="E26" s="17"/>
      <c r="F26" s="22"/>
      <c r="G26" s="21"/>
    </row>
    <row r="27" spans="1:9">
      <c r="B27" s="14"/>
      <c r="C27" s="15"/>
      <c r="D27" s="17"/>
      <c r="E27" s="17"/>
      <c r="F27" s="22"/>
      <c r="G27" s="21"/>
    </row>
    <row r="28" spans="1:9" ht="13">
      <c r="D28" s="18"/>
      <c r="E28" s="18"/>
      <c r="F28" s="19" t="s">
        <v>1220</v>
      </c>
      <c r="G28" s="37">
        <f>SUM(G25:G27)</f>
        <v>12420</v>
      </c>
    </row>
    <row r="29" spans="1:9" ht="13">
      <c r="D29" s="18"/>
      <c r="E29" s="18"/>
      <c r="F29" s="18"/>
      <c r="G29" s="23"/>
    </row>
    <row r="30" spans="1:9" ht="13">
      <c r="B30" s="11" t="s">
        <v>1223</v>
      </c>
      <c r="G30" s="24"/>
    </row>
    <row r="31" spans="1:9" ht="13">
      <c r="A31" s="119" t="s">
        <v>184</v>
      </c>
      <c r="B31" s="12" t="s">
        <v>1</v>
      </c>
      <c r="C31" s="13" t="s">
        <v>185</v>
      </c>
      <c r="D31" s="13" t="s">
        <v>1230</v>
      </c>
      <c r="E31" s="13"/>
      <c r="F31" s="13" t="s">
        <v>1233</v>
      </c>
      <c r="G31" s="25" t="s">
        <v>752</v>
      </c>
      <c r="I31" s="39"/>
    </row>
    <row r="32" spans="1:9" ht="26.5" customHeight="1">
      <c r="A32" s="125">
        <v>1</v>
      </c>
      <c r="B32" s="122" t="str">
        <f>VLOOKUP(A32,Transporte[],2,FALSE)</f>
        <v>Carga terrestre Bogotá - Teorama</v>
      </c>
      <c r="C32" s="27" t="s">
        <v>1234</v>
      </c>
      <c r="D32" s="118">
        <f>+SUM(E8:E20)</f>
        <v>28.588999999999995</v>
      </c>
      <c r="E32" s="118"/>
      <c r="F32" s="142">
        <f>VLOOKUP(A32,Transporte[],7,FALSE)</f>
        <v>214.17955999999998</v>
      </c>
      <c r="G32" s="35">
        <f>D32*F32</f>
        <v>6123.1794408399983</v>
      </c>
    </row>
    <row r="33" spans="1:9" ht="13.4" customHeight="1">
      <c r="A33" s="125">
        <v>3</v>
      </c>
      <c r="B33" s="122" t="str">
        <f>VLOOKUP(A33,Transporte[],2,FALSE)</f>
        <v>Carga terrestre Teorama - Comunidades</v>
      </c>
      <c r="C33" s="27" t="s">
        <v>1234</v>
      </c>
      <c r="D33" s="118">
        <f>+SUM(E8:E20)</f>
        <v>28.588999999999995</v>
      </c>
      <c r="E33" s="118"/>
      <c r="F33" s="142">
        <f>VLOOKUP(A33,Transporte[],7,FALSE)</f>
        <v>1491</v>
      </c>
      <c r="G33" s="35">
        <f>D33*F33</f>
        <v>42626.198999999993</v>
      </c>
    </row>
    <row r="34" spans="1:9" ht="13.4" customHeight="1">
      <c r="B34" s="26"/>
      <c r="C34" s="27"/>
      <c r="D34" s="28"/>
      <c r="E34" s="28"/>
      <c r="F34" s="35"/>
      <c r="G34" s="35"/>
    </row>
    <row r="35" spans="1:9" ht="13">
      <c r="D35" s="18"/>
      <c r="E35" s="18"/>
      <c r="F35" s="29" t="s">
        <v>1220</v>
      </c>
      <c r="G35" s="37">
        <f>SUM(G32:G34)</f>
        <v>48749.378440839995</v>
      </c>
    </row>
    <row r="36" spans="1:9" ht="13">
      <c r="D36" s="18"/>
      <c r="E36" s="18"/>
      <c r="G36" s="23"/>
    </row>
    <row r="37" spans="1:9" ht="13">
      <c r="B37" s="11" t="s">
        <v>1225</v>
      </c>
      <c r="D37" s="30"/>
      <c r="E37" s="30"/>
      <c r="F37" s="31"/>
      <c r="G37" s="24"/>
    </row>
    <row r="38" spans="1:9" s="18" customFormat="1" ht="13">
      <c r="A38" s="119" t="s">
        <v>184</v>
      </c>
      <c r="B38" s="12" t="s">
        <v>1</v>
      </c>
      <c r="C38" s="13" t="s">
        <v>1226</v>
      </c>
      <c r="D38" s="13" t="s">
        <v>1227</v>
      </c>
      <c r="E38" s="13"/>
      <c r="F38" s="13" t="s">
        <v>307</v>
      </c>
      <c r="G38" s="25" t="s">
        <v>752</v>
      </c>
    </row>
    <row r="39" spans="1:9" ht="14.5">
      <c r="A39" s="125">
        <v>1</v>
      </c>
      <c r="B39" s="122" t="str">
        <f>VLOOKUP(A39,ManoObra[],2,FALSE)</f>
        <v>Electricista</v>
      </c>
      <c r="C39" s="40">
        <f>VLOOKUP(A39,ManoObra[],7,FALSE)</f>
        <v>71863</v>
      </c>
      <c r="D39" s="22">
        <f>FP!$B$28</f>
        <v>1.61</v>
      </c>
      <c r="E39" s="22"/>
      <c r="F39" s="16">
        <f>RENDIMIENTOS!$C$32</f>
        <v>2</v>
      </c>
      <c r="G39" s="36">
        <f>ROUND(C39*D39/F39,0)</f>
        <v>57850</v>
      </c>
      <c r="I39" s="81"/>
    </row>
    <row r="40" spans="1:9" ht="14.5">
      <c r="A40" s="125">
        <v>2</v>
      </c>
      <c r="B40" s="122" t="str">
        <f>VLOOKUP(A40,ManoObra[],2,FALSE)</f>
        <v>Ayudante</v>
      </c>
      <c r="C40" s="40">
        <f>VLOOKUP(A40,ManoObra[],7,FALSE)</f>
        <v>66050</v>
      </c>
      <c r="D40" s="22">
        <f>FP!$B$28</f>
        <v>1.61</v>
      </c>
      <c r="E40" s="22"/>
      <c r="F40" s="16">
        <f>RENDIMIENTOS!$C$32</f>
        <v>2</v>
      </c>
      <c r="G40" s="36">
        <f>ROUND(C40*D40/F40,0)</f>
        <v>53170</v>
      </c>
      <c r="I40" s="81"/>
    </row>
    <row r="41" spans="1:9" ht="13">
      <c r="D41" s="18"/>
      <c r="E41" s="18"/>
      <c r="F41" s="29" t="s">
        <v>1220</v>
      </c>
      <c r="G41" s="42">
        <f>SUM(G39:G40)</f>
        <v>111020</v>
      </c>
    </row>
    <row r="42" spans="1:9" ht="13">
      <c r="D42" s="18"/>
      <c r="E42" s="18"/>
      <c r="G42" s="24"/>
    </row>
    <row r="43" spans="1:9" ht="12.75" customHeight="1">
      <c r="A43"/>
      <c r="D43" s="1725" t="s">
        <v>1228</v>
      </c>
      <c r="E43" s="1730"/>
      <c r="F43" s="1726"/>
      <c r="G43" s="38">
        <f>G21+G28+G35+G41</f>
        <v>5181894.3784408402</v>
      </c>
    </row>
    <row r="44" spans="1:9" ht="13">
      <c r="A44" s="441"/>
      <c r="B44" s="441"/>
      <c r="D44" s="18"/>
      <c r="E44" s="18"/>
      <c r="F44" s="10"/>
      <c r="G44" s="41"/>
    </row>
    <row r="45" spans="1:9" ht="14">
      <c r="A45" s="442"/>
      <c r="B45" s="840"/>
    </row>
    <row r="46" spans="1:9" ht="42">
      <c r="B46" s="1028" t="s">
        <v>1235</v>
      </c>
    </row>
  </sheetData>
  <mergeCells count="4">
    <mergeCell ref="B3:F3"/>
    <mergeCell ref="B4:D4"/>
    <mergeCell ref="D43:F43"/>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E86B6-FDA4-485B-B1A3-D15CA39B4C55}">
  <sheetPr>
    <tabColor theme="7" tint="0.59999389629810485"/>
    <pageSetUpPr fitToPage="1"/>
  </sheetPr>
  <dimension ref="A1:I46"/>
  <sheetViews>
    <sheetView view="pageBreakPreview" zoomScale="80" zoomScaleNormal="100" zoomScaleSheetLayoutView="80"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3.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15 KW'!A10)</f>
        <v>ITEM: 4.1.5</v>
      </c>
      <c r="C3" s="1728"/>
      <c r="D3" s="1728"/>
      <c r="E3" s="1728"/>
      <c r="F3" s="1728"/>
      <c r="G3" s="6" t="s">
        <v>1229</v>
      </c>
      <c r="H3" s="7"/>
    </row>
    <row r="4" spans="1:9" ht="78.75" customHeight="1">
      <c r="B4" s="1722" t="str">
        <f>+'PRES MR 15 KW'!B10</f>
        <v>Suministro, transporte e instalación de tablero principal en DC con cumplimiento RETIE, dimensiones 820x620x300, incluye barrajes de 500 A, protecciones de 80, 100 y 630 A 500VDC y cableado hacia arreglos de baterías e inversores.</v>
      </c>
      <c r="C4" s="1723"/>
      <c r="D4" s="1724"/>
      <c r="E4" s="328"/>
      <c r="G4" s="8" t="str">
        <f>+'PRES MR 15 KW'!C10</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37.5">
      <c r="A8" s="125">
        <v>18</v>
      </c>
      <c r="B8" s="122" t="str">
        <f>VLOOKUP(A8,Materiales[],3,FALSE)</f>
        <v>Gabinete eléctrico metálico con revestimiento eléctrostatico de dimensiones 820x620x300 IP66 Doble fondo.</v>
      </c>
      <c r="C8" s="121" t="str">
        <f>VLOOKUP(A8,Materiales[],4,FALSE)</f>
        <v>UN</v>
      </c>
      <c r="D8" s="118">
        <v>1</v>
      </c>
      <c r="E8" s="329">
        <f>VLOOKUP(A8,Materiales[],5,FALSE)*D8</f>
        <v>20</v>
      </c>
      <c r="F8" s="123">
        <f>VLOOKUP(A8,Materiales[],6,FALSE)</f>
        <v>1619860</v>
      </c>
      <c r="G8" s="123">
        <f>ROUND(D8*F8,0)</f>
        <v>1619860</v>
      </c>
      <c r="I8" s="33"/>
    </row>
    <row r="9" spans="1:9" ht="25">
      <c r="A9" s="125">
        <v>250</v>
      </c>
      <c r="B9" s="122" t="str">
        <f>VLOOKUP(A9,Materiales[],3,FALSE)</f>
        <v>Barraje de cobre tropicalizado de 500 A para 16 conexiones</v>
      </c>
      <c r="C9" s="121" t="str">
        <f>VLOOKUP(A9,Materiales[],4,FALSE)</f>
        <v>UN</v>
      </c>
      <c r="D9" s="118">
        <v>2</v>
      </c>
      <c r="E9" s="329">
        <f>VLOOKUP(A9,Materiales[],5,FALSE)*D9</f>
        <v>6.4</v>
      </c>
      <c r="F9" s="123">
        <f>VLOOKUP(A9,Materiales[],6,FALSE)</f>
        <v>172112</v>
      </c>
      <c r="G9" s="123">
        <f t="shared" ref="G9:G20" si="0">ROUND(D9*F9,0)</f>
        <v>344224</v>
      </c>
      <c r="I9" s="33"/>
    </row>
    <row r="10" spans="1:9" ht="14.5">
      <c r="A10" s="125">
        <v>143</v>
      </c>
      <c r="B10" s="122" t="str">
        <f>VLOOKUP(A10,Materiales[],3,FALSE)</f>
        <v xml:space="preserve">Interruptor termomagnético 80A 2P 500 VDC 6 Ka </v>
      </c>
      <c r="C10" s="121" t="str">
        <f>VLOOKUP(A10,Materiales[],4,FALSE)</f>
        <v>UN</v>
      </c>
      <c r="D10" s="118">
        <v>6</v>
      </c>
      <c r="E10" s="329">
        <f>VLOOKUP(A10,Materiales[],5,FALSE)*D10</f>
        <v>1.7999999999999998</v>
      </c>
      <c r="F10" s="123">
        <f>VLOOKUP(A10,Materiales[],6,FALSE)</f>
        <v>146970</v>
      </c>
      <c r="G10" s="123">
        <f t="shared" si="0"/>
        <v>881820</v>
      </c>
      <c r="I10" s="33"/>
    </row>
    <row r="11" spans="1:9" ht="14.5">
      <c r="A11" s="125">
        <v>239</v>
      </c>
      <c r="B11" s="122" t="str">
        <f>VLOOKUP(A11,Materiales[],3,FALSE)</f>
        <v>Cable Cu THHN 1/0 AWG</v>
      </c>
      <c r="C11" s="121" t="str">
        <f>VLOOKUP(A11,Materiales[],4,FALSE)</f>
        <v>ML</v>
      </c>
      <c r="D11" s="333">
        <f>(3.15+1.47)*3+1.05*0.8</f>
        <v>14.7</v>
      </c>
      <c r="E11" s="329">
        <f>VLOOKUP(A11,Materiales[],5,FALSE)*D11</f>
        <v>8.0556000000000001</v>
      </c>
      <c r="F11" s="123">
        <f>VLOOKUP(A11,Materiales[],6,FALSE)</f>
        <v>45423</v>
      </c>
      <c r="G11" s="123">
        <f t="shared" si="0"/>
        <v>667718</v>
      </c>
      <c r="I11" s="33"/>
    </row>
    <row r="12" spans="1:9" ht="14.5">
      <c r="A12" s="125">
        <v>252</v>
      </c>
      <c r="B12" s="122" t="str">
        <f>VLOOKUP(A12,Materiales[],3,FALSE)</f>
        <v>Cable Cu THHN 350 MCM</v>
      </c>
      <c r="C12" s="121" t="str">
        <f>VLOOKUP(A12,Materiales[],4,FALSE)</f>
        <v>ML</v>
      </c>
      <c r="D12" s="333">
        <f>(3.15+1.47)*2</f>
        <v>9.24</v>
      </c>
      <c r="E12" s="329">
        <f>VLOOKUP(A12,Materiales[],5,FALSE)*D12</f>
        <v>15.708</v>
      </c>
      <c r="F12" s="123">
        <f>VLOOKUP(A12,Materiales[],6,FALSE)</f>
        <v>143750</v>
      </c>
      <c r="G12" s="123">
        <f t="shared" si="0"/>
        <v>1328250</v>
      </c>
      <c r="I12" s="33"/>
    </row>
    <row r="13" spans="1:9" ht="14.5">
      <c r="A13" s="125">
        <v>246</v>
      </c>
      <c r="B13" s="122" t="str">
        <f>VLOOKUP(A13,Materiales[],3,FALSE)</f>
        <v>Cable Cu THHN 8 AWG</v>
      </c>
      <c r="C13" s="121" t="str">
        <f>VLOOKUP(A13,Materiales[],4,FALSE)</f>
        <v>ML</v>
      </c>
      <c r="D13" s="333">
        <f>(1.47)*3</f>
        <v>4.41</v>
      </c>
      <c r="E13" s="329">
        <f>VLOOKUP(A13,Materiales[],5,FALSE)*D13</f>
        <v>0.42468299999999998</v>
      </c>
      <c r="F13" s="123">
        <f>VLOOKUP(A13,Materiales[],6,FALSE)</f>
        <v>7081</v>
      </c>
      <c r="G13" s="123">
        <f t="shared" ref="G13" si="1">ROUND(D13*F13,0)</f>
        <v>31227</v>
      </c>
      <c r="I13" s="33"/>
    </row>
    <row r="14" spans="1:9" ht="14.5">
      <c r="A14" s="125">
        <v>412</v>
      </c>
      <c r="B14" s="122" t="str">
        <f>VLOOKUP(A14,Materiales[],3,FALSE)</f>
        <v>Cable de Cobre Desnudo. 1/0 AWG</v>
      </c>
      <c r="C14" s="121" t="str">
        <f>VLOOKUP(A14,Materiales[],4,FALSE)</f>
        <v>ML</v>
      </c>
      <c r="D14" s="333">
        <v>1</v>
      </c>
      <c r="E14" s="329">
        <f>VLOOKUP(A14,Materiales[],5,FALSE)*D14</f>
        <v>0.48499999999999999</v>
      </c>
      <c r="F14" s="123">
        <f>VLOOKUP(A14,Materiales[],6,FALSE)</f>
        <v>47465</v>
      </c>
      <c r="G14" s="123">
        <f t="shared" ref="G14" si="2">ROUND(D14*F14,0)</f>
        <v>47465</v>
      </c>
      <c r="I14" s="33"/>
    </row>
    <row r="15" spans="1:9" ht="14.5">
      <c r="A15" s="125">
        <v>20</v>
      </c>
      <c r="B15" s="122" t="str">
        <f>VLOOKUP(A15,Materiales[],3,FALSE)</f>
        <v xml:space="preserve">Interruptor termomagnético 100A 2P 500 VDC 6 Ka </v>
      </c>
      <c r="C15" s="121" t="str">
        <f>VLOOKUP(A15,Materiales[],4,FALSE)</f>
        <v>UN</v>
      </c>
      <c r="D15" s="118">
        <v>3</v>
      </c>
      <c r="E15" s="329">
        <f>VLOOKUP(A15,Materiales[],5,FALSE)*D15</f>
        <v>1.2000000000000002</v>
      </c>
      <c r="F15" s="123">
        <f>VLOOKUP(A15,Materiales[],6,FALSE)</f>
        <v>191201</v>
      </c>
      <c r="G15" s="123">
        <f t="shared" si="0"/>
        <v>573603</v>
      </c>
      <c r="I15" s="33"/>
    </row>
    <row r="16" spans="1:9" ht="29.25" customHeight="1">
      <c r="A16" s="125">
        <v>251</v>
      </c>
      <c r="B16" s="122" t="str">
        <f>VLOOKUP(A16,Materiales[],3,FALSE)</f>
        <v xml:space="preserve">Interruptor termomagnético 630A 2P 500 VDC 6 Ka </v>
      </c>
      <c r="C16" s="121" t="str">
        <f>VLOOKUP(A16,Materiales[],4,FALSE)</f>
        <v>UN</v>
      </c>
      <c r="D16" s="118">
        <v>1</v>
      </c>
      <c r="E16" s="329">
        <f>VLOOKUP(A16,Materiales[],5,FALSE)*D16</f>
        <v>1.5</v>
      </c>
      <c r="F16" s="123">
        <f>VLOOKUP(A16,Materiales[],6,FALSE)</f>
        <v>8740000</v>
      </c>
      <c r="G16" s="123">
        <f t="shared" si="0"/>
        <v>8740000</v>
      </c>
      <c r="I16" s="33"/>
    </row>
    <row r="17" spans="1:9" ht="14.5">
      <c r="A17" s="125">
        <v>24</v>
      </c>
      <c r="B17" s="122" t="str">
        <f>VLOOKUP(A17,Materiales[],3,FALSE)</f>
        <v>Borna para ponchar varios calibres y terminales</v>
      </c>
      <c r="C17" s="121" t="str">
        <f>VLOOKUP(A17,Materiales[],4,FALSE)</f>
        <v>UN</v>
      </c>
      <c r="D17" s="118">
        <v>32</v>
      </c>
      <c r="E17" s="329">
        <f>VLOOKUP(A17,Materiales[],5,FALSE)*D17</f>
        <v>0.25600000000000001</v>
      </c>
      <c r="F17" s="123">
        <f>VLOOKUP(A17,Materiales[],6,FALSE)</f>
        <v>2111</v>
      </c>
      <c r="G17" s="123">
        <f t="shared" si="0"/>
        <v>67552</v>
      </c>
      <c r="I17" s="33"/>
    </row>
    <row r="18" spans="1:9" ht="25">
      <c r="A18" s="125">
        <v>25</v>
      </c>
      <c r="B18" s="122" t="str">
        <f>VLOOKUP(A18,Materiales[],3,FALSE)</f>
        <v>Tubo termoencogible. Distintos calibres, distintos colores</v>
      </c>
      <c r="C18" s="121" t="str">
        <f>VLOOKUP(A18,Materiales[],4,FALSE)</f>
        <v>UN</v>
      </c>
      <c r="D18" s="118">
        <v>32</v>
      </c>
      <c r="E18" s="329">
        <f>VLOOKUP(A18,Materiales[],5,FALSE)*D18</f>
        <v>0.25600000000000001</v>
      </c>
      <c r="F18" s="123">
        <f>VLOOKUP(A18,Materiales[],6,FALSE)</f>
        <v>3680</v>
      </c>
      <c r="G18" s="123">
        <f t="shared" si="0"/>
        <v>117760</v>
      </c>
      <c r="I18" s="33"/>
    </row>
    <row r="19" spans="1:9" ht="14.5">
      <c r="A19" s="125">
        <v>140</v>
      </c>
      <c r="B19" s="122" t="str">
        <f>VLOOKUP(A19,Materiales[],3,FALSE)</f>
        <v>Marcador tipo anillo ar2 (+, -, L, N,T) x 20 Piezas</v>
      </c>
      <c r="C19" s="121" t="str">
        <f>VLOOKUP(A19,Materiales[],4,FALSE)</f>
        <v>JG</v>
      </c>
      <c r="D19" s="118">
        <v>3</v>
      </c>
      <c r="E19" s="329">
        <f>VLOOKUP(A19,Materiales[],5,FALSE)*D19</f>
        <v>0.03</v>
      </c>
      <c r="F19" s="123">
        <f>VLOOKUP(A19,Materiales[],6,FALSE)</f>
        <v>10810</v>
      </c>
      <c r="G19" s="123">
        <f t="shared" si="0"/>
        <v>32430</v>
      </c>
      <c r="I19" s="33"/>
    </row>
    <row r="20" spans="1:9" ht="14.5">
      <c r="A20" s="125">
        <v>10</v>
      </c>
      <c r="B20" s="122" t="str">
        <f>VLOOKUP(A20,Materiales[],3,FALSE)</f>
        <v>Riel DIN 35 mm x 7.5 mm</v>
      </c>
      <c r="C20" s="121" t="str">
        <f>VLOOKUP(A20,Materiales[],4,FALSE)</f>
        <v>ML</v>
      </c>
      <c r="D20" s="332">
        <v>1</v>
      </c>
      <c r="E20" s="329">
        <f>VLOOKUP(A20,Materiales[],5,FALSE)*D20</f>
        <v>0.3</v>
      </c>
      <c r="F20" s="123">
        <f>VLOOKUP(A20,Materiales[],6,FALSE)</f>
        <v>10732</v>
      </c>
      <c r="G20" s="123">
        <f t="shared" si="0"/>
        <v>10732</v>
      </c>
      <c r="I20" s="33"/>
    </row>
    <row r="21" spans="1:9" ht="13">
      <c r="D21" s="18"/>
      <c r="E21" s="18"/>
      <c r="F21" s="29" t="s">
        <v>1220</v>
      </c>
      <c r="G21" s="42">
        <f>SUM(G8:G20)</f>
        <v>14462641</v>
      </c>
    </row>
    <row r="23" spans="1:9" ht="13">
      <c r="B23" s="20" t="s">
        <v>1221</v>
      </c>
      <c r="G23" s="39"/>
    </row>
    <row r="24" spans="1:9" ht="13">
      <c r="A24" s="119" t="s">
        <v>184</v>
      </c>
      <c r="B24" s="120" t="s">
        <v>1</v>
      </c>
      <c r="C24" s="13" t="s">
        <v>1231</v>
      </c>
      <c r="D24" s="13" t="s">
        <v>1222</v>
      </c>
      <c r="E24" s="13"/>
      <c r="F24" s="13" t="s">
        <v>307</v>
      </c>
      <c r="G24" s="13" t="s">
        <v>752</v>
      </c>
    </row>
    <row r="25" spans="1:9" ht="14.5">
      <c r="A25" s="125">
        <v>1</v>
      </c>
      <c r="B25" s="122" t="str">
        <f>VLOOKUP(A25,Equip.Herram[],2,FALSE)</f>
        <v>Herramienta menor</v>
      </c>
      <c r="C25" s="15" t="str">
        <f>VLOOKUP(A25,Equip.Herram[],3,FALSE)</f>
        <v>UN</v>
      </c>
      <c r="D25" s="36">
        <f>VLOOKUP(A25,Equip.Herram[],4,FALSE)</f>
        <v>24840</v>
      </c>
      <c r="E25" s="36"/>
      <c r="F25" s="16">
        <f>+RENDIMIENTOS!C34</f>
        <v>1</v>
      </c>
      <c r="G25" s="36">
        <f>ROUND(D25/F25,0)</f>
        <v>24840</v>
      </c>
    </row>
    <row r="26" spans="1:9">
      <c r="B26" s="14"/>
      <c r="C26" s="15"/>
      <c r="D26" s="17"/>
      <c r="E26" s="17"/>
      <c r="F26" s="22"/>
      <c r="G26" s="21"/>
    </row>
    <row r="27" spans="1:9">
      <c r="B27" s="14"/>
      <c r="C27" s="15"/>
      <c r="D27" s="17"/>
      <c r="E27" s="17"/>
      <c r="F27" s="22"/>
      <c r="G27" s="21"/>
    </row>
    <row r="28" spans="1:9" ht="13">
      <c r="D28" s="18"/>
      <c r="E28" s="18"/>
      <c r="F28" s="19" t="s">
        <v>1220</v>
      </c>
      <c r="G28" s="37">
        <f>SUM(G25:G27)</f>
        <v>24840</v>
      </c>
    </row>
    <row r="29" spans="1:9" ht="13">
      <c r="D29" s="18"/>
      <c r="E29" s="18"/>
      <c r="F29" s="18"/>
      <c r="G29" s="23"/>
    </row>
    <row r="30" spans="1:9" ht="13">
      <c r="B30" s="11" t="s">
        <v>1223</v>
      </c>
      <c r="G30" s="24"/>
    </row>
    <row r="31" spans="1:9" ht="13">
      <c r="A31" s="119" t="s">
        <v>184</v>
      </c>
      <c r="B31" s="12" t="s">
        <v>1</v>
      </c>
      <c r="C31" s="13" t="s">
        <v>185</v>
      </c>
      <c r="D31" s="13" t="s">
        <v>1230</v>
      </c>
      <c r="E31" s="13"/>
      <c r="F31" s="13" t="s">
        <v>1233</v>
      </c>
      <c r="G31" s="25" t="s">
        <v>752</v>
      </c>
      <c r="I31" s="39"/>
    </row>
    <row r="32" spans="1:9" ht="26.5" customHeight="1">
      <c r="A32" s="125">
        <v>1</v>
      </c>
      <c r="B32" s="122" t="str">
        <f>VLOOKUP(A32,Transporte[],2,FALSE)</f>
        <v>Carga terrestre Bogotá - Teorama</v>
      </c>
      <c r="C32" s="27" t="s">
        <v>1234</v>
      </c>
      <c r="D32" s="118">
        <f>+SUM(E8:E20)</f>
        <v>56.415283000000002</v>
      </c>
      <c r="E32" s="118"/>
      <c r="F32" s="142">
        <f>VLOOKUP(A32,Transporte[],7,FALSE)</f>
        <v>214.17955999999998</v>
      </c>
      <c r="G32" s="35">
        <f>D32*F32</f>
        <v>12083.00049021548</v>
      </c>
    </row>
    <row r="33" spans="1:9" ht="13.4" customHeight="1">
      <c r="A33" s="125">
        <v>3</v>
      </c>
      <c r="B33" s="122" t="str">
        <f>VLOOKUP(A33,Transporte[],2,FALSE)</f>
        <v>Carga terrestre Teorama - Comunidades</v>
      </c>
      <c r="C33" s="27" t="s">
        <v>1234</v>
      </c>
      <c r="D33" s="118">
        <f>+SUM(E8:E20)</f>
        <v>56.415283000000002</v>
      </c>
      <c r="E33" s="118"/>
      <c r="F33" s="142">
        <f>VLOOKUP(A33,Transporte[],7,FALSE)</f>
        <v>1491</v>
      </c>
      <c r="G33" s="35">
        <f>D33*F33</f>
        <v>84115.186952999997</v>
      </c>
    </row>
    <row r="34" spans="1:9" ht="13.4" customHeight="1">
      <c r="B34" s="26"/>
      <c r="C34" s="27"/>
      <c r="D34" s="28"/>
      <c r="E34" s="28"/>
      <c r="F34" s="35"/>
      <c r="G34" s="35"/>
    </row>
    <row r="35" spans="1:9" ht="13">
      <c r="D35" s="18"/>
      <c r="E35" s="18"/>
      <c r="F35" s="29" t="s">
        <v>1220</v>
      </c>
      <c r="G35" s="37">
        <f>SUM(G32:G34)</f>
        <v>96198.187443215473</v>
      </c>
    </row>
    <row r="36" spans="1:9" ht="13">
      <c r="D36" s="18"/>
      <c r="E36" s="18"/>
      <c r="G36" s="23"/>
    </row>
    <row r="37" spans="1:9" ht="13">
      <c r="B37" s="11" t="s">
        <v>1225</v>
      </c>
      <c r="D37" s="30"/>
      <c r="E37" s="30"/>
      <c r="F37" s="31"/>
      <c r="G37" s="24"/>
    </row>
    <row r="38" spans="1:9" s="18" customFormat="1" ht="13">
      <c r="A38" s="119" t="s">
        <v>184</v>
      </c>
      <c r="B38" s="12" t="s">
        <v>1</v>
      </c>
      <c r="C38" s="13" t="s">
        <v>1226</v>
      </c>
      <c r="D38" s="13" t="s">
        <v>1227</v>
      </c>
      <c r="E38" s="13"/>
      <c r="F38" s="13" t="s">
        <v>307</v>
      </c>
      <c r="G38" s="25" t="s">
        <v>752</v>
      </c>
    </row>
    <row r="39" spans="1:9" ht="14.5">
      <c r="A39" s="125">
        <v>1</v>
      </c>
      <c r="B39" s="122" t="str">
        <f>VLOOKUP(A39,ManoObra[],2,FALSE)</f>
        <v>Electricista</v>
      </c>
      <c r="C39" s="40">
        <f>VLOOKUP(A39,ManoObra[],7,FALSE)</f>
        <v>71863</v>
      </c>
      <c r="D39" s="22">
        <f>FP!$B$28</f>
        <v>1.61</v>
      </c>
      <c r="E39" s="22"/>
      <c r="F39" s="16">
        <f>+RENDIMIENTOS!$C$34</f>
        <v>1</v>
      </c>
      <c r="G39" s="36">
        <f>ROUND(C39*D39/F39,0)</f>
        <v>115699</v>
      </c>
      <c r="I39" s="81"/>
    </row>
    <row r="40" spans="1:9" ht="14.5">
      <c r="A40" s="125">
        <v>2</v>
      </c>
      <c r="B40" s="122" t="str">
        <f>VLOOKUP(A40,ManoObra[],2,FALSE)</f>
        <v>Ayudante</v>
      </c>
      <c r="C40" s="40">
        <f>VLOOKUP(A40,ManoObra[],7,FALSE)</f>
        <v>66050</v>
      </c>
      <c r="D40" s="22">
        <f>FP!$B$28</f>
        <v>1.61</v>
      </c>
      <c r="E40" s="22"/>
      <c r="F40" s="16">
        <f>+RENDIMIENTOS!$C$34</f>
        <v>1</v>
      </c>
      <c r="G40" s="36">
        <f>ROUND(C40*D40/F40,0)</f>
        <v>106341</v>
      </c>
      <c r="I40" s="81"/>
    </row>
    <row r="41" spans="1:9" ht="13">
      <c r="D41" s="18"/>
      <c r="E41" s="18"/>
      <c r="F41" s="29" t="s">
        <v>1220</v>
      </c>
      <c r="G41" s="42">
        <f>SUM(G39:G40)</f>
        <v>222040</v>
      </c>
    </row>
    <row r="42" spans="1:9" ht="13">
      <c r="D42" s="18"/>
      <c r="E42" s="18"/>
      <c r="G42" s="24"/>
    </row>
    <row r="43" spans="1:9" ht="12.75" customHeight="1">
      <c r="A43"/>
      <c r="D43" s="1725" t="s">
        <v>1228</v>
      </c>
      <c r="E43" s="1730"/>
      <c r="F43" s="1726"/>
      <c r="G43" s="38">
        <f>G21+G28+G35+G41</f>
        <v>14805719.187443215</v>
      </c>
    </row>
    <row r="44" spans="1:9" ht="13">
      <c r="A44" s="441"/>
      <c r="B44" s="441"/>
      <c r="D44" s="18"/>
      <c r="E44" s="18"/>
      <c r="F44" s="10"/>
      <c r="G44" s="41"/>
    </row>
    <row r="45" spans="1:9" ht="14">
      <c r="A45" s="442"/>
      <c r="B45" s="840"/>
    </row>
    <row r="46" spans="1:9" ht="42">
      <c r="B46" s="1028" t="s">
        <v>1235</v>
      </c>
    </row>
  </sheetData>
  <mergeCells count="4">
    <mergeCell ref="B3:F3"/>
    <mergeCell ref="B4:D4"/>
    <mergeCell ref="D43:F43"/>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FE884-4652-4C66-B871-86AAEB664D5E}">
  <sheetPr>
    <tabColor theme="7" tint="0.59999389629810485"/>
    <pageSetUpPr fitToPage="1"/>
  </sheetPr>
  <dimension ref="A1:J40"/>
  <sheetViews>
    <sheetView view="pageBreakPreview" zoomScale="80" zoomScaleNormal="100" zoomScaleSheetLayoutView="80"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6.54296875" style="5" bestFit="1" customWidth="1"/>
    <col min="8" max="8" width="6.453125" style="5" customWidth="1"/>
    <col min="9" max="9" width="11.453125" style="5"/>
    <col min="10" max="10" width="11.54296875" style="5" bestFit="1" customWidth="1"/>
    <col min="11" max="16384" width="11.453125" style="5"/>
  </cols>
  <sheetData>
    <row r="1" spans="1:10" ht="33.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10" ht="12.75" customHeight="1">
      <c r="B3" s="1727" t="str">
        <f>CONCATENATE("ITEM: ",'PRES MR 15 KW'!A11)</f>
        <v>ITEM: 4.1.6</v>
      </c>
      <c r="C3" s="1728"/>
      <c r="D3" s="1728"/>
      <c r="E3" s="1728"/>
      <c r="F3" s="1728"/>
      <c r="G3" s="6" t="s">
        <v>1229</v>
      </c>
      <c r="H3" s="7"/>
    </row>
    <row r="4" spans="1:10" ht="78.75" customHeight="1">
      <c r="B4" s="1722" t="str">
        <f>+'PRES MR 15 KW'!B11</f>
        <v>Suministro, transporte e instalación de banco de baterías de 73728 Wh a 51,2 V. Incluye rack de baterías, cables de interconexión y conexión al sistema de moniteoreo mediante protocolo CAN-BUS. las baterías de ion - litio tipo fosfato de hierro (LiFePO4) de ciclo profundo de 120 Ah - 51,2 VDC -  6.000 ciclos hasta el 80% DOD, libre de mantenimiento. Con BMS, puertos de comunicaciones,  vida útil mín de 15 años y 10 años de garantia.</v>
      </c>
      <c r="C4" s="1723"/>
      <c r="D4" s="1724"/>
      <c r="E4" s="328"/>
      <c r="G4" s="8" t="str">
        <f>+'PRES MR 15 KW'!C11</f>
        <v>UN</v>
      </c>
    </row>
    <row r="5" spans="1:10" ht="13">
      <c r="B5" s="9"/>
      <c r="G5" s="10"/>
    </row>
    <row r="6" spans="1:10" ht="13">
      <c r="B6" s="20" t="s">
        <v>1219</v>
      </c>
    </row>
    <row r="7" spans="1:10" ht="13">
      <c r="A7" s="119" t="s">
        <v>184</v>
      </c>
      <c r="B7" s="120" t="s">
        <v>1</v>
      </c>
      <c r="C7" s="120" t="s">
        <v>185</v>
      </c>
      <c r="D7" s="120" t="s">
        <v>334</v>
      </c>
      <c r="E7" s="120" t="s">
        <v>1230</v>
      </c>
      <c r="F7" s="120" t="s">
        <v>751</v>
      </c>
      <c r="G7" s="120" t="s">
        <v>752</v>
      </c>
    </row>
    <row r="8" spans="1:10" ht="25">
      <c r="A8" s="439">
        <v>337</v>
      </c>
      <c r="B8" s="122" t="str">
        <f>VLOOKUP(A8,Materiales[],3,FALSE)</f>
        <v>Batería de ión - litio tipo fosfato de hierro (LiFePO4) de ciclo profundo de 120 Ah - 51,2 VDC</v>
      </c>
      <c r="C8" s="121" t="str">
        <f>VLOOKUP(A8,Materiales[],4,FALSE)</f>
        <v>UN</v>
      </c>
      <c r="D8" s="440">
        <v>12</v>
      </c>
      <c r="E8" s="329">
        <f>VLOOKUP(A8,Materiales[],5,FALSE)*D8</f>
        <v>684</v>
      </c>
      <c r="F8" s="123">
        <f>VLOOKUP(A8,Materiales[],6,FALSE)</f>
        <v>10512974</v>
      </c>
      <c r="G8" s="123">
        <f>ROUND(D8*F8,0)</f>
        <v>126155688</v>
      </c>
      <c r="I8" s="33">
        <f>6100*12</f>
        <v>73200</v>
      </c>
      <c r="J8" s="5">
        <f>51.2*120*12</f>
        <v>73728</v>
      </c>
    </row>
    <row r="9" spans="1:10" ht="25">
      <c r="A9" s="125">
        <v>27</v>
      </c>
      <c r="B9" s="122" t="str">
        <f>VLOOKUP(A9,Materiales[],3,FALSE)</f>
        <v>Gabinete de Piso 40U (Ancho: 710 mm • Fondo: 990 mm)</v>
      </c>
      <c r="C9" s="121" t="str">
        <f>VLOOKUP(A9,Materiales[],4,FALSE)</f>
        <v>UN</v>
      </c>
      <c r="D9" s="118">
        <v>2</v>
      </c>
      <c r="E9" s="329">
        <f>VLOOKUP(A9,Materiales[],5,FALSE)*D9</f>
        <v>50</v>
      </c>
      <c r="F9" s="123">
        <f>VLOOKUP(A9,Materiales[],6,FALSE)</f>
        <v>2975622</v>
      </c>
      <c r="G9" s="123">
        <f t="shared" ref="G9:G14" si="0">ROUND(D9*F9,0)</f>
        <v>5951244</v>
      </c>
      <c r="I9" s="33">
        <f>120*12</f>
        <v>1440</v>
      </c>
    </row>
    <row r="10" spans="1:10" ht="14.5">
      <c r="A10" s="125">
        <v>166</v>
      </c>
      <c r="B10" s="122" t="str">
        <f>VLOOKUP(A10,Materiales[],3,FALSE)</f>
        <v>Cable Cu SGT 4 AWG</v>
      </c>
      <c r="C10" s="121" t="str">
        <f>VLOOKUP(A10,Materiales[],4,FALSE)</f>
        <v>ML</v>
      </c>
      <c r="D10" s="333">
        <f>0.63*12</f>
        <v>7.5600000000000005</v>
      </c>
      <c r="E10" s="329">
        <f>VLOOKUP(A10,Materiales[],5,FALSE)*D10</f>
        <v>1.7766</v>
      </c>
      <c r="F10" s="123">
        <f>VLOOKUP(A10,Materiales[],6,FALSE)</f>
        <v>39137</v>
      </c>
      <c r="G10" s="123">
        <f t="shared" si="0"/>
        <v>295876</v>
      </c>
      <c r="I10" s="33"/>
    </row>
    <row r="11" spans="1:10" ht="14.5">
      <c r="A11" s="125">
        <v>52</v>
      </c>
      <c r="B11" s="122" t="str">
        <f>VLOOKUP(A11,Materiales[],3,FALSE)</f>
        <v>Desconectador de baterías 600 A</v>
      </c>
      <c r="C11" s="121" t="str">
        <f>VLOOKUP(A11,Materiales[],4,FALSE)</f>
        <v>UN</v>
      </c>
      <c r="D11" s="118">
        <v>1</v>
      </c>
      <c r="E11" s="329">
        <f>VLOOKUP(A11,Materiales[],5,FALSE)*D11</f>
        <v>0.35</v>
      </c>
      <c r="F11" s="123">
        <f>VLOOKUP(A11,Materiales[],6,FALSE)</f>
        <v>283017</v>
      </c>
      <c r="G11" s="123">
        <f t="shared" si="0"/>
        <v>283017</v>
      </c>
      <c r="I11" s="33"/>
    </row>
    <row r="12" spans="1:10" ht="14.5">
      <c r="A12" s="125">
        <v>56</v>
      </c>
      <c r="B12" s="122" t="str">
        <f>VLOOKUP(A12,Materiales[],3,FALSE)</f>
        <v>Cable UTP Cat6</v>
      </c>
      <c r="C12" s="121" t="str">
        <f>VLOOKUP(A12,Materiales[],4,FALSE)</f>
        <v>ML</v>
      </c>
      <c r="D12" s="118">
        <v>8</v>
      </c>
      <c r="E12" s="329">
        <f>VLOOKUP(A12,Materiales[],5,FALSE)*D12</f>
        <v>0.25600000000000001</v>
      </c>
      <c r="F12" s="123">
        <f>VLOOKUP(A12,Materiales[],6,FALSE)</f>
        <v>3144</v>
      </c>
      <c r="G12" s="123">
        <f t="shared" si="0"/>
        <v>25152</v>
      </c>
      <c r="I12" s="33"/>
    </row>
    <row r="13" spans="1:10" ht="14.5">
      <c r="A13" s="125">
        <v>57</v>
      </c>
      <c r="B13" s="122" t="str">
        <f>VLOOKUP(A13,Materiales[],3,FALSE)</f>
        <v>Conector RJ45</v>
      </c>
      <c r="C13" s="121" t="str">
        <f>VLOOKUP(A13,Materiales[],4,FALSE)</f>
        <v>UN</v>
      </c>
      <c r="D13" s="118">
        <f>+D8</f>
        <v>12</v>
      </c>
      <c r="E13" s="329">
        <f>VLOOKUP(A13,Materiales[],5,FALSE)*D13</f>
        <v>0.12</v>
      </c>
      <c r="F13" s="123">
        <f>VLOOKUP(A13,Materiales[],6,FALSE)</f>
        <v>3429</v>
      </c>
      <c r="G13" s="123">
        <f t="shared" si="0"/>
        <v>41148</v>
      </c>
      <c r="I13" s="33"/>
    </row>
    <row r="14" spans="1:10" ht="14.5">
      <c r="A14" s="125">
        <v>29</v>
      </c>
      <c r="B14" s="122" t="str">
        <f>VLOOKUP(A14,Materiales[],3,FALSE)</f>
        <v>Terminales para batería. Par</v>
      </c>
      <c r="C14" s="121" t="str">
        <f>VLOOKUP(A14,Materiales[],4,FALSE)</f>
        <v>JG</v>
      </c>
      <c r="D14" s="118">
        <f>+D8</f>
        <v>12</v>
      </c>
      <c r="E14" s="329">
        <f>VLOOKUP(A14,Materiales[],5,FALSE)*D14</f>
        <v>0.24</v>
      </c>
      <c r="F14" s="123">
        <f>VLOOKUP(A14,Materiales[],6,FALSE)</f>
        <v>122165</v>
      </c>
      <c r="G14" s="123">
        <f t="shared" si="0"/>
        <v>1465980</v>
      </c>
      <c r="I14" s="33"/>
    </row>
    <row r="15" spans="1:10" ht="13">
      <c r="D15" s="18"/>
      <c r="E15" s="18"/>
      <c r="F15" s="29" t="s">
        <v>1220</v>
      </c>
      <c r="G15" s="42">
        <f>SUM(G8:G14)</f>
        <v>134218105</v>
      </c>
    </row>
    <row r="17" spans="1:9" ht="13">
      <c r="B17" s="20" t="s">
        <v>1221</v>
      </c>
      <c r="G17" s="39"/>
    </row>
    <row r="18" spans="1:9" ht="13">
      <c r="A18" s="119" t="s">
        <v>184</v>
      </c>
      <c r="B18" s="120" t="s">
        <v>1</v>
      </c>
      <c r="C18" s="13" t="s">
        <v>1231</v>
      </c>
      <c r="D18" s="13" t="s">
        <v>1222</v>
      </c>
      <c r="E18" s="13"/>
      <c r="F18" s="13" t="s">
        <v>307</v>
      </c>
      <c r="G18" s="13" t="s">
        <v>752</v>
      </c>
    </row>
    <row r="19" spans="1:9" ht="14.5">
      <c r="A19" s="125">
        <v>1</v>
      </c>
      <c r="B19" s="122" t="str">
        <f>VLOOKUP(A19,Equip.Herram[],2,FALSE)</f>
        <v>Herramienta menor</v>
      </c>
      <c r="C19" s="15" t="str">
        <f>VLOOKUP(A19,Equip.Herram[],3,FALSE)</f>
        <v>UN</v>
      </c>
      <c r="D19" s="36">
        <f>VLOOKUP(A19,Equip.Herram[],4,FALSE)</f>
        <v>24840</v>
      </c>
      <c r="E19" s="36"/>
      <c r="F19" s="16">
        <f>+RENDIMIENTOS!$C$35</f>
        <v>1</v>
      </c>
      <c r="G19" s="36">
        <f>ROUND(D19/F19,0)</f>
        <v>24840</v>
      </c>
    </row>
    <row r="20" spans="1:9">
      <c r="B20" s="14"/>
      <c r="C20" s="15"/>
      <c r="D20" s="17"/>
      <c r="E20" s="17"/>
      <c r="F20" s="22"/>
      <c r="G20" s="21"/>
    </row>
    <row r="21" spans="1:9">
      <c r="B21" s="14"/>
      <c r="C21" s="15"/>
      <c r="D21" s="17"/>
      <c r="E21" s="17"/>
      <c r="F21" s="22"/>
      <c r="G21" s="21"/>
    </row>
    <row r="22" spans="1:9" ht="13">
      <c r="D22" s="18"/>
      <c r="E22" s="18"/>
      <c r="F22" s="19" t="s">
        <v>1220</v>
      </c>
      <c r="G22" s="37">
        <f>SUM(G19:G21)</f>
        <v>24840</v>
      </c>
    </row>
    <row r="23" spans="1:9" ht="13">
      <c r="D23" s="18"/>
      <c r="E23" s="18"/>
      <c r="F23" s="18"/>
      <c r="G23" s="23"/>
    </row>
    <row r="24" spans="1:9" ht="13">
      <c r="B24" s="11" t="s">
        <v>1223</v>
      </c>
      <c r="G24" s="24"/>
    </row>
    <row r="25" spans="1:9" ht="13">
      <c r="A25" s="119" t="s">
        <v>184</v>
      </c>
      <c r="B25" s="12" t="s">
        <v>1</v>
      </c>
      <c r="C25" s="13" t="s">
        <v>185</v>
      </c>
      <c r="D25" s="13" t="s">
        <v>1230</v>
      </c>
      <c r="E25" s="13"/>
      <c r="F25" s="13" t="s">
        <v>1233</v>
      </c>
      <c r="G25" s="25" t="s">
        <v>752</v>
      </c>
      <c r="I25" s="39"/>
    </row>
    <row r="26" spans="1:9" ht="26.5" customHeight="1">
      <c r="A26" s="125">
        <v>1</v>
      </c>
      <c r="B26" s="122" t="str">
        <f>VLOOKUP(A26,Transporte[],2,FALSE)</f>
        <v>Carga terrestre Bogotá - Teorama</v>
      </c>
      <c r="C26" s="27" t="s">
        <v>1234</v>
      </c>
      <c r="D26" s="118">
        <f>+SUM(E8:E14)</f>
        <v>736.74260000000004</v>
      </c>
      <c r="E26" s="118"/>
      <c r="F26" s="142">
        <f>VLOOKUP(A26,Transporte[],7,FALSE)</f>
        <v>214.17955999999998</v>
      </c>
      <c r="G26" s="35">
        <f>D26*F26</f>
        <v>157795.20590125601</v>
      </c>
    </row>
    <row r="27" spans="1:9" ht="13.4" customHeight="1">
      <c r="A27" s="125">
        <v>3</v>
      </c>
      <c r="B27" s="122" t="str">
        <f>VLOOKUP(A27,Transporte[],2,FALSE)</f>
        <v>Carga terrestre Teorama - Comunidades</v>
      </c>
      <c r="C27" s="27" t="s">
        <v>1234</v>
      </c>
      <c r="D27" s="118">
        <f>+SUM(E8:E14)</f>
        <v>736.74260000000004</v>
      </c>
      <c r="E27" s="118"/>
      <c r="F27" s="142">
        <f>VLOOKUP(A27,Transporte[],7,FALSE)</f>
        <v>1491</v>
      </c>
      <c r="G27" s="35">
        <f>D27*F27</f>
        <v>1098483.2166000002</v>
      </c>
    </row>
    <row r="28" spans="1:9" ht="13.4" customHeight="1">
      <c r="B28" s="26"/>
      <c r="C28" s="27"/>
      <c r="D28" s="28"/>
      <c r="E28" s="28"/>
      <c r="F28" s="35"/>
      <c r="G28" s="35"/>
    </row>
    <row r="29" spans="1:9" ht="13">
      <c r="D29" s="18"/>
      <c r="E29" s="18"/>
      <c r="F29" s="29" t="s">
        <v>1220</v>
      </c>
      <c r="G29" s="37">
        <f>SUM(G26:G28)</f>
        <v>1256278.4225012562</v>
      </c>
    </row>
    <row r="30" spans="1:9" ht="13">
      <c r="D30" s="18"/>
      <c r="E30" s="18"/>
      <c r="G30" s="23"/>
    </row>
    <row r="31" spans="1:9" ht="13">
      <c r="B31" s="11" t="s">
        <v>1225</v>
      </c>
      <c r="D31" s="30"/>
      <c r="E31" s="30"/>
      <c r="F31" s="31"/>
      <c r="G31" s="24"/>
    </row>
    <row r="32" spans="1:9" s="18" customFormat="1" ht="13">
      <c r="A32" s="119" t="s">
        <v>184</v>
      </c>
      <c r="B32" s="12" t="s">
        <v>1</v>
      </c>
      <c r="C32" s="13" t="s">
        <v>1226</v>
      </c>
      <c r="D32" s="13" t="s">
        <v>1227</v>
      </c>
      <c r="E32" s="13"/>
      <c r="F32" s="13" t="s">
        <v>307</v>
      </c>
      <c r="G32" s="25" t="s">
        <v>752</v>
      </c>
    </row>
    <row r="33" spans="1:9" ht="14.5">
      <c r="A33" s="125">
        <v>1</v>
      </c>
      <c r="B33" s="122" t="str">
        <f>VLOOKUP(A33,ManoObra[],2,FALSE)</f>
        <v>Electricista</v>
      </c>
      <c r="C33" s="40">
        <f>VLOOKUP(A33,ManoObra[],7,FALSE)</f>
        <v>71863</v>
      </c>
      <c r="D33" s="22">
        <f>FP!$B$28</f>
        <v>1.61</v>
      </c>
      <c r="E33" s="22"/>
      <c r="F33" s="16">
        <f>+RENDIMIENTOS!$C$35</f>
        <v>1</v>
      </c>
      <c r="G33" s="36">
        <f>ROUND(C33*D33/F33,0)</f>
        <v>115699</v>
      </c>
      <c r="I33" s="81"/>
    </row>
    <row r="34" spans="1:9" ht="14.5">
      <c r="A34" s="125">
        <v>2</v>
      </c>
      <c r="B34" s="122" t="str">
        <f>VLOOKUP(A34,ManoObra[],2,FALSE)</f>
        <v>Ayudante</v>
      </c>
      <c r="C34" s="40">
        <f>VLOOKUP(A34,ManoObra[],7,FALSE)</f>
        <v>66050</v>
      </c>
      <c r="D34" s="22">
        <f>FP!$B$28</f>
        <v>1.61</v>
      </c>
      <c r="E34" s="22"/>
      <c r="F34" s="16">
        <f>+RENDIMIENTOS!$C$35</f>
        <v>1</v>
      </c>
      <c r="G34" s="36">
        <f>ROUND(C34*D34/F34,0)</f>
        <v>106341</v>
      </c>
      <c r="I34" s="81"/>
    </row>
    <row r="35" spans="1:9" ht="13">
      <c r="D35" s="18"/>
      <c r="E35" s="18"/>
      <c r="F35" s="29" t="s">
        <v>1220</v>
      </c>
      <c r="G35" s="42">
        <f>SUM(G33:G34)</f>
        <v>222040</v>
      </c>
    </row>
    <row r="36" spans="1:9" ht="13">
      <c r="D36" s="18"/>
      <c r="E36" s="18"/>
      <c r="G36" s="24"/>
    </row>
    <row r="37" spans="1:9" ht="12.75" customHeight="1">
      <c r="A37"/>
      <c r="D37" s="1725" t="s">
        <v>1228</v>
      </c>
      <c r="E37" s="1730"/>
      <c r="F37" s="1726"/>
      <c r="G37" s="38">
        <f>G15+G22+G29+G35</f>
        <v>135721263.42250127</v>
      </c>
    </row>
    <row r="38" spans="1:9" ht="13">
      <c r="A38" s="441"/>
      <c r="B38" s="441"/>
      <c r="D38" s="18"/>
      <c r="E38" s="18"/>
      <c r="F38" s="10"/>
      <c r="G38" s="41"/>
    </row>
    <row r="39" spans="1:9" ht="14">
      <c r="A39" s="442"/>
      <c r="B39" s="840"/>
    </row>
    <row r="40" spans="1:9" ht="42">
      <c r="B40" s="1028" t="s">
        <v>1235</v>
      </c>
    </row>
  </sheetData>
  <mergeCells count="4">
    <mergeCell ref="B3:F3"/>
    <mergeCell ref="B4:D4"/>
    <mergeCell ref="D37:F37"/>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5A1E6-B10C-49FC-BED3-51750FF56DC5}">
  <sheetPr>
    <tabColor rgb="FFFF0000"/>
    <pageSetUpPr fitToPage="1"/>
  </sheetPr>
  <dimension ref="A1:I43"/>
  <sheetViews>
    <sheetView view="pageBreakPreview" topLeftCell="A7" zoomScale="80" zoomScaleNormal="100" zoomScaleSheetLayoutView="80"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2.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15 KW'!A13)</f>
        <v>ITEM:  4.1.8</v>
      </c>
      <c r="C3" s="1728"/>
      <c r="D3" s="1728"/>
      <c r="E3" s="1728"/>
      <c r="F3" s="1728"/>
      <c r="G3" s="6" t="s">
        <v>1229</v>
      </c>
      <c r="H3" s="7"/>
    </row>
    <row r="4" spans="1:9" ht="78.75" customHeight="1">
      <c r="B4" s="1722" t="str">
        <f>+'PRES MR 15 KW'!B13</f>
        <v>Suministro, transporte e instalación de tablero de inversores en AC con cumplimiento retie, dimensiones 420x320x200 mm, incluye barrajes de 200 A, protecciones de 50 A y 160 A 120 Vac, y cableado de salida a autotransformador</v>
      </c>
      <c r="C4" s="1723"/>
      <c r="D4" s="1724"/>
      <c r="E4" s="328"/>
      <c r="G4" s="8" t="str">
        <f>+'PRES MR 15 KW'!C13</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37.5">
      <c r="A8" s="125">
        <v>31</v>
      </c>
      <c r="B8" s="122" t="str">
        <f>VLOOKUP(A8,Materiales[],3,FALSE)</f>
        <v>Gabinete eléctrico metálico con cumplimiento RETIE, con revestimiento eléctrostatico de dimensiones 420x320x200 IP66 Doble fondo.</v>
      </c>
      <c r="C8" s="121" t="str">
        <f>VLOOKUP(A8,Materiales[],4,FALSE)</f>
        <v>UN</v>
      </c>
      <c r="D8" s="118">
        <v>1</v>
      </c>
      <c r="E8" s="329">
        <f>VLOOKUP(A8,Materiales[],5,FALSE)*D8</f>
        <v>10</v>
      </c>
      <c r="F8" s="123">
        <f>VLOOKUP(A8,Materiales[],6,FALSE)</f>
        <v>827004</v>
      </c>
      <c r="G8" s="123">
        <f>ROUND(D8*F8,0)</f>
        <v>827004</v>
      </c>
      <c r="I8" s="33"/>
    </row>
    <row r="9" spans="1:9" ht="25">
      <c r="A9" s="125">
        <v>156</v>
      </c>
      <c r="B9" s="122" t="str">
        <f>VLOOKUP(A9,Materiales[],3,FALSE)</f>
        <v>Barraje de cobre tropicalizado de 200 A para 16 conexiones</v>
      </c>
      <c r="C9" s="121" t="str">
        <f>VLOOKUP(A9,Materiales[],4,FALSE)</f>
        <v>UN</v>
      </c>
      <c r="D9" s="118">
        <v>2</v>
      </c>
      <c r="E9" s="329">
        <f>VLOOKUP(A9,Materiales[],5,FALSE)*D9</f>
        <v>2.4</v>
      </c>
      <c r="F9" s="123">
        <f>VLOOKUP(A9,Materiales[],6,FALSE)</f>
        <v>68845</v>
      </c>
      <c r="G9" s="123">
        <f t="shared" ref="G9:G15" si="0">ROUND(D9*F9,0)</f>
        <v>137690</v>
      </c>
      <c r="I9" s="33"/>
    </row>
    <row r="10" spans="1:9" ht="14.5">
      <c r="A10" s="125">
        <v>24</v>
      </c>
      <c r="B10" s="122" t="str">
        <f>VLOOKUP(A10,Materiales[],3,FALSE)</f>
        <v>Borna para ponchar varios calibres y terminales</v>
      </c>
      <c r="C10" s="121" t="str">
        <f>VLOOKUP(A10,Materiales[],4,FALSE)</f>
        <v>UN</v>
      </c>
      <c r="D10" s="332">
        <v>6</v>
      </c>
      <c r="E10" s="329">
        <f>VLOOKUP(A10,Materiales[],5,FALSE)*D10</f>
        <v>4.8000000000000001E-2</v>
      </c>
      <c r="F10" s="123">
        <f>VLOOKUP(A10,Materiales[],6,FALSE)</f>
        <v>2111</v>
      </c>
      <c r="G10" s="123">
        <f t="shared" si="0"/>
        <v>12666</v>
      </c>
      <c r="I10" s="33"/>
    </row>
    <row r="11" spans="1:9" ht="25">
      <c r="A11" s="125">
        <v>25</v>
      </c>
      <c r="B11" s="122" t="str">
        <f>VLOOKUP(A11,Materiales[],3,FALSE)</f>
        <v>Tubo termoencogible. Distintos calibres, distintos colores</v>
      </c>
      <c r="C11" s="121" t="str">
        <f>VLOOKUP(A11,Materiales[],4,FALSE)</f>
        <v>UN</v>
      </c>
      <c r="D11" s="332">
        <v>6</v>
      </c>
      <c r="E11" s="329">
        <f>VLOOKUP(A11,Materiales[],5,FALSE)*D11</f>
        <v>4.8000000000000001E-2</v>
      </c>
      <c r="F11" s="123">
        <f>VLOOKUP(A11,Materiales[],6,FALSE)</f>
        <v>3680</v>
      </c>
      <c r="G11" s="123">
        <f t="shared" si="0"/>
        <v>22080</v>
      </c>
      <c r="I11" s="33"/>
    </row>
    <row r="12" spans="1:9" ht="14.5">
      <c r="A12" s="125">
        <v>186</v>
      </c>
      <c r="B12" s="122" t="str">
        <f>VLOOKUP(A12,Materiales[],3,FALSE)</f>
        <v>Interruptor termomagnético 50 A 2P 120/240 VAC 10kA</v>
      </c>
      <c r="C12" s="121" t="str">
        <f>VLOOKUP(A12,Materiales[],4,FALSE)</f>
        <v>UN</v>
      </c>
      <c r="D12" s="332">
        <v>3</v>
      </c>
      <c r="E12" s="329">
        <f>VLOOKUP(A12,Materiales[],5,FALSE)*D12</f>
        <v>1.44</v>
      </c>
      <c r="F12" s="123">
        <f>VLOOKUP(A12,Materiales[],6,FALSE)</f>
        <v>40250</v>
      </c>
      <c r="G12" s="123">
        <f t="shared" si="0"/>
        <v>120750</v>
      </c>
      <c r="I12" s="33"/>
    </row>
    <row r="13" spans="1:9" ht="14.5">
      <c r="A13" s="125">
        <v>240</v>
      </c>
      <c r="B13" s="122" t="str">
        <f>VLOOKUP(A13,Materiales[],3,FALSE)</f>
        <v>Cable Cu THHN 2/0 AWG</v>
      </c>
      <c r="C13" s="121" t="str">
        <f>VLOOKUP(A13,Materiales[],4,FALSE)</f>
        <v>ML</v>
      </c>
      <c r="D13" s="332">
        <v>3.15</v>
      </c>
      <c r="E13" s="329">
        <f>VLOOKUP(A13,Materiales[],5,FALSE)*D13</f>
        <v>2.1356999999999999</v>
      </c>
      <c r="F13" s="123">
        <f>VLOOKUP(A13,Materiales[],6,FALSE)</f>
        <v>59929</v>
      </c>
      <c r="G13" s="123">
        <f t="shared" si="0"/>
        <v>188776</v>
      </c>
      <c r="I13" s="33"/>
    </row>
    <row r="14" spans="1:9" ht="14.5">
      <c r="A14" s="125">
        <v>10</v>
      </c>
      <c r="B14" s="122" t="str">
        <f>VLOOKUP(A14,Materiales[],3,FALSE)</f>
        <v>Riel DIN 35 mm x 7.5 mm</v>
      </c>
      <c r="C14" s="121" t="str">
        <f>VLOOKUP(A14,Materiales[],4,FALSE)</f>
        <v>ML</v>
      </c>
      <c r="D14" s="332">
        <v>1</v>
      </c>
      <c r="E14" s="329">
        <f>VLOOKUP(A14,Materiales[],5,FALSE)*D14</f>
        <v>0.3</v>
      </c>
      <c r="F14" s="123">
        <f>VLOOKUP(A14,Materiales[],6,FALSE)</f>
        <v>10732</v>
      </c>
      <c r="G14" s="123">
        <f t="shared" si="0"/>
        <v>10732</v>
      </c>
      <c r="I14" s="33"/>
    </row>
    <row r="15" spans="1:9" ht="25">
      <c r="A15" s="125">
        <v>157</v>
      </c>
      <c r="B15" s="122" t="str">
        <f>VLOOKUP(A15,Materiales[],3,FALSE)</f>
        <v>Barraje de cobre tropicalizado de 550 A para 16 conexiones</v>
      </c>
      <c r="C15" s="121" t="str">
        <f>VLOOKUP(A15,Materiales[],4,FALSE)</f>
        <v>UN</v>
      </c>
      <c r="D15" s="118">
        <v>1</v>
      </c>
      <c r="E15" s="329">
        <f>VLOOKUP(A15,Materiales[],5,FALSE)*D15</f>
        <v>3.5</v>
      </c>
      <c r="F15" s="123">
        <f>VLOOKUP(A15,Materiales[],6,FALSE)</f>
        <v>189323</v>
      </c>
      <c r="G15" s="123">
        <f t="shared" si="0"/>
        <v>189323</v>
      </c>
      <c r="I15" s="33"/>
    </row>
    <row r="16" spans="1:9" ht="14.5">
      <c r="A16" s="125">
        <v>241</v>
      </c>
      <c r="B16" s="122" t="str">
        <f>VLOOKUP(A16,Materiales[],3,FALSE)</f>
        <v>Cable Cu THHN 6 AWG</v>
      </c>
      <c r="C16" s="121" t="str">
        <f>VLOOKUP(A16,Materiales[],4,FALSE)</f>
        <v>ML</v>
      </c>
      <c r="D16" s="118">
        <v>1</v>
      </c>
      <c r="E16" s="329">
        <f>VLOOKUP(A16,Materiales[],5,FALSE)*D16</f>
        <v>0.1457</v>
      </c>
      <c r="F16" s="123">
        <f>VLOOKUP(A16,Materiales[],6,FALSE)</f>
        <v>10868</v>
      </c>
      <c r="G16" s="123">
        <f t="shared" ref="G16" si="1">ROUND(D16*F16,0)</f>
        <v>10868</v>
      </c>
      <c r="I16" s="33"/>
    </row>
    <row r="17" spans="1:9" ht="25">
      <c r="A17" s="125">
        <v>160</v>
      </c>
      <c r="B17" s="122" t="str">
        <f>VLOOKUP(A17,Materiales[],3,FALSE)</f>
        <v>Interruptor termomagnético 160 A 2P 120/240 VAC 10kA</v>
      </c>
      <c r="C17" s="121" t="str">
        <f>VLOOKUP(A17,Materiales[],4,FALSE)</f>
        <v>UN</v>
      </c>
      <c r="D17" s="118">
        <v>1</v>
      </c>
      <c r="E17" s="329">
        <f>VLOOKUP(A17,Materiales[],5,FALSE)*D17</f>
        <v>0.3</v>
      </c>
      <c r="F17" s="123">
        <f>VLOOKUP(A17,Materiales[],6,FALSE)</f>
        <v>558900</v>
      </c>
      <c r="G17" s="123">
        <f t="shared" ref="G17" si="2">ROUND(D17*F17,0)</f>
        <v>558900</v>
      </c>
      <c r="I17" s="33"/>
    </row>
    <row r="18" spans="1:9" ht="13">
      <c r="D18" s="18"/>
      <c r="E18" s="18"/>
      <c r="F18" s="29" t="s">
        <v>1220</v>
      </c>
      <c r="G18" s="42">
        <f>SUM(G8:G17)</f>
        <v>2078789</v>
      </c>
    </row>
    <row r="20" spans="1:9" ht="13">
      <c r="B20" s="20" t="s">
        <v>1221</v>
      </c>
      <c r="G20" s="39"/>
    </row>
    <row r="21" spans="1:9" ht="13">
      <c r="A21" s="119" t="s">
        <v>184</v>
      </c>
      <c r="B21" s="120" t="s">
        <v>1</v>
      </c>
      <c r="C21" s="13" t="s">
        <v>1231</v>
      </c>
      <c r="D21" s="13" t="s">
        <v>1222</v>
      </c>
      <c r="E21" s="13"/>
      <c r="F21" s="13" t="s">
        <v>307</v>
      </c>
      <c r="G21" s="13" t="s">
        <v>752</v>
      </c>
    </row>
    <row r="22" spans="1:9" ht="14.5">
      <c r="A22" s="125">
        <v>1</v>
      </c>
      <c r="B22" s="122" t="str">
        <f>VLOOKUP(A22,Equip.Herram[],2,FALSE)</f>
        <v>Herramienta menor</v>
      </c>
      <c r="C22" s="15" t="str">
        <f>VLOOKUP(A22,Equip.Herram[],3,FALSE)</f>
        <v>UN</v>
      </c>
      <c r="D22" s="36">
        <f>VLOOKUP(A22,Equip.Herram[],4,FALSE)</f>
        <v>24840</v>
      </c>
      <c r="E22" s="36"/>
      <c r="F22" s="16">
        <f>+RENDIMIENTOS!$C$37</f>
        <v>3</v>
      </c>
      <c r="G22" s="36">
        <f>ROUND(D22/F22,0)</f>
        <v>8280</v>
      </c>
    </row>
    <row r="23" spans="1:9">
      <c r="B23" s="14"/>
      <c r="C23" s="15"/>
      <c r="D23" s="17"/>
      <c r="E23" s="17"/>
      <c r="F23" s="22"/>
      <c r="G23" s="21"/>
    </row>
    <row r="24" spans="1:9">
      <c r="B24" s="14"/>
      <c r="C24" s="15"/>
      <c r="D24" s="17"/>
      <c r="E24" s="17"/>
      <c r="F24" s="22"/>
      <c r="G24" s="21"/>
    </row>
    <row r="25" spans="1:9" ht="13">
      <c r="D25" s="18"/>
      <c r="E25" s="18"/>
      <c r="F25" s="19" t="s">
        <v>1220</v>
      </c>
      <c r="G25" s="37">
        <f>SUM(G22:G24)</f>
        <v>8280</v>
      </c>
    </row>
    <row r="26" spans="1:9" ht="13">
      <c r="D26" s="18"/>
      <c r="E26" s="18"/>
      <c r="F26" s="18"/>
      <c r="G26" s="23"/>
    </row>
    <row r="27" spans="1:9" ht="13">
      <c r="B27" s="11" t="s">
        <v>1223</v>
      </c>
      <c r="G27" s="24"/>
    </row>
    <row r="28" spans="1:9" ht="13">
      <c r="A28" s="119" t="s">
        <v>184</v>
      </c>
      <c r="B28" s="12" t="s">
        <v>1</v>
      </c>
      <c r="C28" s="13" t="s">
        <v>185</v>
      </c>
      <c r="D28" s="13" t="s">
        <v>1230</v>
      </c>
      <c r="E28" s="13"/>
      <c r="F28" s="13" t="s">
        <v>1233</v>
      </c>
      <c r="G28" s="25" t="s">
        <v>752</v>
      </c>
      <c r="I28" s="39"/>
    </row>
    <row r="29" spans="1:9" ht="26.5" customHeight="1">
      <c r="A29" s="125">
        <v>1</v>
      </c>
      <c r="B29" s="122" t="str">
        <f>VLOOKUP(A29,Transporte[],2,FALSE)</f>
        <v>Carga terrestre Bogotá - Teorama</v>
      </c>
      <c r="C29" s="27" t="s">
        <v>1234</v>
      </c>
      <c r="D29" s="118">
        <f>+SUM(E8:E17)</f>
        <v>20.317400000000003</v>
      </c>
      <c r="E29" s="118"/>
      <c r="F29" s="142">
        <f>VLOOKUP(A29,Transporte[],7,FALSE)</f>
        <v>214.17955999999998</v>
      </c>
      <c r="G29" s="35">
        <f>D29*F29</f>
        <v>4351.5717923440006</v>
      </c>
    </row>
    <row r="30" spans="1:9" ht="13.4" customHeight="1">
      <c r="A30" s="125">
        <v>3</v>
      </c>
      <c r="B30" s="122" t="str">
        <f>VLOOKUP(A30,Transporte[],2,FALSE)</f>
        <v>Carga terrestre Teorama - Comunidades</v>
      </c>
      <c r="C30" s="27" t="s">
        <v>1234</v>
      </c>
      <c r="D30" s="118">
        <f>+SUM(E8:E17)</f>
        <v>20.317400000000003</v>
      </c>
      <c r="E30" s="118"/>
      <c r="F30" s="142">
        <f>VLOOKUP(A30,Transporte[],7,FALSE)</f>
        <v>1491</v>
      </c>
      <c r="G30" s="35">
        <f>D30*F30</f>
        <v>30293.243400000003</v>
      </c>
    </row>
    <row r="31" spans="1:9" ht="13.4" customHeight="1">
      <c r="B31" s="26"/>
      <c r="C31" s="27"/>
      <c r="D31" s="28"/>
      <c r="E31" s="28"/>
      <c r="F31" s="35"/>
      <c r="G31" s="35"/>
    </row>
    <row r="32" spans="1:9" ht="13">
      <c r="D32" s="18"/>
      <c r="E32" s="18"/>
      <c r="F32" s="29" t="s">
        <v>1220</v>
      </c>
      <c r="G32" s="37">
        <f>SUM(G29:G31)</f>
        <v>34644.815192344002</v>
      </c>
    </row>
    <row r="33" spans="1:9" ht="13">
      <c r="D33" s="18"/>
      <c r="E33" s="18"/>
      <c r="G33" s="23"/>
    </row>
    <row r="34" spans="1:9" ht="13">
      <c r="B34" s="11" t="s">
        <v>1225</v>
      </c>
      <c r="D34" s="30"/>
      <c r="E34" s="30"/>
      <c r="F34" s="31"/>
      <c r="G34" s="24"/>
    </row>
    <row r="35" spans="1:9" s="18" customFormat="1" ht="13">
      <c r="A35" s="119" t="s">
        <v>184</v>
      </c>
      <c r="B35" s="12" t="s">
        <v>1</v>
      </c>
      <c r="C35" s="13" t="s">
        <v>1226</v>
      </c>
      <c r="D35" s="13" t="s">
        <v>1227</v>
      </c>
      <c r="E35" s="13"/>
      <c r="F35" s="13" t="s">
        <v>307</v>
      </c>
      <c r="G35" s="25" t="s">
        <v>752</v>
      </c>
    </row>
    <row r="36" spans="1:9" ht="14.5">
      <c r="A36" s="125">
        <v>1</v>
      </c>
      <c r="B36" s="122" t="str">
        <f>VLOOKUP(A36,ManoObra[],2,FALSE)</f>
        <v>Electricista</v>
      </c>
      <c r="C36" s="40">
        <f>VLOOKUP(A36,ManoObra[],7,FALSE)</f>
        <v>71863</v>
      </c>
      <c r="D36" s="22">
        <f>FP!$B$28</f>
        <v>1.61</v>
      </c>
      <c r="E36" s="22"/>
      <c r="F36" s="16">
        <f>+RENDIMIENTOS!$C$37</f>
        <v>3</v>
      </c>
      <c r="G36" s="36">
        <f>ROUND(C36*D36/F36,0)</f>
        <v>38566</v>
      </c>
      <c r="I36" s="81"/>
    </row>
    <row r="37" spans="1:9" ht="14.5">
      <c r="A37" s="125">
        <v>2</v>
      </c>
      <c r="B37" s="122" t="str">
        <f>VLOOKUP(A37,ManoObra[],2,FALSE)</f>
        <v>Ayudante</v>
      </c>
      <c r="C37" s="40">
        <f>VLOOKUP(A37,ManoObra[],7,FALSE)</f>
        <v>66050</v>
      </c>
      <c r="D37" s="22">
        <f>FP!$B$28</f>
        <v>1.61</v>
      </c>
      <c r="E37" s="22"/>
      <c r="F37" s="16">
        <f>+RENDIMIENTOS!$C$37</f>
        <v>3</v>
      </c>
      <c r="G37" s="36">
        <f>ROUND(C37*D37/F37,0)</f>
        <v>35447</v>
      </c>
      <c r="I37" s="81"/>
    </row>
    <row r="38" spans="1:9" ht="13">
      <c r="D38" s="18"/>
      <c r="E38" s="18"/>
      <c r="F38" s="29" t="s">
        <v>1220</v>
      </c>
      <c r="G38" s="42">
        <f>SUM(G36:G37)</f>
        <v>74013</v>
      </c>
    </row>
    <row r="39" spans="1:9" ht="13">
      <c r="D39" s="18"/>
      <c r="E39" s="18"/>
      <c r="G39" s="24"/>
    </row>
    <row r="40" spans="1:9" ht="12.75" customHeight="1">
      <c r="A40"/>
      <c r="D40" s="1725" t="s">
        <v>1228</v>
      </c>
      <c r="E40" s="1730"/>
      <c r="F40" s="1726"/>
      <c r="G40" s="38">
        <f>G18+G25+G32+G38</f>
        <v>2195726.8151923441</v>
      </c>
    </row>
    <row r="41" spans="1:9" ht="13">
      <c r="A41" s="441"/>
      <c r="B41" s="441"/>
      <c r="D41" s="18"/>
      <c r="E41" s="18"/>
      <c r="F41" s="10"/>
      <c r="G41" s="41"/>
    </row>
    <row r="42" spans="1:9" ht="14">
      <c r="A42" s="442"/>
      <c r="B42" s="840"/>
    </row>
    <row r="43" spans="1:9" ht="42">
      <c r="B43" s="1028" t="s">
        <v>1235</v>
      </c>
    </row>
  </sheetData>
  <mergeCells count="4">
    <mergeCell ref="B3:F3"/>
    <mergeCell ref="B4:D4"/>
    <mergeCell ref="D40:F40"/>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981D5-47DF-4999-832A-4E2D99C2EDE9}">
  <sheetPr>
    <tabColor theme="7" tint="0.59999389629810485"/>
    <pageSetUpPr fitToPage="1"/>
  </sheetPr>
  <dimension ref="A1:I36"/>
  <sheetViews>
    <sheetView view="pageBreakPreview" zoomScale="80" zoomScaleNormal="100" zoomScaleSheetLayoutView="80"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6.54296875" style="5" bestFit="1" customWidth="1"/>
    <col min="8" max="8" width="6.453125" style="5" customWidth="1"/>
    <col min="9" max="9" width="11.453125" style="5"/>
    <col min="10" max="10" width="11.54296875" style="5" bestFit="1" customWidth="1"/>
    <col min="11" max="16384" width="11.453125" style="5"/>
  </cols>
  <sheetData>
    <row r="1" spans="1:9" ht="33"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 'PRES MR 15 KW'!A14)</f>
        <v>ITEM:  4.1.9</v>
      </c>
      <c r="C3" s="1728"/>
      <c r="D3" s="1728"/>
      <c r="E3" s="1728"/>
      <c r="F3" s="1728"/>
      <c r="G3" s="6" t="s">
        <v>1229</v>
      </c>
      <c r="H3" s="7"/>
    </row>
    <row r="4" spans="1:9" ht="78.75" customHeight="1">
      <c r="B4" s="1722" t="str">
        <f>+'PRES MR 15 KW'!B14</f>
        <v>Suministro, transporte e instalación de autotransformador trifásico 15 kVA, eficiencia 96%, Envolvente IP40, conexión Y/Y 120/208 V</v>
      </c>
      <c r="C4" s="1723"/>
      <c r="D4" s="1724"/>
      <c r="E4" s="328"/>
      <c r="G4" s="8" t="str">
        <f>+'PRES MR 15 KW'!C14</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25">
      <c r="A8" s="125">
        <v>253</v>
      </c>
      <c r="B8" s="122" t="str">
        <f>VLOOKUP(A8,Materiales[],3,FALSE)</f>
        <v xml:space="preserve">Autotransformador 15 kVA trifásico, IP40 Y/Y 120/208 V </v>
      </c>
      <c r="C8" s="121" t="str">
        <f>VLOOKUP(A8,Materiales[],4,FALSE)</f>
        <v>UN</v>
      </c>
      <c r="D8" s="118">
        <v>1</v>
      </c>
      <c r="E8" s="329">
        <f>VLOOKUP(A8,Materiales[],5,FALSE)*D8</f>
        <v>162</v>
      </c>
      <c r="F8" s="123">
        <f>VLOOKUP(A8,Materiales[],6,FALSE)</f>
        <v>13489500</v>
      </c>
      <c r="G8" s="123">
        <f>ROUND(D8*F8,0)</f>
        <v>13489500</v>
      </c>
      <c r="I8" s="33"/>
    </row>
    <row r="9" spans="1:9" ht="22.5" customHeight="1">
      <c r="A9" s="125">
        <v>24</v>
      </c>
      <c r="B9" s="122" t="str">
        <f>VLOOKUP(A9,Materiales[],3,FALSE)</f>
        <v>Borna para ponchar varios calibres y terminales</v>
      </c>
      <c r="C9" s="121" t="str">
        <f>VLOOKUP(A9,Materiales[],4,FALSE)</f>
        <v>UN</v>
      </c>
      <c r="D9" s="118">
        <v>6</v>
      </c>
      <c r="E9" s="329">
        <f>VLOOKUP(A9,Materiales[],5,FALSE)*D9</f>
        <v>4.8000000000000001E-2</v>
      </c>
      <c r="F9" s="123">
        <f>VLOOKUP(A9,Materiales[],6,FALSE)</f>
        <v>2111</v>
      </c>
      <c r="G9" s="123">
        <f t="shared" ref="G9:G10" si="0">ROUND(D9*F9,0)</f>
        <v>12666</v>
      </c>
      <c r="I9" s="33"/>
    </row>
    <row r="10" spans="1:9" ht="22.5" customHeight="1">
      <c r="A10" s="125">
        <v>25</v>
      </c>
      <c r="B10" s="122" t="str">
        <f>VLOOKUP(A10,Materiales[],3,FALSE)</f>
        <v>Tubo termoencogible. Distintos calibres, distintos colores</v>
      </c>
      <c r="C10" s="121" t="str">
        <f>VLOOKUP(A10,Materiales[],4,FALSE)</f>
        <v>UN</v>
      </c>
      <c r="D10" s="118">
        <v>6</v>
      </c>
      <c r="E10" s="329">
        <f>VLOOKUP(A10,Materiales[],5,FALSE)*D10</f>
        <v>4.8000000000000001E-2</v>
      </c>
      <c r="F10" s="123">
        <f>VLOOKUP(A10,Materiales[],6,FALSE)</f>
        <v>3680</v>
      </c>
      <c r="G10" s="123">
        <f t="shared" si="0"/>
        <v>22080</v>
      </c>
      <c r="I10" s="33"/>
    </row>
    <row r="11" spans="1:9" ht="13">
      <c r="D11" s="18"/>
      <c r="E11" s="18"/>
      <c r="F11" s="29" t="s">
        <v>1220</v>
      </c>
      <c r="G11" s="42">
        <f>SUM(G8:G10)</f>
        <v>13524246</v>
      </c>
    </row>
    <row r="13" spans="1:9" ht="13">
      <c r="B13" s="20" t="s">
        <v>1221</v>
      </c>
      <c r="G13" s="39"/>
    </row>
    <row r="14" spans="1:9" ht="13">
      <c r="A14" s="119" t="s">
        <v>184</v>
      </c>
      <c r="B14" s="120" t="s">
        <v>1</v>
      </c>
      <c r="C14" s="13" t="s">
        <v>1231</v>
      </c>
      <c r="D14" s="13" t="s">
        <v>1222</v>
      </c>
      <c r="E14" s="13"/>
      <c r="F14" s="13" t="s">
        <v>307</v>
      </c>
      <c r="G14" s="13" t="s">
        <v>752</v>
      </c>
    </row>
    <row r="15" spans="1:9" ht="14.5">
      <c r="A15" s="125">
        <v>1</v>
      </c>
      <c r="B15" s="122" t="str">
        <f>VLOOKUP(A15,Equip.Herram[],2,FALSE)</f>
        <v>Herramienta menor</v>
      </c>
      <c r="C15" s="15" t="str">
        <f>VLOOKUP(A15,Equip.Herram[],3,FALSE)</f>
        <v>UN</v>
      </c>
      <c r="D15" s="36">
        <f>VLOOKUP(A15,Equip.Herram[],4,FALSE)</f>
        <v>24840</v>
      </c>
      <c r="E15" s="36"/>
      <c r="F15" s="16">
        <f>+RENDIMIENTOS!$C$38</f>
        <v>3</v>
      </c>
      <c r="G15" s="36">
        <f>ROUND(D15/F15,0)</f>
        <v>8280</v>
      </c>
    </row>
    <row r="16" spans="1:9">
      <c r="B16" s="14"/>
      <c r="C16" s="15"/>
      <c r="D16" s="17"/>
      <c r="E16" s="17"/>
      <c r="F16" s="22"/>
      <c r="G16" s="21"/>
    </row>
    <row r="17" spans="1:9">
      <c r="B17" s="14"/>
      <c r="C17" s="15"/>
      <c r="D17" s="17"/>
      <c r="E17" s="17"/>
      <c r="F17" s="22"/>
      <c r="G17" s="21"/>
    </row>
    <row r="18" spans="1:9" ht="13">
      <c r="D18" s="18"/>
      <c r="E18" s="18"/>
      <c r="F18" s="19" t="s">
        <v>1220</v>
      </c>
      <c r="G18" s="37">
        <f>SUM(G15:G17)</f>
        <v>8280</v>
      </c>
    </row>
    <row r="19" spans="1:9" ht="13">
      <c r="D19" s="18"/>
      <c r="E19" s="18"/>
      <c r="F19" s="18"/>
      <c r="G19" s="23"/>
    </row>
    <row r="20" spans="1:9" ht="13">
      <c r="B20" s="11" t="s">
        <v>1223</v>
      </c>
      <c r="G20" s="24"/>
    </row>
    <row r="21" spans="1:9" ht="13">
      <c r="A21" s="119" t="s">
        <v>184</v>
      </c>
      <c r="B21" s="12" t="s">
        <v>1</v>
      </c>
      <c r="C21" s="13" t="s">
        <v>185</v>
      </c>
      <c r="D21" s="13" t="s">
        <v>1230</v>
      </c>
      <c r="E21" s="13"/>
      <c r="F21" s="13" t="s">
        <v>1233</v>
      </c>
      <c r="G21" s="25" t="s">
        <v>752</v>
      </c>
      <c r="I21" s="39"/>
    </row>
    <row r="22" spans="1:9" ht="26.5" customHeight="1">
      <c r="A22" s="125">
        <v>1</v>
      </c>
      <c r="B22" s="122" t="str">
        <f>VLOOKUP(A22,Transporte[],2,FALSE)</f>
        <v>Carga terrestre Bogotá - Teorama</v>
      </c>
      <c r="C22" s="27" t="s">
        <v>1234</v>
      </c>
      <c r="D22" s="118">
        <f>+SUM(E8:E10)</f>
        <v>162.096</v>
      </c>
      <c r="E22" s="118"/>
      <c r="F22" s="142">
        <f>VLOOKUP(A22,Transporte[],7,FALSE)</f>
        <v>214.17955999999998</v>
      </c>
      <c r="G22" s="35">
        <f>D22*F22</f>
        <v>34717.649957759997</v>
      </c>
    </row>
    <row r="23" spans="1:9" ht="13.4" customHeight="1">
      <c r="A23" s="125">
        <v>3</v>
      </c>
      <c r="B23" s="122" t="str">
        <f>VLOOKUP(A23,Transporte[],2,FALSE)</f>
        <v>Carga terrestre Teorama - Comunidades</v>
      </c>
      <c r="C23" s="27" t="s">
        <v>1234</v>
      </c>
      <c r="D23" s="118">
        <f>+SUM(E8:E10)</f>
        <v>162.096</v>
      </c>
      <c r="E23" s="118"/>
      <c r="F23" s="142">
        <f>VLOOKUP(A23,Transporte[],7,FALSE)</f>
        <v>1491</v>
      </c>
      <c r="G23" s="35">
        <f>D23*F23</f>
        <v>241685.136</v>
      </c>
    </row>
    <row r="24" spans="1:9" ht="13.4" customHeight="1">
      <c r="B24" s="26"/>
      <c r="C24" s="27"/>
      <c r="D24" s="28"/>
      <c r="E24" s="28"/>
      <c r="F24" s="35"/>
      <c r="G24" s="35"/>
    </row>
    <row r="25" spans="1:9" ht="13">
      <c r="D25" s="18"/>
      <c r="E25" s="18"/>
      <c r="F25" s="29" t="s">
        <v>1220</v>
      </c>
      <c r="G25" s="37">
        <f>SUM(G22:G24)</f>
        <v>276402.78595776</v>
      </c>
    </row>
    <row r="26" spans="1:9" ht="13">
      <c r="D26" s="18"/>
      <c r="E26" s="18"/>
      <c r="G26" s="23"/>
    </row>
    <row r="27" spans="1:9" ht="13">
      <c r="B27" s="11" t="s">
        <v>1225</v>
      </c>
      <c r="D27" s="30"/>
      <c r="E27" s="30"/>
      <c r="F27" s="31"/>
      <c r="G27" s="24"/>
    </row>
    <row r="28" spans="1:9" s="18" customFormat="1" ht="13">
      <c r="A28" s="119" t="s">
        <v>184</v>
      </c>
      <c r="B28" s="12" t="s">
        <v>1</v>
      </c>
      <c r="C28" s="13" t="s">
        <v>1226</v>
      </c>
      <c r="D28" s="13" t="s">
        <v>1227</v>
      </c>
      <c r="E28" s="13"/>
      <c r="F28" s="13" t="s">
        <v>307</v>
      </c>
      <c r="G28" s="25" t="s">
        <v>752</v>
      </c>
    </row>
    <row r="29" spans="1:9" ht="14.5">
      <c r="A29" s="125">
        <v>1</v>
      </c>
      <c r="B29" s="122" t="str">
        <f>VLOOKUP(A29,ManoObra[],2,FALSE)</f>
        <v>Electricista</v>
      </c>
      <c r="C29" s="40">
        <f>VLOOKUP(A29,ManoObra[],7,FALSE)</f>
        <v>71863</v>
      </c>
      <c r="D29" s="22">
        <f>FP!$B$28</f>
        <v>1.61</v>
      </c>
      <c r="E29" s="22"/>
      <c r="F29" s="16">
        <f>+RENDIMIENTOS!$C$38</f>
        <v>3</v>
      </c>
      <c r="G29" s="36">
        <f>ROUND(C29*D29/F29,0)</f>
        <v>38566</v>
      </c>
      <c r="I29" s="81"/>
    </row>
    <row r="30" spans="1:9" ht="14.5">
      <c r="A30" s="125">
        <v>2</v>
      </c>
      <c r="B30" s="122" t="str">
        <f>VLOOKUP(A30,ManoObra[],2,FALSE)</f>
        <v>Ayudante</v>
      </c>
      <c r="C30" s="40">
        <f>VLOOKUP(A30,ManoObra[],7,FALSE)</f>
        <v>66050</v>
      </c>
      <c r="D30" s="22">
        <f>FP!$B$28</f>
        <v>1.61</v>
      </c>
      <c r="E30" s="22"/>
      <c r="F30" s="16">
        <f>+RENDIMIENTOS!$C$38</f>
        <v>3</v>
      </c>
      <c r="G30" s="36">
        <f>ROUND(C30*D30/F30,0)</f>
        <v>35447</v>
      </c>
      <c r="I30" s="81"/>
    </row>
    <row r="31" spans="1:9" ht="13">
      <c r="D31" s="18"/>
      <c r="E31" s="18"/>
      <c r="F31" s="29" t="s">
        <v>1220</v>
      </c>
      <c r="G31" s="42">
        <f>SUM(G29:G30)</f>
        <v>74013</v>
      </c>
    </row>
    <row r="32" spans="1:9" ht="13">
      <c r="D32" s="18"/>
      <c r="E32" s="18"/>
      <c r="G32" s="24"/>
    </row>
    <row r="33" spans="1:7" ht="12.75" customHeight="1">
      <c r="A33"/>
      <c r="D33" s="1725" t="s">
        <v>1228</v>
      </c>
      <c r="E33" s="1730"/>
      <c r="F33" s="1726"/>
      <c r="G33" s="38">
        <f>G11+G18+G25+G31</f>
        <v>13882941.785957759</v>
      </c>
    </row>
    <row r="34" spans="1:7" ht="13">
      <c r="A34" s="441"/>
      <c r="B34" s="441"/>
      <c r="D34" s="18"/>
      <c r="E34" s="18"/>
      <c r="F34" s="10"/>
      <c r="G34" s="41"/>
    </row>
    <row r="35" spans="1:7" ht="14">
      <c r="A35" s="442"/>
      <c r="B35" s="840"/>
    </row>
    <row r="36" spans="1:7" ht="42">
      <c r="B36" s="1028" t="s">
        <v>1235</v>
      </c>
    </row>
  </sheetData>
  <mergeCells count="4">
    <mergeCell ref="B3:F3"/>
    <mergeCell ref="B4:D4"/>
    <mergeCell ref="D33:F33"/>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FC903-4B38-43A1-8BAC-FAC72F07E279}">
  <sheetPr>
    <tabColor theme="7" tint="0.59999389629810485"/>
    <pageSetUpPr fitToPage="1"/>
  </sheetPr>
  <dimension ref="A1:I46"/>
  <sheetViews>
    <sheetView view="pageBreakPreview" topLeftCell="A25" zoomScale="80" zoomScaleNormal="100" zoomScaleSheetLayoutView="80"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0"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15 KW'!A15)</f>
        <v>ITEM:  4.1.10</v>
      </c>
      <c r="C3" s="1728"/>
      <c r="D3" s="1728"/>
      <c r="E3" s="1728"/>
      <c r="F3" s="1728"/>
      <c r="G3" s="6" t="s">
        <v>1229</v>
      </c>
      <c r="H3" s="7"/>
    </row>
    <row r="4" spans="1:9" ht="78.75" customHeight="1">
      <c r="B4" s="1722" t="str">
        <f>+'PRES MR 15 KW'!B15</f>
        <v>Suministro, transporte e instalación de tablero de distribución en AC, para 6 circuitos. Incluye barrajes de 100 A para sistema trifásico tetrafilar, DPS tipo 2, protección de entrada de 50 A 120 VAC y protecciones de circuitos de 40 A y 16 A.</v>
      </c>
      <c r="C4" s="1723"/>
      <c r="D4" s="1724"/>
      <c r="E4" s="328"/>
      <c r="G4" s="8" t="str">
        <f>+'PRES MR 15 KW'!C15</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37.5">
      <c r="A8" s="125">
        <v>36</v>
      </c>
      <c r="B8" s="122" t="str">
        <f>VLOOKUP(A8,Materiales[],3,FALSE)</f>
        <v>Gabinete eléctrico metálico con cumplimiento RETIE, con revestimiento eléctrostatico de dimensiones 250x700x100 IP66 Doble fondo.</v>
      </c>
      <c r="C8" s="121" t="str">
        <f>VLOOKUP(A8,Materiales[],4,FALSE)</f>
        <v>UN</v>
      </c>
      <c r="D8" s="118">
        <v>1</v>
      </c>
      <c r="E8" s="329">
        <f>VLOOKUP(A8,Materiales[],5,FALSE)*D8</f>
        <v>15</v>
      </c>
      <c r="F8" s="123">
        <f>VLOOKUP(A8,Materiales[],6,FALSE)</f>
        <v>204447</v>
      </c>
      <c r="G8" s="123">
        <f>ROUND(D8*F8,0)</f>
        <v>204447</v>
      </c>
      <c r="I8" s="33"/>
    </row>
    <row r="9" spans="1:9" ht="25.5" customHeight="1">
      <c r="A9" s="125">
        <v>158</v>
      </c>
      <c r="B9" s="122" t="str">
        <f>VLOOKUP(A9,Materiales[],3,FALSE)</f>
        <v>Barraje de cobre tropicalizado de 100 A para 16 conexiones</v>
      </c>
      <c r="C9" s="121" t="str">
        <f>VLOOKUP(A9,Materiales[],4,FALSE)</f>
        <v>UN</v>
      </c>
      <c r="D9" s="118">
        <v>4</v>
      </c>
      <c r="E9" s="329">
        <f>VLOOKUP(A9,Materiales[],5,FALSE)*D9</f>
        <v>2</v>
      </c>
      <c r="F9" s="123">
        <f>VLOOKUP(A9,Materiales[],6,FALSE)</f>
        <v>34422</v>
      </c>
      <c r="G9" s="123">
        <f t="shared" ref="G9:G18" si="0">ROUND(D9*F9,0)</f>
        <v>137688</v>
      </c>
      <c r="I9" s="33"/>
    </row>
    <row r="10" spans="1:9" ht="14.5">
      <c r="A10" s="125">
        <v>124</v>
      </c>
      <c r="B10" s="122" t="str">
        <f>VLOOKUP(A10,Materiales[],3,FALSE)</f>
        <v>Cable Cu THHN 12 AWG</v>
      </c>
      <c r="C10" s="121" t="str">
        <f>VLOOKUP(A10,Materiales[],4,FALSE)</f>
        <v>ML</v>
      </c>
      <c r="D10" s="332">
        <v>4.2</v>
      </c>
      <c r="E10" s="329">
        <f>VLOOKUP(A10,Materiales[],5,FALSE)*D10</f>
        <v>0.14280000000000001</v>
      </c>
      <c r="F10" s="123">
        <f>VLOOKUP(A10,Materiales[],6,FALSE)</f>
        <v>3260</v>
      </c>
      <c r="G10" s="123">
        <f t="shared" si="0"/>
        <v>13692</v>
      </c>
      <c r="I10" s="33"/>
    </row>
    <row r="11" spans="1:9" ht="14.5">
      <c r="A11" s="125">
        <v>254</v>
      </c>
      <c r="B11" s="122" t="str">
        <f>VLOOKUP(A11,Materiales[],3,FALSE)</f>
        <v>Interruptor termomagnético 50 A 3P 208 VAC 10kA</v>
      </c>
      <c r="C11" s="121" t="str">
        <f>VLOOKUP(A11,Materiales[],4,FALSE)</f>
        <v>UN</v>
      </c>
      <c r="D11" s="118">
        <v>1</v>
      </c>
      <c r="E11" s="329">
        <f>VLOOKUP(A11,Materiales[],5,FALSE)*D11</f>
        <v>0.45</v>
      </c>
      <c r="F11" s="123">
        <f>VLOOKUP(A11,Materiales[],6,FALSE)</f>
        <v>149500</v>
      </c>
      <c r="G11" s="123">
        <f t="shared" si="0"/>
        <v>149500</v>
      </c>
      <c r="I11" s="33"/>
    </row>
    <row r="12" spans="1:9" ht="14.5">
      <c r="A12" s="125">
        <v>255</v>
      </c>
      <c r="B12" s="122" t="str">
        <f>VLOOKUP(A12,Materiales[],3,FALSE)</f>
        <v>Interruptor termomagnético 40 A 3P 208 VAC 10kA</v>
      </c>
      <c r="C12" s="121" t="str">
        <f>VLOOKUP(A12,Materiales[],4,FALSE)</f>
        <v>UN</v>
      </c>
      <c r="D12" s="118">
        <v>5</v>
      </c>
      <c r="E12" s="329">
        <f>VLOOKUP(A12,Materiales[],5,FALSE)*D12</f>
        <v>2.25</v>
      </c>
      <c r="F12" s="123">
        <f>VLOOKUP(A12,Materiales[],6,FALSE)</f>
        <v>71185</v>
      </c>
      <c r="G12" s="123">
        <f t="shared" si="0"/>
        <v>355925</v>
      </c>
      <c r="I12" s="33"/>
    </row>
    <row r="13" spans="1:9" ht="14.5">
      <c r="A13" s="125">
        <v>42</v>
      </c>
      <c r="B13" s="122" t="str">
        <f>VLOOKUP(A13,Materiales[],3,FALSE)</f>
        <v>Interruptor termomagnético 16 A 1P 120/240 VAC 10kA</v>
      </c>
      <c r="C13" s="121" t="str">
        <f>VLOOKUP(A13,Materiales[],4,FALSE)</f>
        <v>UN</v>
      </c>
      <c r="D13" s="118">
        <v>1</v>
      </c>
      <c r="E13" s="329">
        <f>VLOOKUP(A13,Materiales[],5,FALSE)*D13</f>
        <v>0.24</v>
      </c>
      <c r="F13" s="123">
        <f>VLOOKUP(A13,Materiales[],6,FALSE)</f>
        <v>29153</v>
      </c>
      <c r="G13" s="123">
        <f t="shared" si="0"/>
        <v>29153</v>
      </c>
      <c r="I13" s="33"/>
    </row>
    <row r="14" spans="1:9" ht="14.5">
      <c r="A14" s="125">
        <v>24</v>
      </c>
      <c r="B14" s="122" t="str">
        <f>VLOOKUP(A14,Materiales[],3,FALSE)</f>
        <v>Borna para ponchar varios calibres y terminales</v>
      </c>
      <c r="C14" s="121" t="str">
        <f>VLOOKUP(A14,Materiales[],4,FALSE)</f>
        <v>UN</v>
      </c>
      <c r="D14" s="118">
        <v>29</v>
      </c>
      <c r="E14" s="329">
        <f>VLOOKUP(A14,Materiales[],5,FALSE)*D14</f>
        <v>0.23200000000000001</v>
      </c>
      <c r="F14" s="123">
        <f>VLOOKUP(A14,Materiales[],6,FALSE)</f>
        <v>2111</v>
      </c>
      <c r="G14" s="123">
        <f t="shared" si="0"/>
        <v>61219</v>
      </c>
      <c r="I14" s="33"/>
    </row>
    <row r="15" spans="1:9" ht="25">
      <c r="A15" s="125">
        <v>25</v>
      </c>
      <c r="B15" s="122" t="str">
        <f>VLOOKUP(A15,Materiales[],3,FALSE)</f>
        <v>Tubo termoencogible. Distintos calibres, distintos colores</v>
      </c>
      <c r="C15" s="121" t="str">
        <f>VLOOKUP(A15,Materiales[],4,FALSE)</f>
        <v>UN</v>
      </c>
      <c r="D15" s="118">
        <v>29</v>
      </c>
      <c r="E15" s="329">
        <f>VLOOKUP(A15,Materiales[],5,FALSE)*D15</f>
        <v>0.23200000000000001</v>
      </c>
      <c r="F15" s="123">
        <f>VLOOKUP(A15,Materiales[],6,FALSE)</f>
        <v>3680</v>
      </c>
      <c r="G15" s="123">
        <f t="shared" si="0"/>
        <v>106720</v>
      </c>
      <c r="I15" s="33"/>
    </row>
    <row r="16" spans="1:9" ht="14.5">
      <c r="A16" s="125">
        <v>256</v>
      </c>
      <c r="B16" s="122" t="str">
        <f>VLOOKUP(A16,Materiales[],3,FALSE)</f>
        <v>DPS- Señalizacion Tipo 2 3P 250 Uc 20-40 kA</v>
      </c>
      <c r="C16" s="121" t="str">
        <f>VLOOKUP(A16,Materiales[],4,FALSE)</f>
        <v>UN</v>
      </c>
      <c r="D16" s="118">
        <v>1</v>
      </c>
      <c r="E16" s="329">
        <f>VLOOKUP(A16,Materiales[],5,FALSE)*D16</f>
        <v>0.24</v>
      </c>
      <c r="F16" s="123">
        <f>VLOOKUP(A16,Materiales[],6,FALSE)</f>
        <v>755412</v>
      </c>
      <c r="G16" s="123">
        <f t="shared" si="0"/>
        <v>755412</v>
      </c>
      <c r="I16" s="33"/>
    </row>
    <row r="17" spans="1:9" ht="14.5">
      <c r="A17" s="125">
        <v>10</v>
      </c>
      <c r="B17" s="122" t="str">
        <f>VLOOKUP(A17,Materiales[],3,FALSE)</f>
        <v>Riel DIN 35 mm x 7.5 mm</v>
      </c>
      <c r="C17" s="121" t="str">
        <f>VLOOKUP(A17,Materiales[],4,FALSE)</f>
        <v>ML</v>
      </c>
      <c r="D17" s="118">
        <v>2</v>
      </c>
      <c r="E17" s="329">
        <f>VLOOKUP(A17,Materiales[],5,FALSE)*D17</f>
        <v>0.6</v>
      </c>
      <c r="F17" s="123">
        <f>VLOOKUP(A17,Materiales[],6,FALSE)</f>
        <v>10732</v>
      </c>
      <c r="G17" s="123">
        <f t="shared" si="0"/>
        <v>21464</v>
      </c>
      <c r="I17" s="33"/>
    </row>
    <row r="18" spans="1:9" ht="22.5" customHeight="1">
      <c r="A18" s="125">
        <v>241</v>
      </c>
      <c r="B18" s="122" t="str">
        <f>VLOOKUP(A18,Materiales[],3,FALSE)</f>
        <v>Cable Cu THHN 6 AWG</v>
      </c>
      <c r="C18" s="121" t="str">
        <f>VLOOKUP(A18,Materiales[],4,FALSE)</f>
        <v>ML</v>
      </c>
      <c r="D18" s="332">
        <f>6.3*1.35</f>
        <v>8.5050000000000008</v>
      </c>
      <c r="E18" s="329">
        <f>VLOOKUP(A18,Materiales[],5,FALSE)*D18</f>
        <v>1.2391785000000002</v>
      </c>
      <c r="F18" s="123">
        <f>VLOOKUP(A18,Materiales[],6,FALSE)</f>
        <v>10868</v>
      </c>
      <c r="G18" s="123">
        <f t="shared" si="0"/>
        <v>92432</v>
      </c>
      <c r="I18" s="33"/>
    </row>
    <row r="19" spans="1:9" ht="22.5" customHeight="1">
      <c r="A19" s="125">
        <v>237</v>
      </c>
      <c r="B19" s="122" t="str">
        <f>VLOOKUP(A19,Materiales[],3,FALSE)</f>
        <v>Cable Cu THHN 4 AWG</v>
      </c>
      <c r="C19" s="121" t="str">
        <f>VLOOKUP(A19,Materiales[],4,FALSE)</f>
        <v>ML</v>
      </c>
      <c r="D19" s="332">
        <v>2</v>
      </c>
      <c r="E19" s="329">
        <f>VLOOKUP(A19,Materiales[],5,FALSE)*D19</f>
        <v>0.47</v>
      </c>
      <c r="F19" s="123">
        <f>VLOOKUP(A19,Materiales[],6,FALSE)</f>
        <v>18272</v>
      </c>
      <c r="G19" s="123">
        <f t="shared" ref="G19:G20" si="1">ROUND(D19*F19,0)</f>
        <v>36544</v>
      </c>
      <c r="I19" s="33"/>
    </row>
    <row r="20" spans="1:9" ht="22.5" customHeight="1">
      <c r="A20" s="125">
        <v>385</v>
      </c>
      <c r="B20" s="122" t="str">
        <f>VLOOKUP(A20,Materiales[],3,FALSE)</f>
        <v>Cable Cu THHN 10 AWG verde</v>
      </c>
      <c r="C20" s="121" t="str">
        <f>VLOOKUP(A20,Materiales[],4,FALSE)</f>
        <v>ML</v>
      </c>
      <c r="D20" s="332">
        <v>1</v>
      </c>
      <c r="E20" s="329">
        <f>VLOOKUP(A20,Materiales[],5,FALSE)*D20</f>
        <v>5.9000000000000004E-2</v>
      </c>
      <c r="F20" s="123">
        <f>VLOOKUP(A20,Materiales[],6,FALSE)</f>
        <v>4633</v>
      </c>
      <c r="G20" s="123">
        <f t="shared" si="1"/>
        <v>4633</v>
      </c>
      <c r="I20" s="33"/>
    </row>
    <row r="21" spans="1:9" ht="13">
      <c r="D21" s="18"/>
      <c r="E21" s="18"/>
      <c r="F21" s="29" t="s">
        <v>1220</v>
      </c>
      <c r="G21" s="42">
        <f>SUM(G8:G20)</f>
        <v>1968829</v>
      </c>
    </row>
    <row r="23" spans="1:9" ht="13">
      <c r="B23" s="20" t="s">
        <v>1221</v>
      </c>
      <c r="G23" s="39"/>
    </row>
    <row r="24" spans="1:9" ht="13">
      <c r="A24" s="119" t="s">
        <v>184</v>
      </c>
      <c r="B24" s="120" t="s">
        <v>1</v>
      </c>
      <c r="C24" s="13" t="s">
        <v>1231</v>
      </c>
      <c r="D24" s="13" t="s">
        <v>1222</v>
      </c>
      <c r="E24" s="13"/>
      <c r="F24" s="13" t="s">
        <v>307</v>
      </c>
      <c r="G24" s="13" t="s">
        <v>752</v>
      </c>
    </row>
    <row r="25" spans="1:9" ht="14.5">
      <c r="A25" s="125">
        <v>1</v>
      </c>
      <c r="B25" s="122" t="str">
        <f>VLOOKUP(A25,Equip.Herram[],2,FALSE)</f>
        <v>Herramienta menor</v>
      </c>
      <c r="C25" s="15" t="str">
        <f>VLOOKUP(A25,Equip.Herram[],3,FALSE)</f>
        <v>UN</v>
      </c>
      <c r="D25" s="36">
        <f>VLOOKUP(A25,Equip.Herram[],4,FALSE)</f>
        <v>24840</v>
      </c>
      <c r="E25" s="36"/>
      <c r="F25" s="16">
        <f>+RENDIMIENTOS!$C$39</f>
        <v>6</v>
      </c>
      <c r="G25" s="36">
        <f>ROUND(D25/F25,0)</f>
        <v>4140</v>
      </c>
    </row>
    <row r="26" spans="1:9">
      <c r="B26" s="14"/>
      <c r="C26" s="15"/>
      <c r="D26" s="17"/>
      <c r="E26" s="17"/>
      <c r="F26" s="22"/>
      <c r="G26" s="21"/>
    </row>
    <row r="27" spans="1:9">
      <c r="B27" s="14"/>
      <c r="C27" s="15"/>
      <c r="D27" s="17"/>
      <c r="E27" s="17"/>
      <c r="F27" s="22"/>
      <c r="G27" s="21"/>
    </row>
    <row r="28" spans="1:9" ht="13">
      <c r="D28" s="18"/>
      <c r="E28" s="18"/>
      <c r="F28" s="19" t="s">
        <v>1220</v>
      </c>
      <c r="G28" s="37">
        <f>SUM(G25:G27)</f>
        <v>4140</v>
      </c>
    </row>
    <row r="29" spans="1:9" ht="13">
      <c r="D29" s="18"/>
      <c r="E29" s="18"/>
      <c r="F29" s="18"/>
      <c r="G29" s="23"/>
    </row>
    <row r="30" spans="1:9" ht="13">
      <c r="B30" s="11" t="s">
        <v>1223</v>
      </c>
      <c r="G30" s="24"/>
    </row>
    <row r="31" spans="1:9" ht="13">
      <c r="A31" s="119" t="s">
        <v>184</v>
      </c>
      <c r="B31" s="12" t="s">
        <v>1</v>
      </c>
      <c r="C31" s="13" t="s">
        <v>185</v>
      </c>
      <c r="D31" s="13" t="s">
        <v>1230</v>
      </c>
      <c r="E31" s="13"/>
      <c r="F31" s="13" t="s">
        <v>1233</v>
      </c>
      <c r="G31" s="25" t="s">
        <v>752</v>
      </c>
      <c r="I31" s="39"/>
    </row>
    <row r="32" spans="1:9" ht="26.5" customHeight="1">
      <c r="A32" s="125">
        <v>1</v>
      </c>
      <c r="B32" s="122" t="str">
        <f>VLOOKUP(A32,Transporte[],2,FALSE)</f>
        <v>Carga terrestre Bogotá - Teorama</v>
      </c>
      <c r="C32" s="27" t="s">
        <v>1234</v>
      </c>
      <c r="D32" s="118">
        <f>+SUM(E8:E18)</f>
        <v>22.625978499999999</v>
      </c>
      <c r="E32" s="118"/>
      <c r="F32" s="142">
        <f>VLOOKUP(A32,Transporte[],7,FALSE)</f>
        <v>214.17955999999998</v>
      </c>
      <c r="G32" s="35">
        <f>D32*F32</f>
        <v>4846.0221196994589</v>
      </c>
    </row>
    <row r="33" spans="1:9" ht="13.4" customHeight="1">
      <c r="A33" s="125">
        <v>3</v>
      </c>
      <c r="B33" s="122" t="str">
        <f>VLOOKUP(A33,Transporte[],2,FALSE)</f>
        <v>Carga terrestre Teorama - Comunidades</v>
      </c>
      <c r="C33" s="27" t="s">
        <v>1234</v>
      </c>
      <c r="D33" s="118">
        <f>+SUM(E8:E18)</f>
        <v>22.625978499999999</v>
      </c>
      <c r="E33" s="118"/>
      <c r="F33" s="142">
        <f>VLOOKUP(A33,Transporte[],7,FALSE)</f>
        <v>1491</v>
      </c>
      <c r="G33" s="35">
        <f>D33*F33</f>
        <v>33735.333943500002</v>
      </c>
    </row>
    <row r="34" spans="1:9" ht="13.4" customHeight="1">
      <c r="B34" s="26"/>
      <c r="C34" s="27"/>
      <c r="D34" s="28"/>
      <c r="E34" s="28"/>
      <c r="F34" s="35"/>
      <c r="G34" s="35"/>
    </row>
    <row r="35" spans="1:9" ht="13">
      <c r="D35" s="18"/>
      <c r="E35" s="18"/>
      <c r="F35" s="29" t="s">
        <v>1220</v>
      </c>
      <c r="G35" s="37">
        <f>SUM(G32:G34)</f>
        <v>38581.356063199462</v>
      </c>
    </row>
    <row r="36" spans="1:9" ht="13">
      <c r="D36" s="18"/>
      <c r="E36" s="18"/>
      <c r="G36" s="23"/>
    </row>
    <row r="37" spans="1:9" ht="13">
      <c r="B37" s="11" t="s">
        <v>1225</v>
      </c>
      <c r="D37" s="30"/>
      <c r="E37" s="30"/>
      <c r="F37" s="31"/>
      <c r="G37" s="24"/>
    </row>
    <row r="38" spans="1:9" s="18" customFormat="1" ht="13">
      <c r="A38" s="119" t="s">
        <v>184</v>
      </c>
      <c r="B38" s="12" t="s">
        <v>1</v>
      </c>
      <c r="C38" s="13" t="s">
        <v>1226</v>
      </c>
      <c r="D38" s="13" t="s">
        <v>1227</v>
      </c>
      <c r="E38" s="13"/>
      <c r="F38" s="13" t="s">
        <v>307</v>
      </c>
      <c r="G38" s="25" t="s">
        <v>752</v>
      </c>
    </row>
    <row r="39" spans="1:9" ht="14.5">
      <c r="A39" s="125">
        <v>1</v>
      </c>
      <c r="B39" s="122" t="str">
        <f>VLOOKUP(A39,ManoObra[],2,FALSE)</f>
        <v>Electricista</v>
      </c>
      <c r="C39" s="40">
        <f>VLOOKUP(A39,ManoObra[],7,FALSE)</f>
        <v>71863</v>
      </c>
      <c r="D39" s="22">
        <f>FP!$B$28</f>
        <v>1.61</v>
      </c>
      <c r="E39" s="22"/>
      <c r="F39" s="16">
        <f>+RENDIMIENTOS!$C$39</f>
        <v>6</v>
      </c>
      <c r="G39" s="36">
        <f>ROUND(C39*D39/F39,0)</f>
        <v>19283</v>
      </c>
      <c r="I39" s="81"/>
    </row>
    <row r="40" spans="1:9" ht="14.5">
      <c r="A40" s="125">
        <v>2</v>
      </c>
      <c r="B40" s="122" t="str">
        <f>VLOOKUP(A40,ManoObra[],2,FALSE)</f>
        <v>Ayudante</v>
      </c>
      <c r="C40" s="40">
        <f>VLOOKUP(A40,ManoObra[],7,FALSE)</f>
        <v>66050</v>
      </c>
      <c r="D40" s="22">
        <f>FP!$B$28</f>
        <v>1.61</v>
      </c>
      <c r="E40" s="22"/>
      <c r="F40" s="16">
        <f>+RENDIMIENTOS!$C$39</f>
        <v>6</v>
      </c>
      <c r="G40" s="36">
        <f>ROUND(C40*D40/F40,0)</f>
        <v>17723</v>
      </c>
      <c r="I40" s="81"/>
    </row>
    <row r="41" spans="1:9" ht="13">
      <c r="D41" s="18"/>
      <c r="E41" s="18"/>
      <c r="F41" s="29" t="s">
        <v>1220</v>
      </c>
      <c r="G41" s="42">
        <f>SUM(G39:G40)</f>
        <v>37006</v>
      </c>
    </row>
    <row r="42" spans="1:9" ht="13">
      <c r="D42" s="18"/>
      <c r="E42" s="18"/>
      <c r="G42" s="24"/>
    </row>
    <row r="43" spans="1:9" ht="12.75" customHeight="1">
      <c r="A43"/>
      <c r="D43" s="1725" t="s">
        <v>1228</v>
      </c>
      <c r="E43" s="1730"/>
      <c r="F43" s="1726"/>
      <c r="G43" s="38">
        <f>G21+G28+G35+G41</f>
        <v>2048556.3560631995</v>
      </c>
    </row>
    <row r="44" spans="1:9" ht="13">
      <c r="A44" s="441"/>
      <c r="B44" s="441"/>
      <c r="D44" s="18"/>
      <c r="E44" s="18"/>
      <c r="F44" s="10"/>
      <c r="G44" s="41"/>
    </row>
    <row r="45" spans="1:9" ht="14">
      <c r="A45" s="442"/>
      <c r="B45" s="840"/>
    </row>
    <row r="46" spans="1:9" ht="42">
      <c r="B46" s="1028" t="s">
        <v>1235</v>
      </c>
    </row>
  </sheetData>
  <mergeCells count="4">
    <mergeCell ref="B3:F3"/>
    <mergeCell ref="B4:D4"/>
    <mergeCell ref="D43:F43"/>
    <mergeCell ref="A1:G1"/>
  </mergeCells>
  <printOptions horizontalCentered="1"/>
  <pageMargins left="0.70866141732283472" right="0.70866141732283472" top="1.5748031496062993" bottom="0.98425196850393704" header="0.98425196850393704" footer="0.51181102362204722"/>
  <pageSetup scale="75" orientation="portrait" r:id="rId1"/>
  <headerFooter alignWithMargins="0">
    <oddHeader xml:space="preserve">&amp;C&amp;"Arial,Negrita"&amp;12ANÁLISIS DE PRECIOS UNITARIOS
</oddHeader>
  </headerFooter>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B07E8-A3C6-4A46-AA18-AFDD18686BAD}">
  <sheetPr>
    <tabColor theme="7" tint="0.59999389629810485"/>
    <pageSetUpPr fitToPage="1"/>
  </sheetPr>
  <dimension ref="A1:I40"/>
  <sheetViews>
    <sheetView view="pageBreakPreview" topLeftCell="A13" zoomScale="80" zoomScaleNormal="100" zoomScaleSheetLayoutView="80"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3.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15 KW'!A16)</f>
        <v>ITEM:  4.1.11</v>
      </c>
      <c r="C3" s="1728"/>
      <c r="D3" s="1728"/>
      <c r="E3" s="1728"/>
      <c r="F3" s="1728"/>
      <c r="G3" s="6" t="s">
        <v>1229</v>
      </c>
      <c r="H3" s="7"/>
    </row>
    <row r="4" spans="1:9" ht="78.75" customHeight="1">
      <c r="B4" s="1722" t="str">
        <f>'PRES MR 15 KW'!B16</f>
        <v>Suministro, transporte e instalación de canalizaciones internas del envolvente. Incluye canaleta de 60x300 mm y tubería conduit PVC SCH 40.</v>
      </c>
      <c r="C4" s="1723"/>
      <c r="D4" s="1724"/>
      <c r="E4" s="328"/>
      <c r="G4" s="8" t="str">
        <f>+'PRES MR 15 KW'!C16</f>
        <v>GB</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43</v>
      </c>
      <c r="B8" s="122" t="str">
        <f>VLOOKUP(A8,Materiales[],3,FALSE)</f>
        <v>Canaleta conduit de 60x300 mm</v>
      </c>
      <c r="C8" s="121" t="str">
        <f>VLOOKUP(A8,Materiales[],4,FALSE)</f>
        <v>ML</v>
      </c>
      <c r="D8" s="118">
        <v>12</v>
      </c>
      <c r="E8" s="329">
        <f>VLOOKUP(A8,Materiales[],5,FALSE)*D8</f>
        <v>6</v>
      </c>
      <c r="F8" s="123">
        <f>VLOOKUP(A8,Materiales[],6,FALSE)</f>
        <v>74354</v>
      </c>
      <c r="G8" s="123">
        <f>ROUND(D8*F8,0)</f>
        <v>892248</v>
      </c>
      <c r="I8" s="33"/>
    </row>
    <row r="9" spans="1:9" ht="25.5" customHeight="1">
      <c r="A9" s="125">
        <v>44</v>
      </c>
      <c r="B9" s="122" t="str">
        <f>VLOOKUP(A9,Materiales[],3,FALSE)</f>
        <v>Tuberia conduit PVC SCH 40 1/4"</v>
      </c>
      <c r="C9" s="121" t="str">
        <f>VLOOKUP(A9,Materiales[],4,FALSE)</f>
        <v>ML</v>
      </c>
      <c r="D9" s="332">
        <v>3.5</v>
      </c>
      <c r="E9" s="335">
        <f>VLOOKUP(A9,Materiales[],5,FALSE)*D9</f>
        <v>0.46083333333333337</v>
      </c>
      <c r="F9" s="123">
        <f>VLOOKUP(A9,Materiales[],6,FALSE)</f>
        <v>2962</v>
      </c>
      <c r="G9" s="123">
        <f t="shared" ref="G9:G14" si="0">ROUND(D9*F9,0)</f>
        <v>10367</v>
      </c>
      <c r="I9" s="33"/>
    </row>
    <row r="10" spans="1:9" ht="14.5">
      <c r="A10" s="125">
        <v>45</v>
      </c>
      <c r="B10" s="122" t="str">
        <f>VLOOKUP(A10,Materiales[],3,FALSE)</f>
        <v>Tuberia conduit PVC 2 1/2"</v>
      </c>
      <c r="C10" s="121" t="str">
        <f>VLOOKUP(A10,Materiales[],4,FALSE)</f>
        <v>ML</v>
      </c>
      <c r="D10" s="118">
        <v>1</v>
      </c>
      <c r="E10" s="335">
        <f>VLOOKUP(A10,Materiales[],5,FALSE)*D10</f>
        <v>1.0666666666666667</v>
      </c>
      <c r="F10" s="123">
        <f>VLOOKUP(A10,Materiales[],6,FALSE)</f>
        <v>17903</v>
      </c>
      <c r="G10" s="123">
        <f t="shared" si="0"/>
        <v>17903</v>
      </c>
      <c r="I10" s="33"/>
    </row>
    <row r="11" spans="1:9" ht="25">
      <c r="A11" s="125">
        <v>49</v>
      </c>
      <c r="B11" s="122" t="str">
        <f>VLOOKUP(A11,Materiales[],3,FALSE)</f>
        <v>Union rápida para curvas canaleta conduit. Difertentes medidas</v>
      </c>
      <c r="C11" s="121" t="str">
        <f>VLOOKUP(A11,Materiales[],4,FALSE)</f>
        <v>UN</v>
      </c>
      <c r="D11" s="118">
        <v>6</v>
      </c>
      <c r="E11" s="335">
        <f>VLOOKUP(A11,Materiales[],5,FALSE)*D11</f>
        <v>0.60000000000000009</v>
      </c>
      <c r="F11" s="123">
        <f>VLOOKUP(A11,Materiales[],6,FALSE)</f>
        <v>3096</v>
      </c>
      <c r="G11" s="123">
        <f t="shared" si="0"/>
        <v>18576</v>
      </c>
      <c r="I11" s="33"/>
    </row>
    <row r="12" spans="1:9" ht="14.5">
      <c r="A12" s="125">
        <v>50</v>
      </c>
      <c r="B12" s="122" t="str">
        <f>VLOOKUP(A12,Materiales[],3,FALSE)</f>
        <v>Union con tornillo para canaleta (tipo perro)</v>
      </c>
      <c r="C12" s="121" t="str">
        <f>VLOOKUP(A12,Materiales[],4,FALSE)</f>
        <v>UN</v>
      </c>
      <c r="D12" s="118">
        <v>6</v>
      </c>
      <c r="E12" s="335">
        <f>VLOOKUP(A12,Materiales[],5,FALSE)*D12</f>
        <v>0.30000000000000004</v>
      </c>
      <c r="F12" s="123">
        <f>VLOOKUP(A12,Materiales[],6,FALSE)</f>
        <v>2743</v>
      </c>
      <c r="G12" s="123">
        <f t="shared" si="0"/>
        <v>16458</v>
      </c>
      <c r="I12" s="33"/>
    </row>
    <row r="13" spans="1:9" ht="14.5">
      <c r="A13" s="125">
        <v>51</v>
      </c>
      <c r="B13" s="122" t="str">
        <f>VLOOKUP(A13,Materiales[],3,FALSE)</f>
        <v>Union rápida para canaleta EDRN</v>
      </c>
      <c r="C13" s="121" t="str">
        <f>VLOOKUP(A13,Materiales[],4,FALSE)</f>
        <v>UN</v>
      </c>
      <c r="D13" s="118">
        <v>6</v>
      </c>
      <c r="E13" s="335">
        <f>VLOOKUP(A13,Materiales[],5,FALSE)*D13</f>
        <v>0.30000000000000004</v>
      </c>
      <c r="F13" s="123">
        <f>VLOOKUP(A13,Materiales[],6,FALSE)</f>
        <v>9174</v>
      </c>
      <c r="G13" s="123">
        <f t="shared" si="0"/>
        <v>55044</v>
      </c>
      <c r="I13" s="33"/>
    </row>
    <row r="14" spans="1:9" ht="25">
      <c r="A14" s="125">
        <v>47</v>
      </c>
      <c r="B14" s="122" t="str">
        <f>VLOOKUP(A14,Materiales[],3,FALSE)</f>
        <v>Accesorios para fijación de canaleta (tornillería, pegante, chazos, etc)</v>
      </c>
      <c r="C14" s="121" t="str">
        <f>VLOOKUP(A14,Materiales[],4,FALSE)</f>
        <v>JG</v>
      </c>
      <c r="D14" s="118">
        <f>+D8</f>
        <v>12</v>
      </c>
      <c r="E14" s="329">
        <f>VLOOKUP(A14,Materiales[],5,FALSE)*D14</f>
        <v>2.4000000000000004</v>
      </c>
      <c r="F14" s="123">
        <f>VLOOKUP(A14,Materiales[],6,FALSE)</f>
        <v>5227</v>
      </c>
      <c r="G14" s="123">
        <f t="shared" si="0"/>
        <v>62724</v>
      </c>
      <c r="I14" s="33"/>
    </row>
    <row r="15" spans="1:9" ht="13">
      <c r="D15" s="18"/>
      <c r="E15" s="18"/>
      <c r="F15" s="29" t="s">
        <v>1220</v>
      </c>
      <c r="G15" s="42">
        <f>SUM(G8:G14)</f>
        <v>1073320</v>
      </c>
    </row>
    <row r="17" spans="1:9" ht="13">
      <c r="B17" s="20" t="s">
        <v>1221</v>
      </c>
      <c r="G17" s="39"/>
    </row>
    <row r="18" spans="1:9" ht="13">
      <c r="A18" s="119" t="s">
        <v>184</v>
      </c>
      <c r="B18" s="120" t="s">
        <v>1</v>
      </c>
      <c r="C18" s="13" t="s">
        <v>1231</v>
      </c>
      <c r="D18" s="13" t="s">
        <v>1222</v>
      </c>
      <c r="E18" s="13"/>
      <c r="F18" s="13" t="s">
        <v>307</v>
      </c>
      <c r="G18" s="13" t="s">
        <v>752</v>
      </c>
    </row>
    <row r="19" spans="1:9" ht="14.5">
      <c r="A19" s="125">
        <v>1</v>
      </c>
      <c r="B19" s="122" t="str">
        <f>VLOOKUP(A19,Equip.Herram[],2,FALSE)</f>
        <v>Herramienta menor</v>
      </c>
      <c r="C19" s="15" t="str">
        <f>VLOOKUP(A19,Equip.Herram[],3,FALSE)</f>
        <v>UN</v>
      </c>
      <c r="D19" s="36">
        <f>VLOOKUP(A19,Equip.Herram[],4,FALSE)</f>
        <v>24840</v>
      </c>
      <c r="E19" s="36"/>
      <c r="F19" s="16">
        <f>+RENDIMIENTOS!$C$40</f>
        <v>3</v>
      </c>
      <c r="G19" s="36">
        <f>ROUND(D19/F19,0)</f>
        <v>8280</v>
      </c>
    </row>
    <row r="20" spans="1:9">
      <c r="B20" s="14"/>
      <c r="C20" s="15"/>
      <c r="D20" s="17"/>
      <c r="E20" s="17"/>
      <c r="F20" s="22"/>
      <c r="G20" s="21"/>
    </row>
    <row r="21" spans="1:9">
      <c r="B21" s="14"/>
      <c r="C21" s="15"/>
      <c r="D21" s="17"/>
      <c r="E21" s="17"/>
      <c r="F21" s="22"/>
      <c r="G21" s="21"/>
    </row>
    <row r="22" spans="1:9" ht="13">
      <c r="D22" s="18"/>
      <c r="E22" s="18"/>
      <c r="F22" s="19" t="s">
        <v>1220</v>
      </c>
      <c r="G22" s="37">
        <f>SUM(G19:G21)</f>
        <v>8280</v>
      </c>
    </row>
    <row r="23" spans="1:9" ht="13">
      <c r="D23" s="18"/>
      <c r="E23" s="18"/>
      <c r="F23" s="18"/>
      <c r="G23" s="23"/>
    </row>
    <row r="24" spans="1:9" ht="13">
      <c r="B24" s="11" t="s">
        <v>1223</v>
      </c>
      <c r="G24" s="24"/>
    </row>
    <row r="25" spans="1:9" ht="13">
      <c r="A25" s="119" t="s">
        <v>184</v>
      </c>
      <c r="B25" s="12" t="s">
        <v>1</v>
      </c>
      <c r="C25" s="13" t="s">
        <v>185</v>
      </c>
      <c r="D25" s="13" t="s">
        <v>1230</v>
      </c>
      <c r="E25" s="13"/>
      <c r="F25" s="13" t="s">
        <v>1233</v>
      </c>
      <c r="G25" s="25" t="s">
        <v>752</v>
      </c>
      <c r="I25" s="39"/>
    </row>
    <row r="26" spans="1:9" ht="26.5" customHeight="1">
      <c r="A26" s="125">
        <v>1</v>
      </c>
      <c r="B26" s="122" t="str">
        <f>VLOOKUP(A26,Transporte[],2,FALSE)</f>
        <v>Carga terrestre Bogotá - Teorama</v>
      </c>
      <c r="C26" s="27" t="s">
        <v>1234</v>
      </c>
      <c r="D26" s="118">
        <f>+SUM(E8:E14)</f>
        <v>11.127500000000001</v>
      </c>
      <c r="E26" s="118"/>
      <c r="F26" s="142">
        <f>VLOOKUP(A26,Transporte[],7,FALSE)</f>
        <v>214.17955999999998</v>
      </c>
      <c r="G26" s="35">
        <f>D26*F26</f>
        <v>2383.2830539000001</v>
      </c>
    </row>
    <row r="27" spans="1:9" ht="13.4" customHeight="1">
      <c r="A27" s="125">
        <v>3</v>
      </c>
      <c r="B27" s="122" t="str">
        <f>VLOOKUP(A27,Transporte[],2,FALSE)</f>
        <v>Carga terrestre Teorama - Comunidades</v>
      </c>
      <c r="C27" s="27" t="s">
        <v>1234</v>
      </c>
      <c r="D27" s="118">
        <f>+SUM(E8:E14)</f>
        <v>11.127500000000001</v>
      </c>
      <c r="E27" s="118"/>
      <c r="F27" s="142">
        <f>VLOOKUP(A27,Transporte[],7,FALSE)</f>
        <v>1491</v>
      </c>
      <c r="G27" s="35">
        <f>D27*F27</f>
        <v>16591.102500000001</v>
      </c>
    </row>
    <row r="28" spans="1:9" ht="13.4" customHeight="1">
      <c r="B28" s="26"/>
      <c r="C28" s="27"/>
      <c r="D28" s="28"/>
      <c r="E28" s="28"/>
      <c r="F28" s="35"/>
      <c r="G28" s="35"/>
    </row>
    <row r="29" spans="1:9" ht="13">
      <c r="D29" s="18"/>
      <c r="E29" s="18"/>
      <c r="F29" s="29" t="s">
        <v>1220</v>
      </c>
      <c r="G29" s="37">
        <f>SUM(G26:G28)</f>
        <v>18974.3855539</v>
      </c>
    </row>
    <row r="30" spans="1:9" ht="13">
      <c r="D30" s="18"/>
      <c r="E30" s="18"/>
      <c r="G30" s="23"/>
    </row>
    <row r="31" spans="1:9" ht="13">
      <c r="B31" s="11" t="s">
        <v>1225</v>
      </c>
      <c r="D31" s="30"/>
      <c r="E31" s="30"/>
      <c r="F31" s="31"/>
      <c r="G31" s="24"/>
    </row>
    <row r="32" spans="1:9" s="18" customFormat="1" ht="13">
      <c r="A32" s="119" t="s">
        <v>184</v>
      </c>
      <c r="B32" s="12" t="s">
        <v>1</v>
      </c>
      <c r="C32" s="13" t="s">
        <v>1226</v>
      </c>
      <c r="D32" s="13" t="s">
        <v>1227</v>
      </c>
      <c r="E32" s="13"/>
      <c r="F32" s="13" t="s">
        <v>307</v>
      </c>
      <c r="G32" s="25" t="s">
        <v>752</v>
      </c>
    </row>
    <row r="33" spans="1:9" ht="14.5">
      <c r="A33" s="125">
        <v>1</v>
      </c>
      <c r="B33" s="122" t="str">
        <f>VLOOKUP(A33,ManoObra[],2,FALSE)</f>
        <v>Electricista</v>
      </c>
      <c r="C33" s="40">
        <f>VLOOKUP(A33,ManoObra[],7,FALSE)</f>
        <v>71863</v>
      </c>
      <c r="D33" s="22">
        <f>FP!$B$28</f>
        <v>1.61</v>
      </c>
      <c r="E33" s="22"/>
      <c r="F33" s="16">
        <f>+RENDIMIENTOS!$C$40</f>
        <v>3</v>
      </c>
      <c r="G33" s="36">
        <f>ROUND(C33*D33/F33,0)</f>
        <v>38566</v>
      </c>
      <c r="I33" s="81"/>
    </row>
    <row r="34" spans="1:9" ht="14.5">
      <c r="A34" s="125">
        <v>2</v>
      </c>
      <c r="B34" s="122" t="str">
        <f>VLOOKUP(A34,ManoObra[],2,FALSE)</f>
        <v>Ayudante</v>
      </c>
      <c r="C34" s="40">
        <f>VLOOKUP(A34,ManoObra[],7,FALSE)</f>
        <v>66050</v>
      </c>
      <c r="D34" s="22">
        <f>FP!$B$28</f>
        <v>1.61</v>
      </c>
      <c r="E34" s="22"/>
      <c r="F34" s="16">
        <f>+RENDIMIENTOS!$C$40</f>
        <v>3</v>
      </c>
      <c r="G34" s="36">
        <f>ROUND(C34*D34/F34,0)</f>
        <v>35447</v>
      </c>
      <c r="I34" s="81"/>
    </row>
    <row r="35" spans="1:9" ht="13">
      <c r="D35" s="18"/>
      <c r="E35" s="18"/>
      <c r="F35" s="29" t="s">
        <v>1220</v>
      </c>
      <c r="G35" s="42">
        <f>SUM(G33:G34)</f>
        <v>74013</v>
      </c>
    </row>
    <row r="36" spans="1:9" ht="13">
      <c r="D36" s="18"/>
      <c r="E36" s="18"/>
      <c r="G36" s="24"/>
    </row>
    <row r="37" spans="1:9" ht="12.75" customHeight="1">
      <c r="A37"/>
      <c r="D37" s="1725" t="s">
        <v>1228</v>
      </c>
      <c r="E37" s="1730"/>
      <c r="F37" s="1726"/>
      <c r="G37" s="38">
        <f>G15+G22+G29+G35</f>
        <v>1174587.3855538999</v>
      </c>
    </row>
    <row r="38" spans="1:9" ht="13">
      <c r="A38" s="441"/>
      <c r="B38" s="441"/>
      <c r="D38" s="18"/>
      <c r="E38" s="18"/>
      <c r="F38" s="10"/>
      <c r="G38" s="41"/>
    </row>
    <row r="39" spans="1:9" ht="14">
      <c r="A39" s="442"/>
      <c r="B39" s="840"/>
    </row>
    <row r="40" spans="1:9" ht="42">
      <c r="B40" s="1028" t="s">
        <v>1235</v>
      </c>
    </row>
  </sheetData>
  <mergeCells count="4">
    <mergeCell ref="B3:F3"/>
    <mergeCell ref="B4:D4"/>
    <mergeCell ref="D37:F37"/>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4B640-66F0-4D1A-9F72-48385293A0B2}">
  <sheetPr>
    <tabColor rgb="FFFF0000"/>
    <pageSetUpPr fitToPage="1"/>
  </sheetPr>
  <dimension ref="A1:I40"/>
  <sheetViews>
    <sheetView view="pageBreakPreview" zoomScale="80" zoomScaleNormal="100" zoomScaleSheetLayoutView="80" workbookViewId="0">
      <selection activeCell="B19" sqref="B19"/>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2.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MR 15 KW'!A18)</f>
        <v>ITEM:  4.1.13</v>
      </c>
      <c r="C3" s="1728"/>
      <c r="D3" s="1728"/>
      <c r="E3" s="1728"/>
      <c r="F3" s="1728"/>
      <c r="G3" s="6" t="s">
        <v>1229</v>
      </c>
      <c r="H3" s="7"/>
    </row>
    <row r="4" spans="1:9" ht="78.75" customHeight="1">
      <c r="B4" s="1722" t="str">
        <f>+'PRES MR 15 KW'!B18</f>
        <v>Suministro, transporte e instalación de sistema puesta a tierra con 4 varillas de cobre 5/8" x 2,4m bajante en cable de cobre desnudo calibre 2 AWG con soldadura exotérmica. Incluye barraje de puesta a tierra principal, suelo mejorado, cableado de equipotenciaciación de equipos y estructuras, bajante y electrodos</v>
      </c>
      <c r="C4" s="1723"/>
      <c r="D4" s="1724"/>
      <c r="E4" s="328"/>
      <c r="G4" s="8" t="str">
        <f>+'PRES MR 15 KW'!C18</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238</v>
      </c>
      <c r="B8" s="122" t="str">
        <f>VLOOKUP(A8,Materiales[],3,FALSE)</f>
        <v>Cable Cu THHN 2 AWG</v>
      </c>
      <c r="C8" s="121" t="str">
        <f>VLOOKUP(A8,Materiales[],4,FALSE)</f>
        <v>ML</v>
      </c>
      <c r="D8" s="118">
        <v>40</v>
      </c>
      <c r="E8" s="329">
        <f>VLOOKUP(A8,Materiales[],5,FALSE)*D8</f>
        <v>14</v>
      </c>
      <c r="F8" s="123">
        <f>VLOOKUP(A8,Materiales[],6,FALSE)</f>
        <v>27478</v>
      </c>
      <c r="G8" s="123">
        <f>ROUND(D8*F8,0)</f>
        <v>1099120</v>
      </c>
      <c r="I8" s="33"/>
    </row>
    <row r="9" spans="1:9" ht="14.5">
      <c r="A9" s="125">
        <v>68</v>
      </c>
      <c r="B9" s="122" t="str">
        <f>VLOOKUP(A9,Materiales[],3,FALSE)</f>
        <v>Varilla de cobre 5/8 x 2.4 m</v>
      </c>
      <c r="C9" s="121" t="str">
        <f>VLOOKUP(A9,Materiales[],4,FALSE)</f>
        <v>UN</v>
      </c>
      <c r="D9" s="118">
        <v>4</v>
      </c>
      <c r="E9" s="329">
        <f>VLOOKUP(A9,Materiales[],5,FALSE)*D9</f>
        <v>12.28</v>
      </c>
      <c r="F9" s="123">
        <f>VLOOKUP(A9,Materiales[],6,FALSE)</f>
        <v>248458</v>
      </c>
      <c r="G9" s="123">
        <f t="shared" ref="G9:G14" si="0">ROUND(D9*F9,0)</f>
        <v>993832</v>
      </c>
      <c r="I9" s="33"/>
    </row>
    <row r="10" spans="1:9" ht="14.5">
      <c r="A10" s="125">
        <v>69</v>
      </c>
      <c r="B10" s="122" t="str">
        <f>VLOOKUP(A10,Materiales[],3,FALSE)</f>
        <v>Soldadura exotermina 90 gr</v>
      </c>
      <c r="C10" s="121" t="str">
        <f>VLOOKUP(A10,Materiales[],4,FALSE)</f>
        <v>UN</v>
      </c>
      <c r="D10" s="118">
        <v>16</v>
      </c>
      <c r="E10" s="329">
        <f>VLOOKUP(A10,Materiales[],5,FALSE)*D10</f>
        <v>1.44</v>
      </c>
      <c r="F10" s="123">
        <f>VLOOKUP(A10,Materiales[],6,FALSE)</f>
        <v>23575</v>
      </c>
      <c r="G10" s="123">
        <f t="shared" si="0"/>
        <v>377200</v>
      </c>
      <c r="I10" s="33"/>
    </row>
    <row r="11" spans="1:9" ht="14.5">
      <c r="A11" s="125">
        <v>71</v>
      </c>
      <c r="B11" s="122" t="str">
        <f>VLOOKUP(A11,Materiales[],3,FALSE)</f>
        <v>Terminal doble ojo #2 AWG</v>
      </c>
      <c r="C11" s="121" t="str">
        <f>VLOOKUP(A11,Materiales[],4,FALSE)</f>
        <v>UN</v>
      </c>
      <c r="D11" s="118">
        <v>2</v>
      </c>
      <c r="E11" s="329">
        <f>VLOOKUP(A11,Materiales[],5,FALSE)*D11</f>
        <v>0.02</v>
      </c>
      <c r="F11" s="123">
        <f>VLOOKUP(A11,Materiales[],6,FALSE)</f>
        <v>5635</v>
      </c>
      <c r="G11" s="123">
        <f t="shared" si="0"/>
        <v>11270</v>
      </c>
      <c r="I11" s="33"/>
    </row>
    <row r="12" spans="1:9" ht="14.5">
      <c r="A12" s="125">
        <v>72</v>
      </c>
      <c r="B12" s="122" t="str">
        <f>VLOOKUP(A12,Materiales[],3,FALSE)</f>
        <v>Caja de inspección 30x30 cm con tapa</v>
      </c>
      <c r="C12" s="121" t="str">
        <f>VLOOKUP(A12,Materiales[],4,FALSE)</f>
        <v>UN</v>
      </c>
      <c r="D12" s="118">
        <v>1</v>
      </c>
      <c r="E12" s="329">
        <f>VLOOKUP(A12,Materiales[],5,FALSE)*D12</f>
        <v>10</v>
      </c>
      <c r="F12" s="123">
        <f>VLOOKUP(A12,Materiales[],6,FALSE)</f>
        <v>126035</v>
      </c>
      <c r="G12" s="123">
        <f t="shared" si="0"/>
        <v>126035</v>
      </c>
      <c r="I12" s="33"/>
    </row>
    <row r="13" spans="1:9" ht="37.5">
      <c r="A13" s="125">
        <v>73</v>
      </c>
      <c r="B13" s="122" t="str">
        <f>VLOOKUP(A13,Materiales[],3,FALSE)</f>
        <v>Kit de barra de cobre para puesta tierra de 10 conectores con área transversal no menor a 21,14 mm2. Incluye aisladores y accesorios de sujeción</v>
      </c>
      <c r="C13" s="121" t="str">
        <f>VLOOKUP(A13,Materiales[],4,FALSE)</f>
        <v>UN</v>
      </c>
      <c r="D13" s="118">
        <v>2</v>
      </c>
      <c r="E13" s="329">
        <f>VLOOKUP(A13,Materiales[],5,FALSE)*D13</f>
        <v>1</v>
      </c>
      <c r="F13" s="123">
        <f>VLOOKUP(A13,Materiales[],6,FALSE)</f>
        <v>52759</v>
      </c>
      <c r="G13" s="123">
        <f t="shared" si="0"/>
        <v>105518</v>
      </c>
      <c r="I13" s="33"/>
    </row>
    <row r="14" spans="1:9" ht="14.5">
      <c r="A14" s="125">
        <v>239</v>
      </c>
      <c r="B14" s="122" t="str">
        <f>VLOOKUP(A14,Materiales[],3,FALSE)</f>
        <v>Cable Cu THHN 1/0 AWG</v>
      </c>
      <c r="C14" s="121" t="str">
        <f>VLOOKUP(A14,Materiales[],4,FALSE)</f>
        <v>ML</v>
      </c>
      <c r="D14" s="333">
        <f>7.35+2.625+2.1</f>
        <v>12.074999999999999</v>
      </c>
      <c r="E14" s="329">
        <f>VLOOKUP(A14,Materiales[],5,FALSE)*D14</f>
        <v>6.6170999999999998</v>
      </c>
      <c r="F14" s="123">
        <f>VLOOKUP(A14,Materiales[],6,FALSE)</f>
        <v>45423</v>
      </c>
      <c r="G14" s="123">
        <f t="shared" si="0"/>
        <v>548483</v>
      </c>
      <c r="I14" s="33"/>
    </row>
    <row r="15" spans="1:9" ht="13">
      <c r="D15" s="18"/>
      <c r="E15" s="18"/>
      <c r="F15" s="29" t="s">
        <v>1220</v>
      </c>
      <c r="G15" s="42">
        <f>SUM(G8:G14)</f>
        <v>3261458</v>
      </c>
    </row>
    <row r="17" spans="1:9" ht="13">
      <c r="B17" s="20" t="s">
        <v>1221</v>
      </c>
      <c r="G17" s="39"/>
    </row>
    <row r="18" spans="1:9" ht="13">
      <c r="A18" s="119" t="s">
        <v>184</v>
      </c>
      <c r="B18" s="120" t="s">
        <v>1</v>
      </c>
      <c r="C18" s="13" t="s">
        <v>1231</v>
      </c>
      <c r="D18" s="13" t="s">
        <v>1222</v>
      </c>
      <c r="E18" s="13"/>
      <c r="F18" s="13" t="s">
        <v>307</v>
      </c>
      <c r="G18" s="13" t="s">
        <v>752</v>
      </c>
    </row>
    <row r="19" spans="1:9" ht="14.5">
      <c r="A19" s="125">
        <v>1</v>
      </c>
      <c r="B19" s="122" t="str">
        <f>VLOOKUP(A19,Equip.Herram[],2,FALSE)</f>
        <v>Herramienta menor</v>
      </c>
      <c r="C19" s="15" t="str">
        <f>VLOOKUP(A19,Equip.Herram[],3,FALSE)</f>
        <v>UN</v>
      </c>
      <c r="D19" s="36">
        <f>VLOOKUP(A19,Equip.Herram[],4,FALSE)</f>
        <v>24840</v>
      </c>
      <c r="E19" s="36"/>
      <c r="F19" s="16">
        <f>+RENDIMIENTOS!$C$43</f>
        <v>2</v>
      </c>
      <c r="G19" s="36">
        <f>ROUND(D19/F19,0)</f>
        <v>12420</v>
      </c>
    </row>
    <row r="20" spans="1:9">
      <c r="B20" s="14"/>
      <c r="C20" s="15"/>
      <c r="D20" s="17"/>
      <c r="E20" s="17"/>
      <c r="F20" s="22"/>
      <c r="G20" s="21"/>
    </row>
    <row r="21" spans="1:9">
      <c r="B21" s="14"/>
      <c r="C21" s="15"/>
      <c r="D21" s="17"/>
      <c r="E21" s="17"/>
      <c r="F21" s="22"/>
      <c r="G21" s="21"/>
    </row>
    <row r="22" spans="1:9" ht="13">
      <c r="D22" s="18"/>
      <c r="E22" s="18"/>
      <c r="F22" s="19" t="s">
        <v>1220</v>
      </c>
      <c r="G22" s="37">
        <f>SUM(G19:G21)</f>
        <v>12420</v>
      </c>
    </row>
    <row r="23" spans="1:9" ht="13">
      <c r="D23" s="18"/>
      <c r="E23" s="18"/>
      <c r="F23" s="18"/>
      <c r="G23" s="23"/>
    </row>
    <row r="24" spans="1:9" ht="13">
      <c r="B24" s="11" t="s">
        <v>1223</v>
      </c>
      <c r="G24" s="24"/>
    </row>
    <row r="25" spans="1:9" ht="13">
      <c r="A25" s="119" t="s">
        <v>184</v>
      </c>
      <c r="B25" s="12" t="s">
        <v>1</v>
      </c>
      <c r="C25" s="13" t="s">
        <v>185</v>
      </c>
      <c r="D25" s="13" t="s">
        <v>1230</v>
      </c>
      <c r="E25" s="13"/>
      <c r="F25" s="13" t="s">
        <v>1233</v>
      </c>
      <c r="G25" s="25" t="s">
        <v>752</v>
      </c>
      <c r="I25" s="39"/>
    </row>
    <row r="26" spans="1:9" ht="26.5" customHeight="1">
      <c r="A26" s="125">
        <v>1</v>
      </c>
      <c r="B26" s="122" t="str">
        <f>VLOOKUP(A26,Transporte[],2,FALSE)</f>
        <v>Carga terrestre Bogotá - Teorama</v>
      </c>
      <c r="C26" s="27" t="s">
        <v>1234</v>
      </c>
      <c r="D26" s="118">
        <f>+SUM(E8:E14)</f>
        <v>45.357100000000003</v>
      </c>
      <c r="E26" s="118"/>
      <c r="F26" s="142">
        <f>VLOOKUP(A26,Transporte[],7,FALSE)</f>
        <v>214.17955999999998</v>
      </c>
      <c r="G26" s="35">
        <f>D26*F26</f>
        <v>9714.5637208759999</v>
      </c>
    </row>
    <row r="27" spans="1:9" ht="13.4" customHeight="1">
      <c r="A27" s="125">
        <v>3</v>
      </c>
      <c r="B27" s="122" t="str">
        <f>VLOOKUP(A27,Transporte[],2,FALSE)</f>
        <v>Carga terrestre Teorama - Comunidades</v>
      </c>
      <c r="C27" s="27" t="s">
        <v>1234</v>
      </c>
      <c r="D27" s="118">
        <f>+SUM(E8:E14)</f>
        <v>45.357100000000003</v>
      </c>
      <c r="E27" s="118"/>
      <c r="F27" s="142">
        <f>VLOOKUP(A27,Transporte[],7,FALSE)</f>
        <v>1491</v>
      </c>
      <c r="G27" s="35">
        <f>D27*F27</f>
        <v>67627.436100000006</v>
      </c>
    </row>
    <row r="28" spans="1:9" ht="13.4" customHeight="1">
      <c r="B28" s="26"/>
      <c r="C28" s="27"/>
      <c r="D28" s="28"/>
      <c r="E28" s="28"/>
      <c r="F28" s="35"/>
      <c r="G28" s="35"/>
    </row>
    <row r="29" spans="1:9" ht="13">
      <c r="D29" s="18"/>
      <c r="E29" s="18"/>
      <c r="F29" s="29" t="s">
        <v>1220</v>
      </c>
      <c r="G29" s="37">
        <f>SUM(G26:G28)</f>
        <v>77341.999820876008</v>
      </c>
    </row>
    <row r="30" spans="1:9" ht="13">
      <c r="D30" s="18"/>
      <c r="E30" s="18"/>
      <c r="G30" s="23"/>
    </row>
    <row r="31" spans="1:9" ht="13">
      <c r="B31" s="11" t="s">
        <v>1225</v>
      </c>
      <c r="D31" s="30"/>
      <c r="E31" s="30"/>
      <c r="F31" s="31"/>
      <c r="G31" s="24"/>
    </row>
    <row r="32" spans="1:9" s="18" customFormat="1" ht="13">
      <c r="A32" s="119" t="s">
        <v>184</v>
      </c>
      <c r="B32" s="12" t="s">
        <v>1</v>
      </c>
      <c r="C32" s="13" t="s">
        <v>1226</v>
      </c>
      <c r="D32" s="13" t="s">
        <v>1227</v>
      </c>
      <c r="E32" s="13"/>
      <c r="F32" s="13" t="s">
        <v>307</v>
      </c>
      <c r="G32" s="25" t="s">
        <v>752</v>
      </c>
    </row>
    <row r="33" spans="1:9" ht="14.5">
      <c r="A33" s="125">
        <v>1</v>
      </c>
      <c r="B33" s="122" t="str">
        <f>VLOOKUP(A33,ManoObra[],2,FALSE)</f>
        <v>Electricista</v>
      </c>
      <c r="C33" s="40">
        <f>VLOOKUP(A33,ManoObra[],7,FALSE)</f>
        <v>71863</v>
      </c>
      <c r="D33" s="22">
        <f>FP!$B$28</f>
        <v>1.61</v>
      </c>
      <c r="E33" s="22"/>
      <c r="F33" s="16">
        <f>+RENDIMIENTOS!$C$43</f>
        <v>2</v>
      </c>
      <c r="G33" s="36">
        <f>ROUND(C33*D33/F33,0)</f>
        <v>57850</v>
      </c>
      <c r="I33" s="81"/>
    </row>
    <row r="34" spans="1:9" ht="14.5">
      <c r="A34" s="125">
        <v>2</v>
      </c>
      <c r="B34" s="122" t="str">
        <f>VLOOKUP(A34,ManoObra[],2,FALSE)</f>
        <v>Ayudante</v>
      </c>
      <c r="C34" s="40">
        <f>VLOOKUP(A34,ManoObra[],7,FALSE)</f>
        <v>66050</v>
      </c>
      <c r="D34" s="22">
        <f>FP!$B$28</f>
        <v>1.61</v>
      </c>
      <c r="E34" s="22"/>
      <c r="F34" s="16">
        <f>+RENDIMIENTOS!$C$43</f>
        <v>2</v>
      </c>
      <c r="G34" s="36">
        <f>ROUND(C34*D34/F34,0)</f>
        <v>53170</v>
      </c>
      <c r="I34" s="81"/>
    </row>
    <row r="35" spans="1:9" ht="13">
      <c r="D35" s="18"/>
      <c r="E35" s="18"/>
      <c r="F35" s="29" t="s">
        <v>1220</v>
      </c>
      <c r="G35" s="42">
        <f>SUM(G33:G34)</f>
        <v>111020</v>
      </c>
    </row>
    <row r="36" spans="1:9" ht="13">
      <c r="D36" s="18"/>
      <c r="E36" s="18"/>
      <c r="G36" s="24"/>
    </row>
    <row r="37" spans="1:9" ht="12.75" customHeight="1">
      <c r="A37"/>
      <c r="D37" s="1725" t="s">
        <v>1228</v>
      </c>
      <c r="E37" s="1730"/>
      <c r="F37" s="1726"/>
      <c r="G37" s="38">
        <f>G15+G22+G29+G35</f>
        <v>3462239.9998208759</v>
      </c>
    </row>
    <row r="38" spans="1:9" ht="13">
      <c r="A38" s="441"/>
      <c r="B38" s="441"/>
      <c r="D38" s="18"/>
      <c r="E38" s="18"/>
      <c r="F38" s="10"/>
      <c r="G38" s="41"/>
    </row>
    <row r="39" spans="1:9" ht="14">
      <c r="A39" s="442"/>
      <c r="B39" s="840"/>
    </row>
    <row r="40" spans="1:9" ht="42">
      <c r="B40" s="1028" t="s">
        <v>1235</v>
      </c>
    </row>
  </sheetData>
  <mergeCells count="4">
    <mergeCell ref="B3:F3"/>
    <mergeCell ref="B4:D4"/>
    <mergeCell ref="D37:F37"/>
    <mergeCell ref="A1:G1"/>
  </mergeCells>
  <printOptions horizontalCentered="1"/>
  <pageMargins left="0.70866141732283472" right="0.70866141732283472" top="1.5748031496062993" bottom="0.98425196850393704" header="0.98425196850393704" footer="0.51181102362204722"/>
  <pageSetup scale="76" orientation="portrait" r:id="rId1"/>
  <headerFooter alignWithMargins="0">
    <oddHeader xml:space="preserve">&amp;C&amp;"Arial,Negrita"&amp;12ANÁLISIS DE PRECIOS UNITARIOS
</oddHeader>
  </headerFooter>
  <drawing r:id="rId2"/>
  <legacyDrawing r:id="rId3"/>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0" tint="-0.14999847407452621"/>
    <pageSetUpPr fitToPage="1"/>
  </sheetPr>
  <dimension ref="A1:I48"/>
  <sheetViews>
    <sheetView view="pageBreakPreview" zoomScale="80" zoomScaleNormal="100" zoomScaleSheetLayoutView="80" workbookViewId="0">
      <selection activeCell="L7" sqref="L7"/>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5.453125" style="5" customWidth="1"/>
    <col min="8" max="8" width="6.453125" style="5" customWidth="1"/>
    <col min="9" max="9" width="11.453125" style="5"/>
    <col min="10" max="10" width="11.54296875" style="5" bestFit="1" customWidth="1"/>
    <col min="11" max="16384" width="11.453125" style="5"/>
  </cols>
  <sheetData>
    <row r="1" spans="1:9" ht="30.6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str">
        <f>CONCATENATE("ITEM:  ",'PRES GENERAL MR(OXI)'!A37)</f>
        <v>ITEM:  6,1</v>
      </c>
      <c r="C3" s="1728"/>
      <c r="D3" s="1728"/>
      <c r="E3" s="1728"/>
      <c r="F3" s="1728"/>
      <c r="G3" s="6" t="s">
        <v>1229</v>
      </c>
      <c r="H3" s="7"/>
    </row>
    <row r="4" spans="1:9" ht="142.4" customHeight="1">
      <c r="B4" s="1722" t="s">
        <v>1302</v>
      </c>
      <c r="C4" s="1723"/>
      <c r="D4" s="1724"/>
      <c r="E4" s="328"/>
      <c r="G4" s="8" t="str">
        <f>+'PRES GENERAL MR(OXI)'!C37</f>
        <v>UN</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25">
      <c r="A8" s="125">
        <v>119</v>
      </c>
      <c r="B8" s="122" t="str">
        <f>VLOOKUP(A8,Materiales[],3,FALSE)</f>
        <v>Interruptor termomagnético enchufable 1 x 20 A, 120 VAC - 10 KA</v>
      </c>
      <c r="C8" s="121" t="str">
        <f>VLOOKUP(A8,Materiales[],4,FALSE)</f>
        <v>UN</v>
      </c>
      <c r="D8" s="118">
        <v>2</v>
      </c>
      <c r="E8" s="329">
        <f>VLOOKUP(A8,Materiales[],5,FALSE)*D8</f>
        <v>0.48</v>
      </c>
      <c r="F8" s="123">
        <f>VLOOKUP(A8,Materiales[],6,FALSE)</f>
        <v>15065</v>
      </c>
      <c r="G8" s="123">
        <f t="shared" ref="G8:G16" si="0">ROUND(D8*F8,0)</f>
        <v>30130</v>
      </c>
      <c r="I8" s="33"/>
    </row>
    <row r="9" spans="1:9" ht="14.5">
      <c r="A9" s="125">
        <v>124</v>
      </c>
      <c r="B9" s="122" t="str">
        <f>VLOOKUP(A9,Materiales[],3,FALSE)</f>
        <v>Cable Cu THHN 12 AWG</v>
      </c>
      <c r="C9" s="121" t="str">
        <f>VLOOKUP(A9,Materiales[],4,FALSE)</f>
        <v>ML</v>
      </c>
      <c r="D9" s="118">
        <v>70</v>
      </c>
      <c r="E9" s="329">
        <f>VLOOKUP(A9,Materiales[],5,FALSE)*D9</f>
        <v>2.3800000000000003</v>
      </c>
      <c r="F9" s="123">
        <f>VLOOKUP(A9,Materiales[],6,FALSE)</f>
        <v>3260</v>
      </c>
      <c r="G9" s="123">
        <f t="shared" si="0"/>
        <v>228200</v>
      </c>
      <c r="I9" s="33"/>
    </row>
    <row r="10" spans="1:9" ht="14.5">
      <c r="A10" s="125">
        <v>386</v>
      </c>
      <c r="B10" s="122" t="str">
        <f>VLOOKUP(A10,Materiales[],3,FALSE)</f>
        <v>Cable Cu THHN 12 AWG verde</v>
      </c>
      <c r="C10" s="121" t="str">
        <f>VLOOKUP(A10,Materiales[],4,FALSE)</f>
        <v>ML</v>
      </c>
      <c r="D10" s="118">
        <v>33</v>
      </c>
      <c r="E10" s="329">
        <f>VLOOKUP(A10,Materiales[],5,FALSE)*D10</f>
        <v>1.1220000000000001</v>
      </c>
      <c r="F10" s="123">
        <f>VLOOKUP(A10,Materiales[],6,FALSE)</f>
        <v>3260</v>
      </c>
      <c r="G10" s="123">
        <f t="shared" si="0"/>
        <v>107580</v>
      </c>
      <c r="I10" s="33"/>
    </row>
    <row r="11" spans="1:9" ht="14.5">
      <c r="A11" s="125">
        <v>66</v>
      </c>
      <c r="B11" s="122" t="str">
        <f>VLOOKUP(A11,Materiales[],3,FALSE)</f>
        <v>Caja PVC 2" x 4"</v>
      </c>
      <c r="C11" s="121" t="str">
        <f>VLOOKUP(A11,Materiales[],4,FALSE)</f>
        <v>UN</v>
      </c>
      <c r="D11" s="118">
        <v>8</v>
      </c>
      <c r="E11" s="329">
        <f>VLOOKUP(A11,Materiales[],5,FALSE)*D11</f>
        <v>0.08</v>
      </c>
      <c r="F11" s="123">
        <f>VLOOKUP(A11,Materiales[],6,FALSE)</f>
        <v>953</v>
      </c>
      <c r="G11" s="123">
        <f t="shared" si="0"/>
        <v>7624</v>
      </c>
      <c r="I11" s="33"/>
    </row>
    <row r="12" spans="1:9" ht="14.5">
      <c r="A12" s="125">
        <v>123</v>
      </c>
      <c r="B12" s="122" t="str">
        <f>VLOOKUP(A12,Materiales[],3,FALSE)</f>
        <v>Conector tipo resorte No 12 AWG</v>
      </c>
      <c r="C12" s="121" t="str">
        <f>VLOOKUP(A12,Materiales[],4,FALSE)</f>
        <v>UN</v>
      </c>
      <c r="D12" s="118">
        <v>15</v>
      </c>
      <c r="E12" s="329">
        <f>VLOOKUP(A12,Materiales[],5,FALSE)*D12</f>
        <v>0.15</v>
      </c>
      <c r="F12" s="123">
        <f>VLOOKUP(A12,Materiales[],6,FALSE)</f>
        <v>776</v>
      </c>
      <c r="G12" s="123">
        <f t="shared" si="0"/>
        <v>11640</v>
      </c>
      <c r="I12" s="33"/>
    </row>
    <row r="13" spans="1:9" ht="14.5">
      <c r="A13" s="125">
        <v>321</v>
      </c>
      <c r="B13" s="122" t="str">
        <f>VLOOKUP(A13,Materiales[],3,FALSE)</f>
        <v>Curva EMT 1/2"</v>
      </c>
      <c r="C13" s="121" t="str">
        <f>VLOOKUP(A13,Materiales[],4,FALSE)</f>
        <v>UN</v>
      </c>
      <c r="D13" s="118">
        <v>14</v>
      </c>
      <c r="E13" s="329">
        <f>VLOOKUP(A13,Materiales[],5,FALSE)*D13</f>
        <v>0</v>
      </c>
      <c r="F13" s="123">
        <f>VLOOKUP(A13,Materiales[],6,FALSE)</f>
        <v>1898</v>
      </c>
      <c r="G13" s="123">
        <f t="shared" si="0"/>
        <v>26572</v>
      </c>
      <c r="I13" s="33"/>
    </row>
    <row r="14" spans="1:9" ht="14.5">
      <c r="A14" s="125">
        <v>403</v>
      </c>
      <c r="B14" s="122" t="str">
        <f>VLOOKUP(A14,Materiales[],3,FALSE)</f>
        <v>Abrazadera metálica galvanizada doble ala 1/2"</v>
      </c>
      <c r="C14" s="121" t="str">
        <f>VLOOKUP(A14,Materiales[],4,FALSE)</f>
        <v>UN</v>
      </c>
      <c r="D14" s="118">
        <v>30</v>
      </c>
      <c r="E14" s="329">
        <f>VLOOKUP(A14,Materiales[],5,FALSE)*D14</f>
        <v>1.5</v>
      </c>
      <c r="F14" s="123">
        <f>VLOOKUP(A14,Materiales[],6,FALSE)</f>
        <v>288</v>
      </c>
      <c r="G14" s="123">
        <f t="shared" ref="G14" si="1">ROUND(D14*F14,0)</f>
        <v>8640</v>
      </c>
      <c r="I14" s="33"/>
    </row>
    <row r="15" spans="1:9" ht="14.5">
      <c r="A15" s="125">
        <v>122</v>
      </c>
      <c r="B15" s="122" t="str">
        <f>VLOOKUP(A15,Materiales[],3,FALSE)</f>
        <v>Interruptor sencillo</v>
      </c>
      <c r="C15" s="121" t="str">
        <f>VLOOKUP(A15,Materiales[],4,FALSE)</f>
        <v>UN</v>
      </c>
      <c r="D15" s="118">
        <v>4</v>
      </c>
      <c r="E15" s="329">
        <f>VLOOKUP(A15,Materiales[],5,FALSE)*D15</f>
        <v>0.12</v>
      </c>
      <c r="F15" s="123">
        <f>VLOOKUP(A15,Materiales[],6,FALSE)</f>
        <v>6793</v>
      </c>
      <c r="G15" s="123">
        <f t="shared" si="0"/>
        <v>27172</v>
      </c>
      <c r="I15" s="33"/>
    </row>
    <row r="16" spans="1:9" ht="14.5">
      <c r="A16" s="125">
        <v>404</v>
      </c>
      <c r="B16" s="122" t="str">
        <f>VLOOKUP(A16,Materiales[],3,FALSE)</f>
        <v>Papel contact Naranja x pliego</v>
      </c>
      <c r="C16" s="121" t="str">
        <f>VLOOKUP(A16,Materiales[],4,FALSE)</f>
        <v>Pliego</v>
      </c>
      <c r="D16" s="332">
        <v>0.3</v>
      </c>
      <c r="E16" s="329">
        <v>1E-3</v>
      </c>
      <c r="F16" s="123">
        <f>VLOOKUP(A16,Materiales[],6,FALSE)</f>
        <v>33437</v>
      </c>
      <c r="G16" s="123">
        <f t="shared" si="0"/>
        <v>10031</v>
      </c>
      <c r="I16" s="33"/>
    </row>
    <row r="17" spans="1:9" ht="14.5">
      <c r="A17" s="125">
        <v>121</v>
      </c>
      <c r="B17" s="122" t="str">
        <f>VLOOKUP(A17,Materiales[],3,FALSE)</f>
        <v>Plafón de losa</v>
      </c>
      <c r="C17" s="121" t="str">
        <f>VLOOKUP(A17,Materiales[],4,FALSE)</f>
        <v>UN</v>
      </c>
      <c r="D17" s="118">
        <v>4</v>
      </c>
      <c r="E17" s="329">
        <f>VLOOKUP(A17,Materiales[],5,FALSE)*D17</f>
        <v>0.23599999999999999</v>
      </c>
      <c r="F17" s="123">
        <f>VLOOKUP(A17,Materiales[],6,FALSE)</f>
        <v>3161</v>
      </c>
      <c r="G17" s="123">
        <f t="shared" ref="G17:G23" si="2">ROUND(D17*F17,0)</f>
        <v>12644</v>
      </c>
      <c r="I17" s="33"/>
    </row>
    <row r="18" spans="1:9" ht="14.5">
      <c r="A18" s="125">
        <v>118</v>
      </c>
      <c r="B18" s="122" t="str">
        <f>VLOOKUP(A18,Materiales[],3,FALSE)</f>
        <v>Tablero de distribución 1Ø - 3H de 4 circuitos</v>
      </c>
      <c r="C18" s="121" t="str">
        <f>VLOOKUP(A18,Materiales[],4,FALSE)</f>
        <v>UN</v>
      </c>
      <c r="D18" s="118">
        <v>1</v>
      </c>
      <c r="E18" s="329">
        <f>VLOOKUP(A18,Materiales[],5,FALSE)*D18</f>
        <v>1.21</v>
      </c>
      <c r="F18" s="123">
        <f>VLOOKUP(A18,Materiales[],6,FALSE)</f>
        <v>41817</v>
      </c>
      <c r="G18" s="123">
        <f t="shared" ref="G18:G20" si="3">ROUND(D18*F18,0)</f>
        <v>41817</v>
      </c>
      <c r="I18" s="33"/>
    </row>
    <row r="19" spans="1:9" ht="14.5">
      <c r="A19" s="125">
        <v>320</v>
      </c>
      <c r="B19" s="122" t="str">
        <f>VLOOKUP(A19,Materiales[],3,FALSE)</f>
        <v>Terminal EMT 1/2"</v>
      </c>
      <c r="C19" s="121" t="str">
        <f>VLOOKUP(A19,Materiales[],4,FALSE)</f>
        <v>UN</v>
      </c>
      <c r="D19" s="118">
        <v>26</v>
      </c>
      <c r="E19" s="329">
        <f>VLOOKUP(A19,Materiales[],5,FALSE)*D19</f>
        <v>0</v>
      </c>
      <c r="F19" s="123">
        <f>VLOOKUP(A19,Materiales[],6,FALSE)</f>
        <v>1093</v>
      </c>
      <c r="G19" s="123">
        <f t="shared" si="3"/>
        <v>28418</v>
      </c>
      <c r="I19" s="33"/>
    </row>
    <row r="20" spans="1:9" ht="14.5">
      <c r="A20" s="125">
        <v>65</v>
      </c>
      <c r="B20" s="122" t="str">
        <f>VLOOKUP(A20,Materiales[],3,FALSE)</f>
        <v>Tomacorriente doble con polo a tierra</v>
      </c>
      <c r="C20" s="121" t="str">
        <f>VLOOKUP(A20,Materiales[],4,FALSE)</f>
        <v>UN</v>
      </c>
      <c r="D20" s="118">
        <v>7</v>
      </c>
      <c r="E20" s="329">
        <f>VLOOKUP(A20,Materiales[],5,FALSE)*D20</f>
        <v>7.0000000000000007E-2</v>
      </c>
      <c r="F20" s="123">
        <f>VLOOKUP(A20,Materiales[],6,FALSE)</f>
        <v>6843</v>
      </c>
      <c r="G20" s="123">
        <f t="shared" si="3"/>
        <v>47901</v>
      </c>
      <c r="I20" s="33"/>
    </row>
    <row r="21" spans="1:9" ht="14.5">
      <c r="A21" s="125">
        <v>125</v>
      </c>
      <c r="B21" s="122" t="str">
        <f>VLOOKUP(A21,Materiales[],3,FALSE)</f>
        <v>Tornillo metálico galvanizado 1/4" x 1" con arandela</v>
      </c>
      <c r="C21" s="121" t="str">
        <f>VLOOKUP(A21,Materiales[],4,FALSE)</f>
        <v>UN</v>
      </c>
      <c r="D21" s="118">
        <v>60</v>
      </c>
      <c r="E21" s="329">
        <f>VLOOKUP(A21,Materiales[],5,FALSE)*D21</f>
        <v>0.06</v>
      </c>
      <c r="F21" s="123">
        <f>VLOOKUP(A21,Materiales[],6,FALSE)</f>
        <v>466</v>
      </c>
      <c r="G21" s="123">
        <f t="shared" si="2"/>
        <v>27960</v>
      </c>
      <c r="I21" s="33"/>
    </row>
    <row r="22" spans="1:9" ht="14.5">
      <c r="A22" s="125">
        <v>311</v>
      </c>
      <c r="B22" s="122" t="str">
        <f>VLOOKUP(A22,Materiales[],3,FALSE)</f>
        <v>Tubo EMT 1/2 x 3m</v>
      </c>
      <c r="C22" s="121" t="str">
        <f>VLOOKUP(A22,Materiales[],4,FALSE)</f>
        <v>UN</v>
      </c>
      <c r="D22" s="118">
        <v>11</v>
      </c>
      <c r="E22" s="329">
        <f>VLOOKUP(A22,Materiales[],5,FALSE)*D22</f>
        <v>11</v>
      </c>
      <c r="F22" s="123">
        <f>VLOOKUP(A22,Materiales[],6,FALSE)</f>
        <v>22770</v>
      </c>
      <c r="G22" s="123">
        <f t="shared" si="2"/>
        <v>250470</v>
      </c>
      <c r="I22" s="33"/>
    </row>
    <row r="23" spans="1:9" ht="14.5">
      <c r="A23" s="125">
        <v>319</v>
      </c>
      <c r="B23" s="122" t="str">
        <f>VLOOKUP(A23,Materiales[],3,FALSE)</f>
        <v>Union EMT 1/2"</v>
      </c>
      <c r="C23" s="121" t="str">
        <f>VLOOKUP(A23,Materiales[],4,FALSE)</f>
        <v>UN</v>
      </c>
      <c r="D23" s="118">
        <v>28</v>
      </c>
      <c r="E23" s="329">
        <f>VLOOKUP(A23,Materiales[],5,FALSE)*D23</f>
        <v>0</v>
      </c>
      <c r="F23" s="123">
        <f>VLOOKUP(A23,Materiales[],6,FALSE)</f>
        <v>1610</v>
      </c>
      <c r="G23" s="123">
        <f t="shared" si="2"/>
        <v>45080</v>
      </c>
      <c r="I23" s="33"/>
    </row>
    <row r="24" spans="1:9" ht="13">
      <c r="D24" s="18"/>
      <c r="E24" s="18"/>
      <c r="F24" s="29" t="s">
        <v>1220</v>
      </c>
      <c r="G24" s="42">
        <f>SUM(G8:G23)</f>
        <v>911879</v>
      </c>
    </row>
    <row r="26" spans="1:9" ht="13">
      <c r="B26" s="20" t="s">
        <v>1221</v>
      </c>
      <c r="G26" s="39"/>
    </row>
    <row r="27" spans="1:9" ht="13">
      <c r="A27" s="119" t="s">
        <v>184</v>
      </c>
      <c r="B27" s="120" t="s">
        <v>1</v>
      </c>
      <c r="C27" s="13" t="s">
        <v>1231</v>
      </c>
      <c r="D27" s="13" t="s">
        <v>1222</v>
      </c>
      <c r="E27" s="13"/>
      <c r="F27" s="13" t="s">
        <v>307</v>
      </c>
      <c r="G27" s="13" t="s">
        <v>752</v>
      </c>
    </row>
    <row r="28" spans="1:9" ht="14.5">
      <c r="A28" s="125">
        <v>1</v>
      </c>
      <c r="B28" s="122" t="str">
        <f>VLOOKUP(A28,Equip.Herram[],2,FALSE)</f>
        <v>Herramienta menor</v>
      </c>
      <c r="C28" s="15" t="str">
        <f>VLOOKUP(A28,Equip.Herram[],3,FALSE)</f>
        <v>UN</v>
      </c>
      <c r="D28" s="36">
        <f>VLOOKUP(A28,Equip.Herram[],4,FALSE)</f>
        <v>24840</v>
      </c>
      <c r="E28" s="36"/>
      <c r="F28" s="16">
        <v>1</v>
      </c>
      <c r="G28" s="36">
        <f>ROUND(D28/F28,0)</f>
        <v>24840</v>
      </c>
    </row>
    <row r="29" spans="1:9" ht="14.5">
      <c r="A29" s="125"/>
      <c r="B29" s="122"/>
      <c r="C29" s="15"/>
      <c r="D29" s="36"/>
      <c r="E29" s="36"/>
      <c r="F29" s="16"/>
      <c r="G29" s="36"/>
    </row>
    <row r="30" spans="1:9">
      <c r="B30" s="14"/>
      <c r="C30" s="15"/>
      <c r="D30" s="17"/>
      <c r="E30" s="17"/>
      <c r="F30" s="22"/>
      <c r="G30" s="21"/>
    </row>
    <row r="31" spans="1:9" ht="13">
      <c r="D31" s="18"/>
      <c r="E31" s="18"/>
      <c r="F31" s="19" t="s">
        <v>1220</v>
      </c>
      <c r="G31" s="37">
        <f>SUM(G28:G30)</f>
        <v>24840</v>
      </c>
    </row>
    <row r="32" spans="1:9" ht="13">
      <c r="D32" s="18"/>
      <c r="E32" s="18"/>
      <c r="F32" s="18"/>
      <c r="G32" s="23"/>
    </row>
    <row r="33" spans="1:9" ht="13">
      <c r="B33" s="11" t="s">
        <v>1223</v>
      </c>
      <c r="G33" s="24"/>
    </row>
    <row r="34" spans="1:9" ht="13">
      <c r="A34" s="119" t="s">
        <v>184</v>
      </c>
      <c r="B34" s="12" t="s">
        <v>1</v>
      </c>
      <c r="C34" s="13" t="s">
        <v>185</v>
      </c>
      <c r="D34" s="13" t="s">
        <v>1230</v>
      </c>
      <c r="E34" s="13"/>
      <c r="F34" s="13" t="s">
        <v>1233</v>
      </c>
      <c r="G34" s="25" t="s">
        <v>752</v>
      </c>
      <c r="I34" s="39"/>
    </row>
    <row r="35" spans="1:9" ht="26.5" hidden="1" customHeight="1">
      <c r="A35" s="125"/>
      <c r="B35" s="122"/>
      <c r="C35" s="27"/>
      <c r="D35" s="333"/>
      <c r="E35" s="118"/>
      <c r="F35" s="142"/>
      <c r="G35" s="35"/>
    </row>
    <row r="36" spans="1:9" ht="13.4" customHeight="1">
      <c r="A36" s="125">
        <v>3</v>
      </c>
      <c r="B36" s="122" t="str">
        <f>VLOOKUP(A36,Transporte[],2,FALSE)</f>
        <v>Carga terrestre Teorama - Comunidades</v>
      </c>
      <c r="C36" s="27" t="s">
        <v>1234</v>
      </c>
      <c r="D36" s="333">
        <f>+SUM(E8:E23)</f>
        <v>18.408999999999999</v>
      </c>
      <c r="E36" s="118"/>
      <c r="F36" s="142">
        <f>VLOOKUP(A36,Transporte[],7,FALSE)</f>
        <v>1491</v>
      </c>
      <c r="G36" s="35">
        <f>D36*F36</f>
        <v>27447.819</v>
      </c>
    </row>
    <row r="37" spans="1:9" ht="13">
      <c r="D37" s="18"/>
      <c r="E37" s="18"/>
      <c r="F37" s="29" t="s">
        <v>1220</v>
      </c>
      <c r="G37" s="37">
        <f>SUM(G35:G36)</f>
        <v>27447.819</v>
      </c>
    </row>
    <row r="38" spans="1:9" ht="13">
      <c r="D38" s="18"/>
      <c r="E38" s="18"/>
      <c r="G38" s="23"/>
    </row>
    <row r="39" spans="1:9" ht="13">
      <c r="B39" s="11" t="s">
        <v>1225</v>
      </c>
      <c r="D39" s="30"/>
      <c r="E39" s="30"/>
      <c r="F39" s="31"/>
      <c r="G39" s="24"/>
    </row>
    <row r="40" spans="1:9" s="18" customFormat="1" ht="13">
      <c r="A40" s="119" t="s">
        <v>184</v>
      </c>
      <c r="B40" s="12" t="s">
        <v>1</v>
      </c>
      <c r="C40" s="13" t="s">
        <v>1226</v>
      </c>
      <c r="D40" s="13" t="s">
        <v>1227</v>
      </c>
      <c r="E40" s="13"/>
      <c r="F40" s="13" t="s">
        <v>307</v>
      </c>
      <c r="G40" s="25" t="s">
        <v>752</v>
      </c>
    </row>
    <row r="41" spans="1:9" ht="14.5">
      <c r="A41" s="125">
        <v>1</v>
      </c>
      <c r="B41" s="122" t="str">
        <f>VLOOKUP(A41,ManoObra[],2,FALSE)</f>
        <v>Electricista</v>
      </c>
      <c r="C41" s="40">
        <f>VLOOKUP(A41,ManoObra[],7,FALSE)</f>
        <v>71863</v>
      </c>
      <c r="D41" s="22">
        <f>FP!$B$28</f>
        <v>1.61</v>
      </c>
      <c r="E41" s="22"/>
      <c r="F41" s="16">
        <v>1</v>
      </c>
      <c r="G41" s="36">
        <f>ROUND(C41*D41/F41,0)</f>
        <v>115699</v>
      </c>
      <c r="I41" s="81"/>
    </row>
    <row r="42" spans="1:9" ht="14.5">
      <c r="A42" s="125">
        <v>2</v>
      </c>
      <c r="B42" s="122" t="str">
        <f>VLOOKUP(A42,ManoObra[],2,FALSE)</f>
        <v>Ayudante</v>
      </c>
      <c r="C42" s="40">
        <f>VLOOKUP(A42,ManoObra[],7,FALSE)</f>
        <v>66050</v>
      </c>
      <c r="D42" s="22">
        <f>FP!$B$28</f>
        <v>1.61</v>
      </c>
      <c r="E42" s="22"/>
      <c r="F42" s="16">
        <v>1</v>
      </c>
      <c r="G42" s="36">
        <f>ROUND(C42*D42/F42,0)</f>
        <v>106341</v>
      </c>
    </row>
    <row r="43" spans="1:9" ht="13">
      <c r="D43" s="18"/>
      <c r="E43" s="18"/>
      <c r="F43" s="29" t="s">
        <v>1220</v>
      </c>
      <c r="G43" s="42">
        <f>SUM(G41:G42)</f>
        <v>222040</v>
      </c>
    </row>
    <row r="44" spans="1:9" ht="13">
      <c r="D44" s="18"/>
      <c r="E44" s="18"/>
      <c r="G44" s="24"/>
    </row>
    <row r="45" spans="1:9" ht="12.75" customHeight="1">
      <c r="A45"/>
      <c r="D45" s="1725" t="s">
        <v>1228</v>
      </c>
      <c r="E45" s="1730"/>
      <c r="F45" s="1726"/>
      <c r="G45" s="38">
        <f>G24+G31+G37+G43</f>
        <v>1186206.8190000001</v>
      </c>
    </row>
    <row r="46" spans="1:9" ht="13">
      <c r="A46" s="441"/>
      <c r="B46" s="441"/>
      <c r="D46" s="18"/>
      <c r="E46" s="18"/>
      <c r="F46" s="10"/>
      <c r="G46" s="41"/>
    </row>
    <row r="47" spans="1:9" ht="14">
      <c r="A47" s="442"/>
      <c r="B47" s="840"/>
    </row>
    <row r="48" spans="1:9" ht="42">
      <c r="B48" s="1028" t="s">
        <v>1235</v>
      </c>
    </row>
  </sheetData>
  <mergeCells count="4">
    <mergeCell ref="B3:F3"/>
    <mergeCell ref="B4:D4"/>
    <mergeCell ref="D45:F45"/>
    <mergeCell ref="A1:G1"/>
  </mergeCells>
  <printOptions horizontalCentered="1"/>
  <pageMargins left="0.70866141732283472" right="0.70866141732283472" top="1.5748031496062993" bottom="0.98425196850393704" header="0.98425196850393704" footer="0.51181102362204722"/>
  <pageSetup scale="73" orientation="portrait" r:id="rId1"/>
  <headerFooter alignWithMargins="0">
    <oddHeader xml:space="preserve">&amp;C&amp;"Arial,Negrita"&amp;12ANÁLISIS DE PRECIOS UNITARIOS
</oddHead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6">
    <tabColor theme="6" tint="0.59999389629810485"/>
  </sheetPr>
  <dimension ref="A2:K43"/>
  <sheetViews>
    <sheetView view="pageBreakPreview" zoomScale="80" zoomScaleNormal="90" zoomScaleSheetLayoutView="80" workbookViewId="0">
      <selection activeCell="F3" sqref="F3:F5"/>
    </sheetView>
  </sheetViews>
  <sheetFormatPr baseColWidth="10" defaultColWidth="11.453125" defaultRowHeight="12.5"/>
  <cols>
    <col min="1" max="1" width="12" bestFit="1" customWidth="1"/>
    <col min="2" max="2" width="29.81640625" bestFit="1" customWidth="1"/>
    <col min="3" max="3" width="20.453125" customWidth="1"/>
    <col min="4" max="4" width="19" customWidth="1"/>
    <col min="5" max="5" width="46.54296875" bestFit="1" customWidth="1"/>
    <col min="6" max="6" width="15.81640625" customWidth="1"/>
    <col min="7" max="7" width="16.54296875" bestFit="1" customWidth="1"/>
    <col min="8" max="8" width="16.54296875" customWidth="1"/>
    <col min="9" max="9" width="57" bestFit="1" customWidth="1"/>
    <col min="10" max="10" width="12.54296875" bestFit="1" customWidth="1"/>
  </cols>
  <sheetData>
    <row r="2" spans="1:11" ht="14">
      <c r="A2" s="1448" t="str">
        <f>+'PRES GENERAL MR(OXI)'!A1</f>
        <v>IMPLEMENTACIÓN DE SOLUCIONES ENERGÉTICAS CON FUENTES NO CONVENCIONALES DE ENERGÍA PARA USUARIOS EN ZONAS RURALES DEL MUNICIPIO DE TEORAMA EN EL DEPARTAMENTO DE NORTE DE SANTANDER</v>
      </c>
      <c r="B2" s="1448"/>
      <c r="C2" s="1448"/>
      <c r="D2" s="1448"/>
      <c r="E2" s="1448"/>
      <c r="F2" s="1448"/>
      <c r="G2" s="1448"/>
      <c r="H2" s="1448"/>
      <c r="I2" s="1448"/>
      <c r="J2" s="1448"/>
      <c r="K2" s="313"/>
    </row>
    <row r="4" spans="1:11">
      <c r="C4">
        <v>2024</v>
      </c>
      <c r="D4">
        <v>2025</v>
      </c>
    </row>
    <row r="5" spans="1:11">
      <c r="B5" s="87" t="s">
        <v>398</v>
      </c>
      <c r="C5" s="109">
        <v>1300000</v>
      </c>
      <c r="D5" s="769">
        <v>1423500</v>
      </c>
    </row>
    <row r="6" spans="1:11" ht="14.5">
      <c r="B6" s="87" t="s">
        <v>399</v>
      </c>
      <c r="C6" s="107">
        <v>162000</v>
      </c>
      <c r="D6" s="769">
        <v>200000</v>
      </c>
    </row>
    <row r="7" spans="1:11" ht="14.5">
      <c r="B7" s="87" t="s">
        <v>400</v>
      </c>
      <c r="C7" s="110">
        <v>0</v>
      </c>
    </row>
    <row r="8" spans="1:11">
      <c r="B8" s="64" t="s">
        <v>401</v>
      </c>
      <c r="C8" s="111">
        <f>ROUND((365-70)/12,2)</f>
        <v>24.58</v>
      </c>
      <c r="D8" s="74"/>
    </row>
    <row r="9" spans="1:11">
      <c r="B9" s="34" t="s">
        <v>402</v>
      </c>
      <c r="C9" s="52">
        <v>8.3500000000000005E-2</v>
      </c>
    </row>
    <row r="11" spans="1:11" ht="13">
      <c r="A11" s="1434" t="s">
        <v>403</v>
      </c>
      <c r="B11" s="1434"/>
      <c r="C11" s="1434"/>
      <c r="D11" s="1434"/>
      <c r="E11" s="1434"/>
      <c r="F11" s="1434"/>
      <c r="G11" s="1434"/>
      <c r="H11" s="1434"/>
      <c r="I11" s="1434"/>
      <c r="J11" s="1434"/>
    </row>
    <row r="12" spans="1:11">
      <c r="A12" s="127" t="s">
        <v>184</v>
      </c>
      <c r="B12" s="127" t="s">
        <v>404</v>
      </c>
      <c r="C12" s="127" t="s">
        <v>405</v>
      </c>
      <c r="D12" s="127" t="s">
        <v>406</v>
      </c>
      <c r="E12" s="127" t="s">
        <v>399</v>
      </c>
      <c r="F12" s="127" t="s">
        <v>407</v>
      </c>
      <c r="G12" s="127" t="s">
        <v>408</v>
      </c>
      <c r="H12" s="127" t="s">
        <v>409</v>
      </c>
      <c r="I12" s="127" t="s">
        <v>5</v>
      </c>
      <c r="J12" s="127" t="s">
        <v>6</v>
      </c>
    </row>
    <row r="13" spans="1:11" ht="14.5">
      <c r="A13" s="88">
        <v>1</v>
      </c>
      <c r="B13" s="88" t="s">
        <v>410</v>
      </c>
      <c r="C13" s="88" t="s">
        <v>216</v>
      </c>
      <c r="D13" s="107">
        <v>1566383</v>
      </c>
      <c r="E13" s="109">
        <f t="shared" ref="E13:E34" si="0">IF(D13&gt;2*$D$5,0,$D$6)</f>
        <v>200000</v>
      </c>
      <c r="F13" s="108">
        <f t="shared" ref="F13:F31" si="1">$C$7</f>
        <v>0</v>
      </c>
      <c r="G13" s="109">
        <f t="shared" ref="G13:G31" si="2">ROUND((D13+E13)/$C$8*(1+F13),0)</f>
        <v>71863</v>
      </c>
      <c r="H13" s="109">
        <f>+(ManoObra[[#This Row],[Valor mensual base]]+ManoObra[[#This Row],[Auxilio de transporte]])*(1+ManoObra[[#This Row],[Margen positivo]])</f>
        <v>1766383</v>
      </c>
      <c r="I13" s="285" t="s">
        <v>411</v>
      </c>
      <c r="J13" s="367">
        <v>45658</v>
      </c>
    </row>
    <row r="14" spans="1:11" ht="14.5">
      <c r="A14" s="88">
        <v>2</v>
      </c>
      <c r="B14" s="88" t="s">
        <v>412</v>
      </c>
      <c r="C14" s="88" t="s">
        <v>216</v>
      </c>
      <c r="D14" s="107">
        <f>+D5</f>
        <v>1423500</v>
      </c>
      <c r="E14" s="109">
        <f t="shared" si="0"/>
        <v>200000</v>
      </c>
      <c r="F14" s="108">
        <f t="shared" si="1"/>
        <v>0</v>
      </c>
      <c r="G14" s="109">
        <f t="shared" si="2"/>
        <v>66050</v>
      </c>
      <c r="H14" s="771">
        <f>+(ManoObra[[#This Row],[Valor mensual base]]+ManoObra[[#This Row],[Auxilio de transporte]])*(1+ManoObra[[#This Row],[Margen positivo]])</f>
        <v>1623500</v>
      </c>
      <c r="I14" t="s">
        <v>413</v>
      </c>
      <c r="J14" s="367">
        <f>+J13</f>
        <v>45658</v>
      </c>
    </row>
    <row r="15" spans="1:11" ht="14.5">
      <c r="A15" s="88">
        <v>3</v>
      </c>
      <c r="B15" s="88" t="s">
        <v>414</v>
      </c>
      <c r="C15" s="88" t="s">
        <v>216</v>
      </c>
      <c r="D15" s="107">
        <v>2170126</v>
      </c>
      <c r="E15" s="109">
        <f t="shared" si="0"/>
        <v>200000</v>
      </c>
      <c r="F15" s="108">
        <f t="shared" si="1"/>
        <v>0</v>
      </c>
      <c r="G15" s="109">
        <f t="shared" si="2"/>
        <v>96425</v>
      </c>
      <c r="H15" s="109">
        <f>+(ManoObra[[#This Row],[Valor mensual base]]+ManoObra[[#This Row],[Auxilio de transporte]])*(1+ManoObra[[#This Row],[Margen positivo]])</f>
        <v>2370126</v>
      </c>
      <c r="I15" s="285" t="s">
        <v>415</v>
      </c>
      <c r="J15" s="367">
        <f t="shared" ref="J15:J32" si="3">+J14</f>
        <v>45658</v>
      </c>
    </row>
    <row r="16" spans="1:11" ht="14.5">
      <c r="A16" s="88">
        <v>4</v>
      </c>
      <c r="B16" s="87" t="s">
        <v>416</v>
      </c>
      <c r="C16" s="87" t="s">
        <v>216</v>
      </c>
      <c r="D16" s="107">
        <f>+D5*1.5</f>
        <v>2135250</v>
      </c>
      <c r="E16" s="109">
        <f t="shared" si="0"/>
        <v>200000</v>
      </c>
      <c r="F16" s="108">
        <f t="shared" si="1"/>
        <v>0</v>
      </c>
      <c r="G16" s="109">
        <f t="shared" si="2"/>
        <v>95006</v>
      </c>
      <c r="H16" s="109">
        <f>+(ManoObra[[#This Row],[Valor mensual base]]+ManoObra[[#This Row],[Auxilio de transporte]])*(1+ManoObra[[#This Row],[Margen positivo]])</f>
        <v>2335250</v>
      </c>
      <c r="I16" s="285" t="s">
        <v>417</v>
      </c>
      <c r="J16" s="367">
        <f t="shared" si="3"/>
        <v>45658</v>
      </c>
    </row>
    <row r="17" spans="1:10" ht="14.5">
      <c r="A17" s="88">
        <v>5</v>
      </c>
      <c r="B17" s="87" t="s">
        <v>418</v>
      </c>
      <c r="C17" s="87" t="s">
        <v>419</v>
      </c>
      <c r="D17" s="107">
        <v>3182892</v>
      </c>
      <c r="E17" s="109">
        <f t="shared" si="0"/>
        <v>0</v>
      </c>
      <c r="F17" s="108">
        <f t="shared" si="1"/>
        <v>0</v>
      </c>
      <c r="G17" s="109">
        <f t="shared" si="2"/>
        <v>129491</v>
      </c>
      <c r="H17" s="109">
        <f>+(ManoObra[[#This Row],[Valor mensual base]]+ManoObra[[#This Row],[Auxilio de transporte]])*(1+ManoObra[[#This Row],[Margen positivo]])</f>
        <v>3182892</v>
      </c>
      <c r="I17" s="285" t="s">
        <v>420</v>
      </c>
      <c r="J17" s="367">
        <f t="shared" si="3"/>
        <v>45658</v>
      </c>
    </row>
    <row r="18" spans="1:10" ht="14.5">
      <c r="A18" s="88">
        <v>6</v>
      </c>
      <c r="B18" s="87" t="s">
        <v>421</v>
      </c>
      <c r="C18" s="87" t="s">
        <v>216</v>
      </c>
      <c r="D18" s="107">
        <v>6396106</v>
      </c>
      <c r="E18" s="109">
        <f t="shared" si="0"/>
        <v>0</v>
      </c>
      <c r="F18" s="108">
        <f t="shared" si="1"/>
        <v>0</v>
      </c>
      <c r="G18" s="109">
        <f t="shared" si="2"/>
        <v>260216</v>
      </c>
      <c r="H18" s="109">
        <f>+(ManoObra[[#This Row],[Valor mensual base]]+ManoObra[[#This Row],[Auxilio de transporte]])*(1+ManoObra[[#This Row],[Margen positivo]])</f>
        <v>6396106</v>
      </c>
      <c r="I18" s="285" t="s">
        <v>422</v>
      </c>
      <c r="J18" s="367">
        <f t="shared" si="3"/>
        <v>45658</v>
      </c>
    </row>
    <row r="19" spans="1:10" ht="14.5">
      <c r="A19" s="88">
        <v>7</v>
      </c>
      <c r="B19" s="87" t="s">
        <v>423</v>
      </c>
      <c r="C19" s="87" t="s">
        <v>216</v>
      </c>
      <c r="D19" s="107">
        <v>2961448</v>
      </c>
      <c r="E19" s="109">
        <f t="shared" si="0"/>
        <v>0</v>
      </c>
      <c r="F19" s="108">
        <f t="shared" si="1"/>
        <v>0</v>
      </c>
      <c r="G19" s="109">
        <f t="shared" si="2"/>
        <v>120482</v>
      </c>
      <c r="H19" s="109">
        <f>+(ManoObra[[#This Row],[Valor mensual base]]+ManoObra[[#This Row],[Auxilio de transporte]])*(1+ManoObra[[#This Row],[Margen positivo]])</f>
        <v>2961448</v>
      </c>
      <c r="I19" s="285" t="s">
        <v>424</v>
      </c>
      <c r="J19" s="367">
        <f t="shared" si="3"/>
        <v>45658</v>
      </c>
    </row>
    <row r="20" spans="1:10" ht="14.5">
      <c r="A20" s="88">
        <v>8</v>
      </c>
      <c r="B20" s="87" t="s">
        <v>425</v>
      </c>
      <c r="C20" s="87" t="s">
        <v>419</v>
      </c>
      <c r="D20" s="107">
        <v>7298047</v>
      </c>
      <c r="E20" s="109">
        <f t="shared" si="0"/>
        <v>0</v>
      </c>
      <c r="F20" s="108">
        <f t="shared" si="1"/>
        <v>0</v>
      </c>
      <c r="G20" s="109">
        <f t="shared" si="2"/>
        <v>296910</v>
      </c>
      <c r="H20" s="109">
        <f>+(ManoObra[[#This Row],[Valor mensual base]]+ManoObra[[#This Row],[Auxilio de transporte]])*(1+ManoObra[[#This Row],[Margen positivo]])</f>
        <v>7298047</v>
      </c>
      <c r="I20" s="285" t="s">
        <v>426</v>
      </c>
      <c r="J20" s="367">
        <f t="shared" si="3"/>
        <v>45658</v>
      </c>
    </row>
    <row r="21" spans="1:10" ht="14.5">
      <c r="A21" s="88">
        <v>9</v>
      </c>
      <c r="B21" s="87" t="s">
        <v>427</v>
      </c>
      <c r="C21" s="87" t="s">
        <v>419</v>
      </c>
      <c r="D21" s="107">
        <v>2453824</v>
      </c>
      <c r="E21" s="109">
        <f t="shared" si="0"/>
        <v>200000</v>
      </c>
      <c r="F21" s="108">
        <f t="shared" si="1"/>
        <v>0</v>
      </c>
      <c r="G21" s="109">
        <f t="shared" si="2"/>
        <v>107967</v>
      </c>
      <c r="H21" s="109">
        <f>+(ManoObra[[#This Row],[Valor mensual base]]+ManoObra[[#This Row],[Auxilio de transporte]])*(1+ManoObra[[#This Row],[Margen positivo]])</f>
        <v>2653824</v>
      </c>
      <c r="I21" s="285" t="s">
        <v>428</v>
      </c>
      <c r="J21" s="367">
        <f t="shared" si="3"/>
        <v>45658</v>
      </c>
    </row>
    <row r="22" spans="1:10" ht="14.5">
      <c r="A22" s="88">
        <v>10</v>
      </c>
      <c r="B22" s="87" t="s">
        <v>429</v>
      </c>
      <c r="C22" s="87" t="s">
        <v>419</v>
      </c>
      <c r="D22" s="107">
        <v>2597308</v>
      </c>
      <c r="E22" s="109">
        <f t="shared" si="0"/>
        <v>200000</v>
      </c>
      <c r="F22" s="108">
        <f t="shared" si="1"/>
        <v>0</v>
      </c>
      <c r="G22" s="109">
        <f t="shared" si="2"/>
        <v>113804</v>
      </c>
      <c r="H22" s="109">
        <f>+(ManoObra[[#This Row],[Valor mensual base]]+ManoObra[[#This Row],[Auxilio de transporte]])*(1+ManoObra[[#This Row],[Margen positivo]])</f>
        <v>2797308</v>
      </c>
      <c r="I22" s="285" t="s">
        <v>430</v>
      </c>
      <c r="J22" s="367">
        <f t="shared" si="3"/>
        <v>45658</v>
      </c>
    </row>
    <row r="23" spans="1:10" ht="14.5">
      <c r="A23" s="88">
        <v>11</v>
      </c>
      <c r="B23" s="87" t="s">
        <v>431</v>
      </c>
      <c r="C23" s="87" t="s">
        <v>216</v>
      </c>
      <c r="D23" s="107">
        <v>2451532</v>
      </c>
      <c r="E23" s="109">
        <f t="shared" si="0"/>
        <v>200000</v>
      </c>
      <c r="F23" s="108">
        <f t="shared" si="1"/>
        <v>0</v>
      </c>
      <c r="G23" s="109">
        <f t="shared" si="2"/>
        <v>107874</v>
      </c>
      <c r="H23" s="109">
        <f>+(ManoObra[[#This Row],[Valor mensual base]]+ManoObra[[#This Row],[Auxilio de transporte]])*(1+ManoObra[[#This Row],[Margen positivo]])</f>
        <v>2651532</v>
      </c>
      <c r="I23" s="285" t="s">
        <v>432</v>
      </c>
      <c r="J23" s="367">
        <f t="shared" si="3"/>
        <v>45658</v>
      </c>
    </row>
    <row r="24" spans="1:10" ht="14.5">
      <c r="A24" s="88">
        <v>12</v>
      </c>
      <c r="B24" s="87" t="s">
        <v>433</v>
      </c>
      <c r="C24" s="87" t="s">
        <v>216</v>
      </c>
      <c r="D24" s="107">
        <v>1534702</v>
      </c>
      <c r="E24" s="109">
        <f t="shared" si="0"/>
        <v>200000</v>
      </c>
      <c r="F24" s="108">
        <f t="shared" si="1"/>
        <v>0</v>
      </c>
      <c r="G24" s="109">
        <f t="shared" si="2"/>
        <v>70574</v>
      </c>
      <c r="H24" s="109">
        <f>+(ManoObra[[#This Row],[Valor mensual base]]+ManoObra[[#This Row],[Auxilio de transporte]])*(1+ManoObra[[#This Row],[Margen positivo]])</f>
        <v>1734702</v>
      </c>
      <c r="I24" s="285" t="s">
        <v>434</v>
      </c>
      <c r="J24" s="367">
        <f t="shared" si="3"/>
        <v>45658</v>
      </c>
    </row>
    <row r="25" spans="1:10" ht="14.5">
      <c r="A25" s="88">
        <v>13</v>
      </c>
      <c r="B25" s="87" t="s">
        <v>435</v>
      </c>
      <c r="C25" s="87" t="s">
        <v>216</v>
      </c>
      <c r="D25" s="107">
        <v>3281783</v>
      </c>
      <c r="E25" s="109">
        <f t="shared" si="0"/>
        <v>0</v>
      </c>
      <c r="F25" s="108">
        <f t="shared" si="1"/>
        <v>0</v>
      </c>
      <c r="G25" s="109">
        <f t="shared" si="2"/>
        <v>133514</v>
      </c>
      <c r="H25" s="109">
        <f>+(ManoObra[[#This Row],[Valor mensual base]]+ManoObra[[#This Row],[Auxilio de transporte]])*(1+ManoObra[[#This Row],[Margen positivo]])</f>
        <v>3281783</v>
      </c>
      <c r="I25" s="285" t="s">
        <v>436</v>
      </c>
      <c r="J25" s="367">
        <f t="shared" si="3"/>
        <v>45658</v>
      </c>
    </row>
    <row r="26" spans="1:10" ht="14.5">
      <c r="A26" s="88">
        <v>14</v>
      </c>
      <c r="B26" s="88" t="s">
        <v>437</v>
      </c>
      <c r="C26" s="87" t="s">
        <v>216</v>
      </c>
      <c r="D26" s="107">
        <v>2010176</v>
      </c>
      <c r="E26" s="109">
        <f t="shared" si="0"/>
        <v>200000</v>
      </c>
      <c r="F26" s="108">
        <f t="shared" si="1"/>
        <v>0</v>
      </c>
      <c r="G26" s="109">
        <f t="shared" si="2"/>
        <v>89918</v>
      </c>
      <c r="H26" s="109">
        <f>+(ManoObra[[#This Row],[Valor mensual base]]+ManoObra[[#This Row],[Auxilio de transporte]])*(1+ManoObra[[#This Row],[Margen positivo]])</f>
        <v>2210176</v>
      </c>
      <c r="I26" s="285" t="s">
        <v>438</v>
      </c>
      <c r="J26" s="367">
        <f t="shared" si="3"/>
        <v>45658</v>
      </c>
    </row>
    <row r="27" spans="1:10" ht="14.5">
      <c r="A27" s="88">
        <v>15</v>
      </c>
      <c r="B27" s="88" t="s">
        <v>439</v>
      </c>
      <c r="C27" s="87" t="s">
        <v>419</v>
      </c>
      <c r="D27" s="107">
        <f>+D5</f>
        <v>1423500</v>
      </c>
      <c r="E27" s="109">
        <f t="shared" si="0"/>
        <v>200000</v>
      </c>
      <c r="F27" s="108">
        <f t="shared" si="1"/>
        <v>0</v>
      </c>
      <c r="G27" s="109">
        <f t="shared" si="2"/>
        <v>66050</v>
      </c>
      <c r="H27" s="771">
        <f>+(ManoObra[[#This Row],[Valor mensual base]]+ManoObra[[#This Row],[Auxilio de transporte]])*(1+ManoObra[[#This Row],[Margen positivo]])</f>
        <v>1623500</v>
      </c>
      <c r="I27" t="s">
        <v>413</v>
      </c>
      <c r="J27" s="367">
        <f t="shared" si="3"/>
        <v>45658</v>
      </c>
    </row>
    <row r="28" spans="1:10" ht="14.5">
      <c r="A28" s="114">
        <v>16</v>
      </c>
      <c r="B28" s="169" t="s">
        <v>440</v>
      </c>
      <c r="C28" s="87" t="s">
        <v>419</v>
      </c>
      <c r="D28" s="168">
        <f>+D27</f>
        <v>1423500</v>
      </c>
      <c r="E28" s="144">
        <f t="shared" si="0"/>
        <v>200000</v>
      </c>
      <c r="F28" s="145">
        <f t="shared" si="1"/>
        <v>0</v>
      </c>
      <c r="G28" s="144">
        <f t="shared" si="2"/>
        <v>66050</v>
      </c>
      <c r="H28" s="771">
        <f>+(ManoObra[[#This Row],[Valor mensual base]]+ManoObra[[#This Row],[Auxilio de transporte]])*(1+ManoObra[[#This Row],[Margen positivo]])</f>
        <v>1623500</v>
      </c>
      <c r="I28" t="s">
        <v>413</v>
      </c>
      <c r="J28" s="367">
        <f t="shared" si="3"/>
        <v>45658</v>
      </c>
    </row>
    <row r="29" spans="1:10" ht="14.5">
      <c r="A29" s="114">
        <v>17</v>
      </c>
      <c r="B29" s="169" t="s">
        <v>441</v>
      </c>
      <c r="C29" s="87" t="s">
        <v>419</v>
      </c>
      <c r="D29" s="168">
        <v>2070815</v>
      </c>
      <c r="E29" s="144">
        <f t="shared" si="0"/>
        <v>200000</v>
      </c>
      <c r="F29" s="145">
        <f t="shared" si="1"/>
        <v>0</v>
      </c>
      <c r="G29" s="144">
        <f t="shared" si="2"/>
        <v>92385</v>
      </c>
      <c r="H29" s="144">
        <f>+(ManoObra[[#This Row],[Valor mensual base]]+ManoObra[[#This Row],[Auxilio de transporte]])*(1+ManoObra[[#This Row],[Margen positivo]])</f>
        <v>2270815</v>
      </c>
      <c r="I29" s="286" t="s">
        <v>442</v>
      </c>
      <c r="J29" s="367">
        <f t="shared" si="3"/>
        <v>45658</v>
      </c>
    </row>
    <row r="30" spans="1:10" ht="14.5">
      <c r="A30" s="114">
        <v>18</v>
      </c>
      <c r="B30" s="146" t="s">
        <v>443</v>
      </c>
      <c r="C30" s="87" t="s">
        <v>216</v>
      </c>
      <c r="D30" s="107">
        <v>5275528</v>
      </c>
      <c r="E30" s="187">
        <f t="shared" si="0"/>
        <v>0</v>
      </c>
      <c r="F30" s="145">
        <f t="shared" si="1"/>
        <v>0</v>
      </c>
      <c r="G30" s="144">
        <f t="shared" si="2"/>
        <v>214627</v>
      </c>
      <c r="H30" s="144">
        <f>+(ManoObra[[#This Row],[Valor mensual base]]+ManoObra[[#This Row],[Auxilio de transporte]])*(1+ManoObra[[#This Row],[Margen positivo]])</f>
        <v>5275528</v>
      </c>
      <c r="I30" s="285" t="s">
        <v>422</v>
      </c>
      <c r="J30" s="367">
        <f t="shared" si="3"/>
        <v>45658</v>
      </c>
    </row>
    <row r="31" spans="1:10" ht="14.5">
      <c r="A31" s="114">
        <v>19</v>
      </c>
      <c r="B31" s="169" t="s">
        <v>444</v>
      </c>
      <c r="C31" s="87" t="s">
        <v>216</v>
      </c>
      <c r="D31" s="168">
        <v>3780809</v>
      </c>
      <c r="E31" s="187">
        <f t="shared" si="0"/>
        <v>0</v>
      </c>
      <c r="F31" s="145">
        <f t="shared" si="1"/>
        <v>0</v>
      </c>
      <c r="G31" s="144">
        <f t="shared" si="2"/>
        <v>153816</v>
      </c>
      <c r="H31" s="144">
        <f>+(ManoObra[[#This Row],[Valor mensual base]]+ManoObra[[#This Row],[Auxilio de transporte]])*(1+ManoObra[[#This Row],[Margen positivo]])</f>
        <v>3780809</v>
      </c>
      <c r="I31" s="286" t="s">
        <v>445</v>
      </c>
      <c r="J31" s="367">
        <f t="shared" si="3"/>
        <v>45658</v>
      </c>
    </row>
    <row r="32" spans="1:10" ht="14.5">
      <c r="A32" s="114">
        <v>20</v>
      </c>
      <c r="B32" s="535" t="s">
        <v>446</v>
      </c>
      <c r="C32" s="87" t="s">
        <v>216</v>
      </c>
      <c r="D32" s="107">
        <v>1901542.4999999998</v>
      </c>
      <c r="E32" s="770">
        <f t="shared" si="0"/>
        <v>200000</v>
      </c>
      <c r="F32" s="736">
        <f>$C$7</f>
        <v>0</v>
      </c>
      <c r="G32" s="144">
        <f>ROUND((D32+E32)/$C$8*(1+F32),0)</f>
        <v>85498</v>
      </c>
      <c r="H32" s="144">
        <f>+(ManoObra[[#This Row],[Valor mensual base]]+ManoObra[[#This Row],[Auxilio de transporte]])*(1+ManoObra[[#This Row],[Margen positivo]])</f>
        <v>2101542.5</v>
      </c>
      <c r="I32" s="286" t="s">
        <v>447</v>
      </c>
      <c r="J32" s="367">
        <f t="shared" si="3"/>
        <v>45658</v>
      </c>
    </row>
    <row r="33" spans="1:10" ht="14.5">
      <c r="A33" s="114">
        <v>21</v>
      </c>
      <c r="B33" s="535" t="s">
        <v>448</v>
      </c>
      <c r="C33" s="87" t="s">
        <v>216</v>
      </c>
      <c r="D33" s="107">
        <f>+D13</f>
        <v>1566383</v>
      </c>
      <c r="E33" s="770">
        <f t="shared" si="0"/>
        <v>200000</v>
      </c>
      <c r="F33" s="108">
        <f t="shared" ref="F33:F34" si="4">$C$7</f>
        <v>0</v>
      </c>
      <c r="G33" s="109">
        <f t="shared" ref="G33:G34" si="5">ROUND((D33+E33)/$C$8*(1+F33),0)</f>
        <v>71863</v>
      </c>
      <c r="H33" s="109">
        <f>+(ManoObra[[#This Row],[Valor mensual base]]+ManoObra[[#This Row],[Auxilio de transporte]])*(1+ManoObra[[#This Row],[Margen positivo]])</f>
        <v>1766383</v>
      </c>
      <c r="I33" s="285"/>
      <c r="J33" s="77"/>
    </row>
    <row r="34" spans="1:10" ht="14.5">
      <c r="A34" s="114">
        <v>22</v>
      </c>
      <c r="B34" s="330" t="s">
        <v>449</v>
      </c>
      <c r="C34" s="330" t="s">
        <v>216</v>
      </c>
      <c r="D34" s="396">
        <f>+D27</f>
        <v>1423500</v>
      </c>
      <c r="E34" s="397">
        <f t="shared" si="0"/>
        <v>200000</v>
      </c>
      <c r="F34" s="108">
        <f t="shared" si="4"/>
        <v>0</v>
      </c>
      <c r="G34" s="109">
        <f t="shared" si="5"/>
        <v>66050</v>
      </c>
      <c r="H34" s="109">
        <f>+(ManoObra[[#This Row],[Valor mensual base]]+ManoObra[[#This Row],[Auxilio de transporte]])*(1+ManoObra[[#This Row],[Margen positivo]])</f>
        <v>1623500</v>
      </c>
      <c r="I34" s="285"/>
      <c r="J34" s="77"/>
    </row>
    <row r="35" spans="1:10" ht="13">
      <c r="A35" s="254"/>
      <c r="B35" s="253"/>
    </row>
    <row r="36" spans="1:10">
      <c r="B36" s="34"/>
    </row>
    <row r="37" spans="1:10">
      <c r="B37" s="34"/>
    </row>
    <row r="43" spans="1:10">
      <c r="F43" s="771"/>
      <c r="G43" s="771"/>
    </row>
  </sheetData>
  <mergeCells count="2">
    <mergeCell ref="A11:J11"/>
    <mergeCell ref="A2:J2"/>
  </mergeCells>
  <phoneticPr fontId="16" type="noConversion"/>
  <hyperlinks>
    <hyperlink ref="I13" r:id="rId1" xr:uid="{00000000-0004-0000-0F00-000000000000}"/>
    <hyperlink ref="I15" r:id="rId2" xr:uid="{00000000-0004-0000-0F00-000001000000}"/>
    <hyperlink ref="I16" r:id="rId3" xr:uid="{00000000-0004-0000-0F00-000002000000}"/>
    <hyperlink ref="I17" r:id="rId4" xr:uid="{00000000-0004-0000-0F00-000003000000}"/>
    <hyperlink ref="I18" r:id="rId5" xr:uid="{00000000-0004-0000-0F00-000004000000}"/>
    <hyperlink ref="I19" r:id="rId6" xr:uid="{00000000-0004-0000-0F00-000005000000}"/>
    <hyperlink ref="I20" r:id="rId7" xr:uid="{00000000-0004-0000-0F00-000006000000}"/>
    <hyperlink ref="I21" r:id="rId8" xr:uid="{00000000-0004-0000-0F00-000007000000}"/>
    <hyperlink ref="I22" r:id="rId9" xr:uid="{00000000-0004-0000-0F00-000008000000}"/>
    <hyperlink ref="I23" r:id="rId10" xr:uid="{00000000-0004-0000-0F00-000009000000}"/>
    <hyperlink ref="I24" r:id="rId11" xr:uid="{00000000-0004-0000-0F00-00000A000000}"/>
    <hyperlink ref="I25" r:id="rId12" xr:uid="{00000000-0004-0000-0F00-00000B000000}"/>
    <hyperlink ref="I26" r:id="rId13" xr:uid="{00000000-0004-0000-0F00-00000C000000}"/>
    <hyperlink ref="I29" r:id="rId14" xr:uid="{00000000-0004-0000-0F00-00000D000000}"/>
    <hyperlink ref="I30" r:id="rId15" xr:uid="{00000000-0004-0000-0F00-00000E000000}"/>
    <hyperlink ref="I31" r:id="rId16" xr:uid="{00000000-0004-0000-0F00-00000F000000}"/>
    <hyperlink ref="I32" r:id="rId17" xr:uid="{1720FC9F-BDB6-4355-A99E-24C23BCCFA1E}"/>
  </hyperlinks>
  <pageMargins left="0.7" right="0.7" top="0.75" bottom="0.75" header="0.3" footer="0.3"/>
  <pageSetup paperSize="9" scale="38" orientation="portrait" r:id="rId18"/>
  <tableParts count="1">
    <tablePart r:id="rId19"/>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
    <tabColor theme="3" tint="0.39997558519241921"/>
  </sheetPr>
  <dimension ref="A1:XFD418"/>
  <sheetViews>
    <sheetView view="pageBreakPreview" topLeftCell="A145" zoomScale="85" zoomScaleNormal="60" zoomScaleSheetLayoutView="85" workbookViewId="0">
      <selection activeCell="L7" sqref="L7"/>
    </sheetView>
  </sheetViews>
  <sheetFormatPr baseColWidth="10" defaultColWidth="11.453125" defaultRowHeight="12.5"/>
  <cols>
    <col min="1" max="1" width="16.453125" bestFit="1" customWidth="1"/>
    <col min="2" max="2" width="27.453125" customWidth="1"/>
    <col min="3" max="3" width="79.81640625" customWidth="1"/>
    <col min="6" max="6" width="22.81640625" bestFit="1" customWidth="1"/>
    <col min="7" max="7" width="23.453125" bestFit="1" customWidth="1"/>
    <col min="8" max="8" width="10.81640625" style="715" customWidth="1"/>
    <col min="9" max="9" width="127.453125" bestFit="1" customWidth="1"/>
    <col min="10" max="10" width="18.1796875" bestFit="1" customWidth="1"/>
    <col min="11" max="11" width="15" customWidth="1"/>
    <col min="12" max="12" width="12" bestFit="1" customWidth="1"/>
  </cols>
  <sheetData>
    <row r="1" spans="1:9">
      <c r="A1" t="str">
        <f>+'PRES GENERAL MR(OXI)'!A1</f>
        <v>IMPLEMENTACIÓN DE SOLUCIONES ENERGÉTICAS CON FUENTES NO CONVENCIONALES DE ENERGÍA PARA USUARIOS EN ZONAS RURALES DEL MUNICIPIO DE TEORAMA EN EL DEPARTAMENTO DE NORTE DE SANTANDER</v>
      </c>
      <c r="H1"/>
    </row>
    <row r="2" spans="1:9">
      <c r="H2" s="715">
        <v>0.15</v>
      </c>
    </row>
    <row r="3" spans="1:9" ht="13">
      <c r="A3" s="1434" t="s">
        <v>1303</v>
      </c>
      <c r="B3" s="1434"/>
      <c r="C3" s="1434"/>
      <c r="D3" s="1434"/>
      <c r="E3" s="1434"/>
      <c r="F3" s="1434"/>
      <c r="G3" s="1434"/>
      <c r="H3" s="1434"/>
      <c r="I3" s="1434"/>
    </row>
    <row r="4" spans="1:9" ht="13">
      <c r="A4" s="100" t="s">
        <v>1251</v>
      </c>
      <c r="B4" s="100" t="s">
        <v>1304</v>
      </c>
      <c r="C4" s="101" t="s">
        <v>1305</v>
      </c>
      <c r="D4" s="101" t="s">
        <v>185</v>
      </c>
      <c r="E4" s="102" t="s">
        <v>1306</v>
      </c>
      <c r="F4" s="102" t="s">
        <v>1307</v>
      </c>
      <c r="G4" s="102" t="s">
        <v>1308</v>
      </c>
      <c r="H4" s="716" t="s">
        <v>1309</v>
      </c>
      <c r="I4" s="101" t="s">
        <v>1310</v>
      </c>
    </row>
    <row r="5" spans="1:9" s="421" customFormat="1">
      <c r="A5" s="985">
        <v>1</v>
      </c>
      <c r="B5" s="985" t="s">
        <v>1311</v>
      </c>
      <c r="C5" s="4" t="s">
        <v>1312</v>
      </c>
      <c r="D5" s="64" t="s">
        <v>188</v>
      </c>
      <c r="E5" s="993">
        <v>28.9</v>
      </c>
      <c r="F5" s="987">
        <f>+ROUND(Materiales[[#This Row],[PRECIO BASE]]*(1+Materiales[[#This Row],[AJUSTE POSITIVO]]),0)</f>
        <v>1035000</v>
      </c>
      <c r="G5" s="994">
        <v>900000</v>
      </c>
      <c r="H5" s="995">
        <f t="shared" ref="H5:H36" si="0">+$H$2</f>
        <v>0.15</v>
      </c>
      <c r="I5" s="996"/>
    </row>
    <row r="6" spans="1:9" s="421" customFormat="1">
      <c r="A6" s="997">
        <v>2</v>
      </c>
      <c r="B6" s="997" t="s">
        <v>1313</v>
      </c>
      <c r="C6" s="330" t="s">
        <v>1314</v>
      </c>
      <c r="D6" s="998" t="s">
        <v>1164</v>
      </c>
      <c r="E6" s="999">
        <v>5.8200000000000002E-2</v>
      </c>
      <c r="F6" s="987">
        <f>+ROUND(Materiales[[#This Row],[PRECIO BASE]]*(1+Materiales[[#This Row],[AJUSTE POSITIVO]]),0)</f>
        <v>5775</v>
      </c>
      <c r="G6" s="994">
        <v>5022</v>
      </c>
      <c r="H6" s="995">
        <f t="shared" si="0"/>
        <v>0.15</v>
      </c>
      <c r="I6" s="996"/>
    </row>
    <row r="7" spans="1:9" s="421" customFormat="1">
      <c r="A7" s="997">
        <v>3</v>
      </c>
      <c r="B7" s="997" t="s">
        <v>1313</v>
      </c>
      <c r="C7" s="330" t="s">
        <v>1315</v>
      </c>
      <c r="D7" s="998" t="s">
        <v>188</v>
      </c>
      <c r="E7" s="999">
        <v>0.1</v>
      </c>
      <c r="F7" s="987">
        <f>+ROUND(Materiales[[#This Row],[PRECIO BASE]]*(1+Materiales[[#This Row],[AJUSTE POSITIVO]]),0)</f>
        <v>11284</v>
      </c>
      <c r="G7" s="994">
        <v>9812</v>
      </c>
      <c r="H7" s="995">
        <f t="shared" si="0"/>
        <v>0.15</v>
      </c>
      <c r="I7" s="996"/>
    </row>
    <row r="8" spans="1:9" s="421" customFormat="1">
      <c r="A8" s="997">
        <v>4</v>
      </c>
      <c r="B8" s="997" t="s">
        <v>1313</v>
      </c>
      <c r="C8" s="330" t="s">
        <v>1316</v>
      </c>
      <c r="D8" s="998" t="s">
        <v>1164</v>
      </c>
      <c r="E8" s="999">
        <v>0.18</v>
      </c>
      <c r="F8" s="987">
        <f>+ROUND(Materiales[[#This Row],[PRECIO BASE]]*(1+Materiales[[#This Row],[AJUSTE POSITIVO]]),0)</f>
        <v>24041</v>
      </c>
      <c r="G8" s="994">
        <v>20905</v>
      </c>
      <c r="H8" s="995">
        <f t="shared" si="0"/>
        <v>0.15</v>
      </c>
      <c r="I8" s="996" t="s">
        <v>1317</v>
      </c>
    </row>
    <row r="9" spans="1:9" s="421" customFormat="1" ht="13.4" customHeight="1">
      <c r="A9" s="997">
        <v>5</v>
      </c>
      <c r="B9" s="997" t="s">
        <v>1318</v>
      </c>
      <c r="C9" s="330" t="s">
        <v>1319</v>
      </c>
      <c r="D9" s="998" t="s">
        <v>1164</v>
      </c>
      <c r="E9" s="999">
        <v>0.55000000000000004</v>
      </c>
      <c r="F9" s="987">
        <f>+ROUND(Materiales[[#This Row],[PRECIO BASE]]*(1+Materiales[[#This Row],[AJUSTE POSITIVO]]),0)</f>
        <v>11500</v>
      </c>
      <c r="G9" s="994">
        <v>10000</v>
      </c>
      <c r="H9" s="995">
        <f t="shared" si="0"/>
        <v>0.15</v>
      </c>
      <c r="I9" s="996"/>
    </row>
    <row r="10" spans="1:9" s="421" customFormat="1" ht="13.4" customHeight="1">
      <c r="A10" s="997">
        <v>6</v>
      </c>
      <c r="B10" s="997" t="s">
        <v>1318</v>
      </c>
      <c r="C10" s="330" t="s">
        <v>1320</v>
      </c>
      <c r="D10" s="998" t="s">
        <v>188</v>
      </c>
      <c r="E10" s="999">
        <v>0.14000000000000001</v>
      </c>
      <c r="F10" s="987">
        <f>+ROUND(Materiales[[#This Row],[PRECIO BASE]]*(1+Materiales[[#This Row],[AJUSTE POSITIVO]]),0)</f>
        <v>4130</v>
      </c>
      <c r="G10" s="994">
        <v>3591</v>
      </c>
      <c r="H10" s="995">
        <f t="shared" si="0"/>
        <v>0.15</v>
      </c>
      <c r="I10" s="996"/>
    </row>
    <row r="11" spans="1:9" s="421" customFormat="1">
      <c r="A11" s="997">
        <v>7</v>
      </c>
      <c r="B11" s="997" t="s">
        <v>1318</v>
      </c>
      <c r="C11" s="330" t="s">
        <v>1321</v>
      </c>
      <c r="D11" s="998" t="s">
        <v>188</v>
      </c>
      <c r="E11" s="999">
        <v>0.1</v>
      </c>
      <c r="F11" s="987">
        <f>+ROUND(Materiales[[#This Row],[PRECIO BASE]]*(1+Materiales[[#This Row],[AJUSTE POSITIVO]]),0)</f>
        <v>1304</v>
      </c>
      <c r="G11" s="994">
        <v>1134</v>
      </c>
      <c r="H11" s="995">
        <f t="shared" si="0"/>
        <v>0.15</v>
      </c>
      <c r="I11" s="996"/>
    </row>
    <row r="12" spans="1:9" s="421" customFormat="1" ht="25">
      <c r="A12" s="997">
        <v>8</v>
      </c>
      <c r="B12" s="997" t="s">
        <v>1322</v>
      </c>
      <c r="C12" s="1000" t="s">
        <v>1323</v>
      </c>
      <c r="D12" s="997" t="s">
        <v>188</v>
      </c>
      <c r="E12" s="999">
        <v>13</v>
      </c>
      <c r="F12" s="987">
        <f>+ROUND(Materiales[[#This Row],[PRECIO BASE]]*(1+Materiales[[#This Row],[AJUSTE POSITIVO]]),0)</f>
        <v>724444</v>
      </c>
      <c r="G12" s="994">
        <v>629951.58870967745</v>
      </c>
      <c r="H12" s="995">
        <f t="shared" si="0"/>
        <v>0.15</v>
      </c>
      <c r="I12" s="737"/>
    </row>
    <row r="13" spans="1:9" s="421" customFormat="1">
      <c r="A13" s="997">
        <v>9</v>
      </c>
      <c r="B13" s="997" t="s">
        <v>1324</v>
      </c>
      <c r="C13" s="330" t="s">
        <v>1325</v>
      </c>
      <c r="D13" s="998" t="s">
        <v>188</v>
      </c>
      <c r="E13" s="999">
        <v>1.2</v>
      </c>
      <c r="F13" s="987">
        <f>+ROUND(Materiales[[#This Row],[PRECIO BASE]]*(1+Materiales[[#This Row],[AJUSTE POSITIVO]]),0)</f>
        <v>68845</v>
      </c>
      <c r="G13" s="994">
        <v>59865</v>
      </c>
      <c r="H13" s="995">
        <f t="shared" si="0"/>
        <v>0.15</v>
      </c>
      <c r="I13" s="34" t="s">
        <v>1326</v>
      </c>
    </row>
    <row r="14" spans="1:9" s="421" customFormat="1">
      <c r="A14" s="997">
        <v>10</v>
      </c>
      <c r="B14" s="997" t="s">
        <v>1327</v>
      </c>
      <c r="C14" s="330" t="s">
        <v>1328</v>
      </c>
      <c r="D14" s="998" t="s">
        <v>1164</v>
      </c>
      <c r="E14" s="999">
        <v>0.3</v>
      </c>
      <c r="F14" s="987">
        <f>+ROUND(Materiales[[#This Row],[PRECIO BASE]]*(1+Materiales[[#This Row],[AJUSTE POSITIVO]]),0)</f>
        <v>10732</v>
      </c>
      <c r="G14" s="994">
        <v>9332</v>
      </c>
      <c r="H14" s="995">
        <f t="shared" si="0"/>
        <v>0.15</v>
      </c>
      <c r="I14" s="34"/>
    </row>
    <row r="15" spans="1:9" s="421" customFormat="1">
      <c r="A15" s="997">
        <v>11</v>
      </c>
      <c r="B15" s="997" t="s">
        <v>1329</v>
      </c>
      <c r="C15" s="330" t="s">
        <v>1330</v>
      </c>
      <c r="D15" s="998" t="s">
        <v>188</v>
      </c>
      <c r="E15" s="999">
        <v>0.24</v>
      </c>
      <c r="F15" s="987">
        <f>+ROUND(Materiales[[#This Row],[PRECIO BASE]]*(1+Materiales[[#This Row],[AJUSTE POSITIVO]]),0)</f>
        <v>98625</v>
      </c>
      <c r="G15" s="994">
        <v>85761</v>
      </c>
      <c r="H15" s="995">
        <f t="shared" si="0"/>
        <v>0.15</v>
      </c>
      <c r="I15" s="737" t="s">
        <v>1331</v>
      </c>
    </row>
    <row r="16" spans="1:9" s="421" customFormat="1">
      <c r="A16" s="997">
        <v>12</v>
      </c>
      <c r="B16" s="997" t="s">
        <v>1329</v>
      </c>
      <c r="C16" s="330" t="s">
        <v>1332</v>
      </c>
      <c r="D16" s="998" t="s">
        <v>188</v>
      </c>
      <c r="E16" s="999">
        <v>0.5</v>
      </c>
      <c r="F16" s="987">
        <f>+ROUND(Materiales[[#This Row],[PRECIO BASE]]*(1+Materiales[[#This Row],[AJUSTE POSITIVO]]),0)</f>
        <v>602140</v>
      </c>
      <c r="G16" s="994">
        <v>523600</v>
      </c>
      <c r="H16" s="995">
        <f t="shared" si="0"/>
        <v>0.15</v>
      </c>
      <c r="I16" s="737" t="s">
        <v>1333</v>
      </c>
    </row>
    <row r="17" spans="1:9" s="421" customFormat="1">
      <c r="A17" s="997">
        <v>13</v>
      </c>
      <c r="B17" s="997" t="s">
        <v>1334</v>
      </c>
      <c r="C17" s="330" t="s">
        <v>1335</v>
      </c>
      <c r="D17" s="998" t="s">
        <v>188</v>
      </c>
      <c r="E17" s="999">
        <v>0.24</v>
      </c>
      <c r="F17" s="987">
        <f>+ROUND(Materiales[[#This Row],[PRECIO BASE]]*(1+Materiales[[#This Row],[AJUSTE POSITIVO]]),0)</f>
        <v>223523</v>
      </c>
      <c r="G17" s="994">
        <v>194368</v>
      </c>
      <c r="H17" s="995">
        <f t="shared" si="0"/>
        <v>0.15</v>
      </c>
      <c r="I17" s="737"/>
    </row>
    <row r="18" spans="1:9" s="421" customFormat="1">
      <c r="A18" s="997">
        <v>14</v>
      </c>
      <c r="B18" s="997" t="s">
        <v>1313</v>
      </c>
      <c r="C18" s="330" t="s">
        <v>1336</v>
      </c>
      <c r="D18" s="998" t="s">
        <v>1164</v>
      </c>
      <c r="E18" s="999">
        <v>0.7</v>
      </c>
      <c r="F18" s="987">
        <f>+ROUND(Materiales[[#This Row],[PRECIO BASE]]*(1+Materiales[[#This Row],[AJUSTE POSITIVO]]),0)</f>
        <v>8108</v>
      </c>
      <c r="G18" s="994">
        <v>7050</v>
      </c>
      <c r="H18" s="995">
        <f t="shared" si="0"/>
        <v>0.15</v>
      </c>
      <c r="I18" s="737" t="s">
        <v>1337</v>
      </c>
    </row>
    <row r="19" spans="1:9" s="421" customFormat="1" ht="37.5">
      <c r="A19" s="997">
        <v>15</v>
      </c>
      <c r="B19" s="997" t="s">
        <v>1311</v>
      </c>
      <c r="C19" s="1005" t="s">
        <v>1338</v>
      </c>
      <c r="D19" s="997" t="s">
        <v>188</v>
      </c>
      <c r="E19" s="999">
        <v>3</v>
      </c>
      <c r="F19" s="987">
        <f>+ROUND(Materiales[[#This Row],[PRECIO BASE]]*(1+Materiales[[#This Row],[AJUSTE POSITIVO]]),0)</f>
        <v>3920455</v>
      </c>
      <c r="G19" s="994">
        <v>3409091</v>
      </c>
      <c r="H19" s="995">
        <f t="shared" si="0"/>
        <v>0.15</v>
      </c>
      <c r="I19" s="737" t="s">
        <v>1339</v>
      </c>
    </row>
    <row r="20" spans="1:9" s="421" customFormat="1">
      <c r="A20" s="997">
        <v>16</v>
      </c>
      <c r="B20" s="997" t="s">
        <v>1313</v>
      </c>
      <c r="C20" s="47" t="s">
        <v>1340</v>
      </c>
      <c r="D20" s="998" t="s">
        <v>1164</v>
      </c>
      <c r="E20" s="999">
        <v>9.6000000000000002E-2</v>
      </c>
      <c r="F20" s="987">
        <f>+ROUND(Materiales[[#This Row],[PRECIO BASE]]*(1+Materiales[[#This Row],[AJUSTE POSITIVO]]),0)</f>
        <v>5116</v>
      </c>
      <c r="G20" s="994">
        <v>4449</v>
      </c>
      <c r="H20" s="995">
        <f t="shared" si="0"/>
        <v>0.15</v>
      </c>
      <c r="I20" s="737" t="s">
        <v>1341</v>
      </c>
    </row>
    <row r="21" spans="1:9" s="421" customFormat="1">
      <c r="A21" s="997">
        <v>17</v>
      </c>
      <c r="B21" s="997" t="s">
        <v>1313</v>
      </c>
      <c r="C21" s="330" t="s">
        <v>1342</v>
      </c>
      <c r="D21" s="998" t="s">
        <v>1164</v>
      </c>
      <c r="E21" s="999">
        <v>0.56000000000000005</v>
      </c>
      <c r="F21" s="987">
        <f>+ROUND(Materiales[[#This Row],[PRECIO BASE]]*(1+Materiales[[#This Row],[AJUSTE POSITIVO]]),0)</f>
        <v>6958</v>
      </c>
      <c r="G21" s="994">
        <v>6050</v>
      </c>
      <c r="H21" s="995">
        <f t="shared" si="0"/>
        <v>0.15</v>
      </c>
      <c r="I21" s="737" t="s">
        <v>1343</v>
      </c>
    </row>
    <row r="22" spans="1:9" s="421" customFormat="1" ht="25">
      <c r="A22" s="997">
        <v>18</v>
      </c>
      <c r="B22" s="997" t="s">
        <v>1322</v>
      </c>
      <c r="C22" s="1000" t="s">
        <v>1344</v>
      </c>
      <c r="D22" s="997" t="s">
        <v>188</v>
      </c>
      <c r="E22" s="999">
        <v>20</v>
      </c>
      <c r="F22" s="987">
        <f>+ROUND(Materiales[[#This Row],[PRECIO BASE]]*(1+Materiales[[#This Row],[AJUSTE POSITIVO]]),0)</f>
        <v>1619860</v>
      </c>
      <c r="G22" s="994">
        <v>1408574</v>
      </c>
      <c r="H22" s="995">
        <f t="shared" si="0"/>
        <v>0.15</v>
      </c>
      <c r="I22" s="34" t="s">
        <v>1345</v>
      </c>
    </row>
    <row r="23" spans="1:9" s="421" customFormat="1" ht="13.4" customHeight="1">
      <c r="A23" s="997">
        <v>19</v>
      </c>
      <c r="B23" s="997" t="s">
        <v>1324</v>
      </c>
      <c r="C23" s="330" t="s">
        <v>1346</v>
      </c>
      <c r="D23" s="998" t="s">
        <v>188</v>
      </c>
      <c r="E23" s="999">
        <v>3.5</v>
      </c>
      <c r="F23" s="987">
        <f>+ROUND(Materiales[[#This Row],[PRECIO BASE]]*(1+Materiales[[#This Row],[AJUSTE POSITIVO]]),0)</f>
        <v>223745</v>
      </c>
      <c r="G23" s="994">
        <v>194561.25</v>
      </c>
      <c r="H23" s="995">
        <f t="shared" si="0"/>
        <v>0.15</v>
      </c>
      <c r="I23" s="737"/>
    </row>
    <row r="24" spans="1:9" s="421" customFormat="1" ht="31" customHeight="1">
      <c r="A24" s="997">
        <v>20</v>
      </c>
      <c r="B24" s="997" t="s">
        <v>1329</v>
      </c>
      <c r="C24" s="330" t="s">
        <v>1347</v>
      </c>
      <c r="D24" s="997" t="s">
        <v>188</v>
      </c>
      <c r="E24" s="999">
        <v>0.4</v>
      </c>
      <c r="F24" s="987">
        <f>+ROUND(Materiales[[#This Row],[PRECIO BASE]]*(1+Materiales[[#This Row],[AJUSTE POSITIVO]]),0)</f>
        <v>191201</v>
      </c>
      <c r="G24" s="994">
        <v>166262</v>
      </c>
      <c r="H24" s="995">
        <f t="shared" si="0"/>
        <v>0.15</v>
      </c>
      <c r="I24" s="737" t="s">
        <v>1348</v>
      </c>
    </row>
    <row r="25" spans="1:9" s="421" customFormat="1">
      <c r="A25" s="997">
        <v>21</v>
      </c>
      <c r="B25" s="997" t="s">
        <v>1313</v>
      </c>
      <c r="C25" s="330" t="s">
        <v>1349</v>
      </c>
      <c r="D25" s="998" t="s">
        <v>1164</v>
      </c>
      <c r="E25" s="999">
        <v>0.86</v>
      </c>
      <c r="F25" s="987">
        <f>+ROUND(Materiales[[#This Row],[PRECIO BASE]]*(1+Materiales[[#This Row],[AJUSTE POSITIVO]]),0)</f>
        <v>13398</v>
      </c>
      <c r="G25" s="994">
        <v>11650</v>
      </c>
      <c r="H25" s="995">
        <f t="shared" si="0"/>
        <v>0.15</v>
      </c>
      <c r="I25" s="34" t="s">
        <v>1350</v>
      </c>
    </row>
    <row r="26" spans="1:9" s="421" customFormat="1">
      <c r="A26" s="997">
        <v>22</v>
      </c>
      <c r="B26" s="997" t="s">
        <v>1329</v>
      </c>
      <c r="C26" s="330" t="s">
        <v>1351</v>
      </c>
      <c r="D26" s="997" t="s">
        <v>188</v>
      </c>
      <c r="E26" s="999">
        <v>0.4</v>
      </c>
      <c r="F26" s="987">
        <f>+ROUND(Materiales[[#This Row],[PRECIO BASE]]*(1+Materiales[[#This Row],[AJUSTE POSITIVO]]),0)</f>
        <v>276000</v>
      </c>
      <c r="G26" s="994">
        <v>240000</v>
      </c>
      <c r="H26" s="995">
        <f t="shared" si="0"/>
        <v>0.15</v>
      </c>
      <c r="I26" s="34" t="s">
        <v>1352</v>
      </c>
    </row>
    <row r="27" spans="1:9" s="421" customFormat="1">
      <c r="A27" s="997">
        <v>23</v>
      </c>
      <c r="B27" s="997" t="s">
        <v>1329</v>
      </c>
      <c r="C27" s="330" t="s">
        <v>1353</v>
      </c>
      <c r="D27" s="997" t="s">
        <v>188</v>
      </c>
      <c r="E27" s="999">
        <v>0.5</v>
      </c>
      <c r="F27" s="987">
        <f>+ROUND(Materiales[[#This Row],[PRECIO BASE]]*(1+Materiales[[#This Row],[AJUSTE POSITIVO]]),0)</f>
        <v>626905</v>
      </c>
      <c r="G27" s="994">
        <v>545135</v>
      </c>
      <c r="H27" s="995">
        <f t="shared" si="0"/>
        <v>0.15</v>
      </c>
      <c r="I27" s="737" t="s">
        <v>1333</v>
      </c>
    </row>
    <row r="28" spans="1:9" s="421" customFormat="1">
      <c r="A28" s="997">
        <v>24</v>
      </c>
      <c r="B28" s="997" t="s">
        <v>1313</v>
      </c>
      <c r="C28" s="330" t="s">
        <v>1354</v>
      </c>
      <c r="D28" s="997" t="s">
        <v>188</v>
      </c>
      <c r="E28" s="999">
        <v>8.0000000000000002E-3</v>
      </c>
      <c r="F28" s="987">
        <f>+ROUND(Materiales[[#This Row],[PRECIO BASE]]*(1+Materiales[[#This Row],[AJUSTE POSITIVO]]),0)</f>
        <v>2111</v>
      </c>
      <c r="G28" s="994">
        <v>1836.0000000000002</v>
      </c>
      <c r="H28" s="995">
        <f t="shared" si="0"/>
        <v>0.15</v>
      </c>
      <c r="I28" s="34" t="s">
        <v>1355</v>
      </c>
    </row>
    <row r="29" spans="1:9" s="421" customFormat="1">
      <c r="A29" s="997">
        <v>25</v>
      </c>
      <c r="B29" s="997" t="s">
        <v>1313</v>
      </c>
      <c r="C29" s="330" t="s">
        <v>1356</v>
      </c>
      <c r="D29" s="998" t="s">
        <v>188</v>
      </c>
      <c r="E29" s="999">
        <v>8.0000000000000002E-3</v>
      </c>
      <c r="F29" s="987">
        <f>+ROUND(Materiales[[#This Row],[PRECIO BASE]]*(1+Materiales[[#This Row],[AJUSTE POSITIVO]]),0)</f>
        <v>3680</v>
      </c>
      <c r="G29" s="994">
        <v>3200</v>
      </c>
      <c r="H29" s="995">
        <f t="shared" si="0"/>
        <v>0.15</v>
      </c>
      <c r="I29" s="34" t="s">
        <v>1357</v>
      </c>
    </row>
    <row r="30" spans="1:9" s="421" customFormat="1">
      <c r="A30" s="997">
        <v>26</v>
      </c>
      <c r="B30" s="997" t="s">
        <v>1311</v>
      </c>
      <c r="C30" s="169" t="s">
        <v>1358</v>
      </c>
      <c r="D30" s="998" t="s">
        <v>188</v>
      </c>
      <c r="E30" s="999">
        <v>45</v>
      </c>
      <c r="F30" s="987">
        <f>+ROUND(Materiales[[#This Row],[PRECIO BASE]]*(1+Materiales[[#This Row],[AJUSTE POSITIVO]]),0)</f>
        <v>7992500</v>
      </c>
      <c r="G30" s="994">
        <v>6950000</v>
      </c>
      <c r="H30" s="995">
        <f t="shared" si="0"/>
        <v>0.15</v>
      </c>
      <c r="I30" s="34"/>
    </row>
    <row r="31" spans="1:9" s="421" customFormat="1">
      <c r="A31" s="997">
        <v>27</v>
      </c>
      <c r="B31" s="997" t="s">
        <v>1327</v>
      </c>
      <c r="C31" s="330" t="s">
        <v>1359</v>
      </c>
      <c r="D31" s="998" t="s">
        <v>188</v>
      </c>
      <c r="E31" s="999">
        <v>25</v>
      </c>
      <c r="F31" s="987">
        <f>+ROUND(Materiales[[#This Row],[PRECIO BASE]]*(1+Materiales[[#This Row],[AJUSTE POSITIVO]]),0)</f>
        <v>2975622</v>
      </c>
      <c r="G31" s="994">
        <v>2587497</v>
      </c>
      <c r="H31" s="995">
        <f t="shared" si="0"/>
        <v>0.15</v>
      </c>
      <c r="I31" s="34"/>
    </row>
    <row r="32" spans="1:9" s="421" customFormat="1">
      <c r="A32" s="997">
        <v>28</v>
      </c>
      <c r="B32" s="997" t="s">
        <v>1313</v>
      </c>
      <c r="C32" s="330" t="s">
        <v>1360</v>
      </c>
      <c r="D32" s="998" t="s">
        <v>1164</v>
      </c>
      <c r="E32" s="999">
        <v>0.06</v>
      </c>
      <c r="F32" s="987">
        <f>+ROUND(Materiales[[#This Row],[PRECIO BASE]]*(1+Materiales[[#This Row],[AJUSTE POSITIVO]]),0)</f>
        <v>4633</v>
      </c>
      <c r="G32" s="994">
        <v>4029</v>
      </c>
      <c r="H32" s="995">
        <f t="shared" si="0"/>
        <v>0.15</v>
      </c>
      <c r="I32" s="737" t="s">
        <v>1361</v>
      </c>
    </row>
    <row r="33" spans="1:9" s="421" customFormat="1">
      <c r="A33" s="997">
        <v>29</v>
      </c>
      <c r="B33" s="997" t="s">
        <v>1313</v>
      </c>
      <c r="C33" s="47" t="s">
        <v>1362</v>
      </c>
      <c r="D33" s="998" t="s">
        <v>1363</v>
      </c>
      <c r="E33" s="999">
        <v>0.02</v>
      </c>
      <c r="F33" s="987">
        <f>+ROUND(Materiales[[#This Row],[PRECIO BASE]]*(1+Materiales[[#This Row],[AJUSTE POSITIVO]]),0)</f>
        <v>122165</v>
      </c>
      <c r="G33" s="994">
        <v>106230</v>
      </c>
      <c r="H33" s="995">
        <f t="shared" si="0"/>
        <v>0.15</v>
      </c>
      <c r="I33" s="34" t="s">
        <v>1364</v>
      </c>
    </row>
    <row r="34" spans="1:9" s="421" customFormat="1" ht="25">
      <c r="A34" s="997">
        <v>30</v>
      </c>
      <c r="B34" s="997" t="s">
        <v>1311</v>
      </c>
      <c r="C34" s="1005" t="s">
        <v>1365</v>
      </c>
      <c r="D34" s="998" t="s">
        <v>188</v>
      </c>
      <c r="E34" s="999">
        <v>30</v>
      </c>
      <c r="F34" s="987">
        <f>+ROUND(Materiales[[#This Row],[PRECIO BASE]]*(1+Materiales[[#This Row],[AJUSTE POSITIVO]]),0)</f>
        <v>11574806</v>
      </c>
      <c r="G34" s="994">
        <v>10065049</v>
      </c>
      <c r="H34" s="995">
        <f t="shared" si="0"/>
        <v>0.15</v>
      </c>
      <c r="I34" s="34"/>
    </row>
    <row r="35" spans="1:9" s="421" customFormat="1" ht="25">
      <c r="A35" s="997">
        <v>31</v>
      </c>
      <c r="B35" s="997" t="s">
        <v>1322</v>
      </c>
      <c r="C35" s="1000" t="s">
        <v>1366</v>
      </c>
      <c r="D35" s="998" t="s">
        <v>188</v>
      </c>
      <c r="E35" s="999">
        <v>10</v>
      </c>
      <c r="F35" s="987">
        <f>+ROUND(Materiales[[#This Row],[PRECIO BASE]]*(1+Materiales[[#This Row],[AJUSTE POSITIVO]]),0)</f>
        <v>827004</v>
      </c>
      <c r="G35" s="994">
        <v>719134</v>
      </c>
      <c r="H35" s="995">
        <f t="shared" si="0"/>
        <v>0.15</v>
      </c>
      <c r="I35" s="34" t="s">
        <v>1367</v>
      </c>
    </row>
    <row r="36" spans="1:9" s="421" customFormat="1">
      <c r="A36" s="997">
        <v>32</v>
      </c>
      <c r="B36" s="997" t="s">
        <v>1324</v>
      </c>
      <c r="C36" s="330" t="s">
        <v>1368</v>
      </c>
      <c r="D36" s="998" t="s">
        <v>188</v>
      </c>
      <c r="E36" s="999">
        <v>1</v>
      </c>
      <c r="F36" s="987">
        <f>+ROUND(Materiales[[#This Row],[PRECIO BASE]]*(1+Materiales[[#This Row],[AJUSTE POSITIVO]]),0)</f>
        <v>37865</v>
      </c>
      <c r="G36" s="994">
        <v>32925.75</v>
      </c>
      <c r="H36" s="995">
        <f t="shared" si="0"/>
        <v>0.15</v>
      </c>
      <c r="I36" s="34"/>
    </row>
    <row r="37" spans="1:9" s="421" customFormat="1">
      <c r="A37" s="997">
        <v>33</v>
      </c>
      <c r="B37" s="997" t="s">
        <v>1329</v>
      </c>
      <c r="C37" s="330" t="s">
        <v>1369</v>
      </c>
      <c r="D37" s="998" t="s">
        <v>188</v>
      </c>
      <c r="E37" s="999">
        <v>0.24</v>
      </c>
      <c r="F37" s="987">
        <f>+ROUND(Materiales[[#This Row],[PRECIO BASE]]*(1+Materiales[[#This Row],[AJUSTE POSITIVO]]),0)</f>
        <v>31625</v>
      </c>
      <c r="G37" s="994">
        <v>27500</v>
      </c>
      <c r="H37" s="995">
        <f t="shared" ref="H37:H68" si="1">+$H$2</f>
        <v>0.15</v>
      </c>
      <c r="I37" s="737" t="s">
        <v>1370</v>
      </c>
    </row>
    <row r="38" spans="1:9" s="421" customFormat="1">
      <c r="A38" s="997">
        <v>34</v>
      </c>
      <c r="B38" s="997" t="s">
        <v>1329</v>
      </c>
      <c r="C38" s="47" t="s">
        <v>1371</v>
      </c>
      <c r="D38" s="998" t="s">
        <v>188</v>
      </c>
      <c r="E38" s="999">
        <v>0.35</v>
      </c>
      <c r="F38" s="987">
        <f>+ROUND(Materiales[[#This Row],[PRECIO BASE]]*(1+Materiales[[#This Row],[AJUSTE POSITIVO]]),0)</f>
        <v>242639</v>
      </c>
      <c r="G38" s="994">
        <v>210990</v>
      </c>
      <c r="H38" s="995">
        <f t="shared" si="1"/>
        <v>0.15</v>
      </c>
      <c r="I38" s="737" t="s">
        <v>1372</v>
      </c>
    </row>
    <row r="39" spans="1:9" s="421" customFormat="1">
      <c r="A39" s="997">
        <v>35</v>
      </c>
      <c r="B39" s="997" t="s">
        <v>1311</v>
      </c>
      <c r="C39" s="169" t="s">
        <v>1373</v>
      </c>
      <c r="D39" s="998" t="s">
        <v>188</v>
      </c>
      <c r="E39" s="999">
        <v>13.5</v>
      </c>
      <c r="F39" s="987">
        <f>+ROUND(Materiales[[#This Row],[PRECIO BASE]]*(1+Materiales[[#This Row],[AJUSTE POSITIVO]]),0)</f>
        <v>3295600</v>
      </c>
      <c r="G39" s="994">
        <v>2865739</v>
      </c>
      <c r="H39" s="995">
        <f t="shared" si="1"/>
        <v>0.15</v>
      </c>
      <c r="I39" s="34"/>
    </row>
    <row r="40" spans="1:9" s="421" customFormat="1" ht="25">
      <c r="A40" s="997">
        <v>36</v>
      </c>
      <c r="B40" s="985" t="s">
        <v>1322</v>
      </c>
      <c r="C40" s="1000" t="s">
        <v>1374</v>
      </c>
      <c r="D40" s="985" t="s">
        <v>188</v>
      </c>
      <c r="E40" s="64">
        <v>15</v>
      </c>
      <c r="F40" s="987">
        <f>+ROUND(Materiales[[#This Row],[PRECIO BASE]]*(1+Materiales[[#This Row],[AJUSTE POSITIVO]]),0)</f>
        <v>204447</v>
      </c>
      <c r="G40" s="994">
        <v>177780.24193548388</v>
      </c>
      <c r="H40" s="995">
        <f t="shared" si="1"/>
        <v>0.15</v>
      </c>
      <c r="I40" s="34"/>
    </row>
    <row r="41" spans="1:9" s="421" customFormat="1">
      <c r="A41" s="997">
        <v>37</v>
      </c>
      <c r="B41" s="985" t="s">
        <v>1324</v>
      </c>
      <c r="C41" s="103" t="s">
        <v>1375</v>
      </c>
      <c r="D41" s="986" t="s">
        <v>188</v>
      </c>
      <c r="E41" s="64">
        <v>1.5</v>
      </c>
      <c r="F41" s="987">
        <f>+ROUND(Materiales[[#This Row],[PRECIO BASE]]*(1+Materiales[[#This Row],[AJUSTE POSITIVO]]),0)</f>
        <v>86056</v>
      </c>
      <c r="G41" s="994">
        <v>74831.25</v>
      </c>
      <c r="H41" s="995">
        <f t="shared" si="1"/>
        <v>0.15</v>
      </c>
      <c r="I41" s="34"/>
    </row>
    <row r="42" spans="1:9" s="421" customFormat="1" ht="25">
      <c r="A42" s="997">
        <v>38</v>
      </c>
      <c r="B42" s="985" t="s">
        <v>1376</v>
      </c>
      <c r="C42" s="1010" t="s">
        <v>1377</v>
      </c>
      <c r="D42" s="986" t="s">
        <v>188</v>
      </c>
      <c r="E42" s="64">
        <v>1</v>
      </c>
      <c r="F42" s="987">
        <f>+ROUND(Materiales[[#This Row],[PRECIO BASE]]*(1+Materiales[[#This Row],[AJUSTE POSITIVO]]),0)</f>
        <v>52759</v>
      </c>
      <c r="G42" s="994">
        <v>45877</v>
      </c>
      <c r="H42" s="995">
        <f t="shared" si="1"/>
        <v>0.15</v>
      </c>
      <c r="I42" s="34"/>
    </row>
    <row r="43" spans="1:9" s="421" customFormat="1">
      <c r="A43" s="997">
        <v>39</v>
      </c>
      <c r="B43" s="985" t="s">
        <v>1313</v>
      </c>
      <c r="C43" s="330" t="s">
        <v>1378</v>
      </c>
      <c r="D43" s="986" t="s">
        <v>1164</v>
      </c>
      <c r="E43" s="64">
        <f>0.068/2</f>
        <v>3.4000000000000002E-2</v>
      </c>
      <c r="F43" s="987">
        <f>+ROUND(Materiales[[#This Row],[PRECIO BASE]]*(1+Materiales[[#This Row],[AJUSTE POSITIVO]]),0)</f>
        <v>1811</v>
      </c>
      <c r="G43" s="994">
        <v>1575</v>
      </c>
      <c r="H43" s="995">
        <f t="shared" si="1"/>
        <v>0.15</v>
      </c>
      <c r="I43" s="996" t="s">
        <v>1379</v>
      </c>
    </row>
    <row r="44" spans="1:9" s="421" customFormat="1">
      <c r="A44" s="997">
        <v>40</v>
      </c>
      <c r="B44" s="985" t="s">
        <v>1329</v>
      </c>
      <c r="C44" s="330" t="s">
        <v>1380</v>
      </c>
      <c r="D44" s="986" t="s">
        <v>188</v>
      </c>
      <c r="E44" s="64">
        <v>0.4</v>
      </c>
      <c r="F44" s="987">
        <f>+ROUND(Materiales[[#This Row],[PRECIO BASE]]*(1+Materiales[[#This Row],[AJUSTE POSITIVO]]),0)</f>
        <v>542852</v>
      </c>
      <c r="G44" s="994">
        <v>472045</v>
      </c>
      <c r="H44" s="995">
        <f t="shared" si="1"/>
        <v>0.15</v>
      </c>
      <c r="I44" s="996" t="s">
        <v>1381</v>
      </c>
    </row>
    <row r="45" spans="1:9" s="421" customFormat="1">
      <c r="A45" s="997">
        <v>41</v>
      </c>
      <c r="B45" s="985" t="s">
        <v>1329</v>
      </c>
      <c r="C45" s="330" t="s">
        <v>1382</v>
      </c>
      <c r="D45" s="986" t="s">
        <v>188</v>
      </c>
      <c r="E45" s="64">
        <v>0.3</v>
      </c>
      <c r="F45" s="987">
        <f>+ROUND(Materiales[[#This Row],[PRECIO BASE]]*(1+Materiales[[#This Row],[AJUSTE POSITIVO]]),0)</f>
        <v>558900</v>
      </c>
      <c r="G45" s="994">
        <v>486000</v>
      </c>
      <c r="H45" s="995">
        <f t="shared" si="1"/>
        <v>0.15</v>
      </c>
      <c r="I45" s="996" t="s">
        <v>1383</v>
      </c>
    </row>
    <row r="46" spans="1:9" s="421" customFormat="1">
      <c r="A46" s="997">
        <v>42</v>
      </c>
      <c r="B46" s="985" t="s">
        <v>1329</v>
      </c>
      <c r="C46" s="103" t="s">
        <v>1384</v>
      </c>
      <c r="D46" s="986" t="s">
        <v>188</v>
      </c>
      <c r="E46" s="64">
        <v>0.24</v>
      </c>
      <c r="F46" s="987">
        <f>+ROUND(Materiales[[#This Row],[PRECIO BASE]]*(1+Materiales[[#This Row],[AJUSTE POSITIVO]]),0)</f>
        <v>29153</v>
      </c>
      <c r="G46" s="994">
        <v>25350</v>
      </c>
      <c r="H46" s="995">
        <f t="shared" si="1"/>
        <v>0.15</v>
      </c>
      <c r="I46" s="996" t="s">
        <v>1385</v>
      </c>
    </row>
    <row r="47" spans="1:9" s="421" customFormat="1">
      <c r="A47" s="997">
        <v>43</v>
      </c>
      <c r="B47" s="985" t="s">
        <v>1318</v>
      </c>
      <c r="C47" s="330" t="s">
        <v>1386</v>
      </c>
      <c r="D47" s="986" t="s">
        <v>1164</v>
      </c>
      <c r="E47" s="999">
        <v>0.5</v>
      </c>
      <c r="F47" s="987">
        <f>+ROUND(Materiales[[#This Row],[PRECIO BASE]]*(1+Materiales[[#This Row],[AJUSTE POSITIVO]]),0)</f>
        <v>74354</v>
      </c>
      <c r="G47" s="994">
        <v>64656</v>
      </c>
      <c r="H47" s="995">
        <f t="shared" si="1"/>
        <v>0.15</v>
      </c>
      <c r="I47" s="996" t="s">
        <v>1387</v>
      </c>
    </row>
    <row r="48" spans="1:9" s="421" customFormat="1">
      <c r="A48" s="997">
        <v>44</v>
      </c>
      <c r="B48" s="985" t="s">
        <v>1318</v>
      </c>
      <c r="C48" s="330" t="s">
        <v>1388</v>
      </c>
      <c r="D48" s="986" t="s">
        <v>1164</v>
      </c>
      <c r="E48" s="1009">
        <f>0.79/2/3</f>
        <v>0.13166666666666668</v>
      </c>
      <c r="F48" s="987">
        <f>+ROUND(Materiales[[#This Row],[PRECIO BASE]]*(1+Materiales[[#This Row],[AJUSTE POSITIVO]]),0)</f>
        <v>2962</v>
      </c>
      <c r="G48" s="994">
        <v>2576</v>
      </c>
      <c r="H48" s="995">
        <f t="shared" si="1"/>
        <v>0.15</v>
      </c>
      <c r="I48" s="737" t="s">
        <v>1389</v>
      </c>
    </row>
    <row r="49" spans="1:9" s="421" customFormat="1">
      <c r="A49" s="997">
        <v>45</v>
      </c>
      <c r="B49" s="985" t="s">
        <v>1318</v>
      </c>
      <c r="C49" s="330" t="s">
        <v>1390</v>
      </c>
      <c r="D49" s="998" t="s">
        <v>1164</v>
      </c>
      <c r="E49" s="1009">
        <f>3.2/3</f>
        <v>1.0666666666666667</v>
      </c>
      <c r="F49" s="987">
        <f>+ROUND(Materiales[[#This Row],[PRECIO BASE]]*(1+Materiales[[#This Row],[AJUSTE POSITIVO]]),0)</f>
        <v>17903</v>
      </c>
      <c r="G49" s="994">
        <v>15568</v>
      </c>
      <c r="H49" s="995">
        <f t="shared" si="1"/>
        <v>0.15</v>
      </c>
      <c r="I49" s="737" t="s">
        <v>1391</v>
      </c>
    </row>
    <row r="50" spans="1:9" s="421" customFormat="1">
      <c r="A50" s="997">
        <v>46</v>
      </c>
      <c r="B50" s="985" t="s">
        <v>1318</v>
      </c>
      <c r="C50" s="330" t="s">
        <v>1392</v>
      </c>
      <c r="D50" s="998" t="s">
        <v>188</v>
      </c>
      <c r="E50" s="999">
        <v>0.08</v>
      </c>
      <c r="F50" s="987">
        <f>+ROUND(Materiales[[#This Row],[PRECIO BASE]]*(1+Materiales[[#This Row],[AJUSTE POSITIVO]]),0)</f>
        <v>3910</v>
      </c>
      <c r="G50" s="994">
        <v>3400.0000000000005</v>
      </c>
      <c r="H50" s="995">
        <f t="shared" si="1"/>
        <v>0.15</v>
      </c>
      <c r="I50" s="737" t="s">
        <v>1393</v>
      </c>
    </row>
    <row r="51" spans="1:9" s="421" customFormat="1">
      <c r="A51" s="985">
        <v>47</v>
      </c>
      <c r="B51" s="985" t="s">
        <v>1318</v>
      </c>
      <c r="C51" s="330" t="s">
        <v>1394</v>
      </c>
      <c r="D51" s="998" t="s">
        <v>1363</v>
      </c>
      <c r="E51" s="999">
        <v>0.2</v>
      </c>
      <c r="F51" s="987">
        <f>+ROUND(Materiales[[#This Row],[PRECIO BASE]]*(1+Materiales[[#This Row],[AJUSTE POSITIVO]]),0)</f>
        <v>5227</v>
      </c>
      <c r="G51" s="994">
        <v>4545</v>
      </c>
      <c r="H51" s="995">
        <f t="shared" si="1"/>
        <v>0.15</v>
      </c>
      <c r="I51" s="737"/>
    </row>
    <row r="52" spans="1:9" s="421" customFormat="1">
      <c r="A52" s="985">
        <v>48</v>
      </c>
      <c r="B52" s="985" t="s">
        <v>1318</v>
      </c>
      <c r="C52" s="1004" t="s">
        <v>1395</v>
      </c>
      <c r="D52" s="998" t="s">
        <v>188</v>
      </c>
      <c r="E52" s="999">
        <v>0.19</v>
      </c>
      <c r="F52" s="987">
        <f>+ROUND(Materiales[[#This Row],[PRECIO BASE]]*(1+Materiales[[#This Row],[AJUSTE POSITIVO]]),0)</f>
        <v>11443</v>
      </c>
      <c r="G52" s="994">
        <v>9950</v>
      </c>
      <c r="H52" s="995">
        <f t="shared" si="1"/>
        <v>0.15</v>
      </c>
      <c r="I52" s="737" t="s">
        <v>1396</v>
      </c>
    </row>
    <row r="53" spans="1:9" s="421" customFormat="1">
      <c r="A53" s="997">
        <v>49</v>
      </c>
      <c r="B53" s="985" t="s">
        <v>1318</v>
      </c>
      <c r="C53" s="336" t="s">
        <v>1397</v>
      </c>
      <c r="D53" s="998" t="s">
        <v>188</v>
      </c>
      <c r="E53" s="999">
        <v>0.1</v>
      </c>
      <c r="F53" s="987">
        <f>+ROUND(Materiales[[#This Row],[PRECIO BASE]]*(1+Materiales[[#This Row],[AJUSTE POSITIVO]]),0)</f>
        <v>3096</v>
      </c>
      <c r="G53" s="994">
        <v>2692</v>
      </c>
      <c r="H53" s="995">
        <f t="shared" si="1"/>
        <v>0.15</v>
      </c>
      <c r="I53" s="737"/>
    </row>
    <row r="54" spans="1:9" s="421" customFormat="1">
      <c r="A54" s="997">
        <v>50</v>
      </c>
      <c r="B54" s="985" t="s">
        <v>1318</v>
      </c>
      <c r="C54" s="330" t="s">
        <v>1398</v>
      </c>
      <c r="D54" s="998" t="s">
        <v>188</v>
      </c>
      <c r="E54" s="999">
        <v>0.05</v>
      </c>
      <c r="F54" s="987">
        <f>+ROUND(Materiales[[#This Row],[PRECIO BASE]]*(1+Materiales[[#This Row],[AJUSTE POSITIVO]]),0)</f>
        <v>2743</v>
      </c>
      <c r="G54" s="994">
        <v>2385</v>
      </c>
      <c r="H54" s="995">
        <f t="shared" si="1"/>
        <v>0.15</v>
      </c>
      <c r="I54" s="737"/>
    </row>
    <row r="55" spans="1:9" s="421" customFormat="1">
      <c r="A55" s="997">
        <v>51</v>
      </c>
      <c r="B55" s="985" t="s">
        <v>1318</v>
      </c>
      <c r="C55" s="330" t="s">
        <v>1399</v>
      </c>
      <c r="D55" s="998" t="s">
        <v>188</v>
      </c>
      <c r="E55" s="999">
        <v>0.05</v>
      </c>
      <c r="F55" s="987">
        <f>+ROUND(Materiales[[#This Row],[PRECIO BASE]]*(1+Materiales[[#This Row],[AJUSTE POSITIVO]]),0)</f>
        <v>9174</v>
      </c>
      <c r="G55" s="994">
        <v>7977</v>
      </c>
      <c r="H55" s="995">
        <f t="shared" si="1"/>
        <v>0.15</v>
      </c>
      <c r="I55" s="737"/>
    </row>
    <row r="56" spans="1:9" s="421" customFormat="1">
      <c r="A56" s="997">
        <v>52</v>
      </c>
      <c r="B56" s="985" t="s">
        <v>1327</v>
      </c>
      <c r="C56" s="330" t="s">
        <v>1400</v>
      </c>
      <c r="D56" s="998" t="s">
        <v>188</v>
      </c>
      <c r="E56" s="999">
        <v>0.35</v>
      </c>
      <c r="F56" s="987">
        <f>+ROUND(Materiales[[#This Row],[PRECIO BASE]]*(1+Materiales[[#This Row],[AJUSTE POSITIVO]]),0)</f>
        <v>283017</v>
      </c>
      <c r="G56" s="994">
        <v>246102</v>
      </c>
      <c r="H56" s="995">
        <f t="shared" si="1"/>
        <v>0.15</v>
      </c>
      <c r="I56" s="737" t="s">
        <v>1401</v>
      </c>
    </row>
    <row r="57" spans="1:9" s="421" customFormat="1" ht="25">
      <c r="A57" s="997">
        <v>53</v>
      </c>
      <c r="B57" s="997" t="s">
        <v>1402</v>
      </c>
      <c r="C57" s="1000" t="s">
        <v>1403</v>
      </c>
      <c r="D57" s="997" t="s">
        <v>188</v>
      </c>
      <c r="E57" s="999">
        <v>2</v>
      </c>
      <c r="F57" s="987">
        <f>+ROUND(Materiales[[#This Row],[PRECIO BASE]]*(1+Materiales[[#This Row],[AJUSTE POSITIVO]]),0)</f>
        <v>2110371</v>
      </c>
      <c r="G57" s="994">
        <v>1835105</v>
      </c>
      <c r="H57" s="995">
        <f t="shared" si="1"/>
        <v>0.15</v>
      </c>
      <c r="I57" s="737"/>
    </row>
    <row r="58" spans="1:9" s="421" customFormat="1">
      <c r="A58" s="997">
        <v>54</v>
      </c>
      <c r="B58" s="997" t="s">
        <v>1402</v>
      </c>
      <c r="C58" s="330" t="s">
        <v>1404</v>
      </c>
      <c r="D58" s="997" t="s">
        <v>188</v>
      </c>
      <c r="E58" s="999">
        <v>1</v>
      </c>
      <c r="F58" s="987">
        <f>+ROUND(Materiales[[#This Row],[PRECIO BASE]]*(1+Materiales[[#This Row],[AJUSTE POSITIVO]]),0)</f>
        <v>3138036</v>
      </c>
      <c r="G58" s="994">
        <v>2728727</v>
      </c>
      <c r="H58" s="995">
        <f t="shared" si="1"/>
        <v>0.15</v>
      </c>
      <c r="I58" s="34"/>
    </row>
    <row r="59" spans="1:9" s="421" customFormat="1">
      <c r="A59" s="997">
        <v>55</v>
      </c>
      <c r="B59" s="997" t="s">
        <v>1402</v>
      </c>
      <c r="C59" s="330" t="s">
        <v>1405</v>
      </c>
      <c r="D59" s="998" t="s">
        <v>1164</v>
      </c>
      <c r="E59" s="999">
        <v>3.2000000000000001E-2</v>
      </c>
      <c r="F59" s="987">
        <f>+ROUND(Materiales[[#This Row],[PRECIO BASE]]*(1+Materiales[[#This Row],[AJUSTE POSITIVO]]),0)</f>
        <v>1968</v>
      </c>
      <c r="G59" s="994">
        <v>1711.4754098360656</v>
      </c>
      <c r="H59" s="995">
        <f t="shared" si="1"/>
        <v>0.15</v>
      </c>
      <c r="I59" s="34" t="s">
        <v>1406</v>
      </c>
    </row>
    <row r="60" spans="1:9" s="421" customFormat="1">
      <c r="A60" s="997">
        <v>56</v>
      </c>
      <c r="B60" s="997" t="s">
        <v>1402</v>
      </c>
      <c r="C60" s="330" t="s">
        <v>1407</v>
      </c>
      <c r="D60" s="998" t="s">
        <v>1164</v>
      </c>
      <c r="E60" s="999">
        <v>3.2000000000000001E-2</v>
      </c>
      <c r="F60" s="987">
        <f>+ROUND(Materiales[[#This Row],[PRECIO BASE]]*(1+Materiales[[#This Row],[AJUSTE POSITIVO]]),0)</f>
        <v>3144</v>
      </c>
      <c r="G60" s="994">
        <v>2734.0983606557379</v>
      </c>
      <c r="H60" s="995">
        <f t="shared" si="1"/>
        <v>0.15</v>
      </c>
      <c r="I60" s="34" t="s">
        <v>1408</v>
      </c>
    </row>
    <row r="61" spans="1:9" s="421" customFormat="1">
      <c r="A61" s="997">
        <v>57</v>
      </c>
      <c r="B61" s="997" t="s">
        <v>1402</v>
      </c>
      <c r="C61" s="330" t="s">
        <v>1409</v>
      </c>
      <c r="D61" s="998" t="s">
        <v>188</v>
      </c>
      <c r="E61" s="999">
        <v>0.01</v>
      </c>
      <c r="F61" s="987">
        <f>+ROUND(Materiales[[#This Row],[PRECIO BASE]]*(1+Materiales[[#This Row],[AJUSTE POSITIVO]]),0)</f>
        <v>3429</v>
      </c>
      <c r="G61" s="994">
        <v>2982</v>
      </c>
      <c r="H61" s="995">
        <f t="shared" si="1"/>
        <v>0.15</v>
      </c>
      <c r="I61" s="34"/>
    </row>
    <row r="62" spans="1:9" s="421" customFormat="1">
      <c r="A62" s="997">
        <v>58</v>
      </c>
      <c r="B62" s="997" t="s">
        <v>1402</v>
      </c>
      <c r="C62" s="330" t="s">
        <v>1410</v>
      </c>
      <c r="D62" s="998" t="s">
        <v>188</v>
      </c>
      <c r="E62" s="999">
        <v>0.01</v>
      </c>
      <c r="F62" s="987">
        <f>+ROUND(Materiales[[#This Row],[PRECIO BASE]]*(1+Materiales[[#This Row],[AJUSTE POSITIVO]]),0)</f>
        <v>11660</v>
      </c>
      <c r="G62" s="994">
        <v>10139</v>
      </c>
      <c r="H62" s="995">
        <f t="shared" si="1"/>
        <v>0.15</v>
      </c>
      <c r="I62" s="34"/>
    </row>
    <row r="63" spans="1:9" s="421" customFormat="1">
      <c r="A63" s="997">
        <v>59</v>
      </c>
      <c r="B63" s="997" t="s">
        <v>1318</v>
      </c>
      <c r="C63" s="330" t="s">
        <v>1411</v>
      </c>
      <c r="D63" s="998" t="s">
        <v>1164</v>
      </c>
      <c r="E63" s="999">
        <v>0.4</v>
      </c>
      <c r="F63" s="987">
        <f>+ROUND(Materiales[[#This Row],[PRECIO BASE]]*(1+Materiales[[#This Row],[AJUSTE POSITIVO]]),0)</f>
        <v>6210</v>
      </c>
      <c r="G63" s="994">
        <v>5400</v>
      </c>
      <c r="H63" s="995">
        <f t="shared" si="1"/>
        <v>0.15</v>
      </c>
      <c r="I63" s="34" t="s">
        <v>1412</v>
      </c>
    </row>
    <row r="64" spans="1:9" s="421" customFormat="1">
      <c r="A64" s="997">
        <v>60</v>
      </c>
      <c r="B64" s="985" t="s">
        <v>1318</v>
      </c>
      <c r="C64" s="330" t="s">
        <v>1413</v>
      </c>
      <c r="D64" s="998" t="s">
        <v>188</v>
      </c>
      <c r="E64" s="999">
        <v>0.19</v>
      </c>
      <c r="F64" s="987">
        <f>+ROUND(Materiales[[#This Row],[PRECIO BASE]]*(1+Materiales[[#This Row],[AJUSTE POSITIVO]]),0)</f>
        <v>11443</v>
      </c>
      <c r="G64" s="994">
        <v>9950</v>
      </c>
      <c r="H64" s="995">
        <f t="shared" si="1"/>
        <v>0.15</v>
      </c>
      <c r="I64" s="34"/>
    </row>
    <row r="65" spans="1:9" s="421" customFormat="1" ht="25">
      <c r="A65" s="997">
        <v>61</v>
      </c>
      <c r="B65" s="985" t="s">
        <v>1322</v>
      </c>
      <c r="C65" s="1000" t="s">
        <v>1414</v>
      </c>
      <c r="D65" s="998" t="s">
        <v>188</v>
      </c>
      <c r="E65" s="999">
        <v>2</v>
      </c>
      <c r="F65" s="987">
        <f>+ROUND(Materiales[[#This Row],[PRECIO BASE]]*(1+Materiales[[#This Row],[AJUSTE POSITIVO]]),0)</f>
        <v>62727</v>
      </c>
      <c r="G65" s="994">
        <v>54545</v>
      </c>
      <c r="H65" s="995">
        <f t="shared" si="1"/>
        <v>0.15</v>
      </c>
      <c r="I65" s="34"/>
    </row>
    <row r="66" spans="1:9" s="421" customFormat="1">
      <c r="A66" s="997">
        <v>62</v>
      </c>
      <c r="B66" s="997" t="s">
        <v>1402</v>
      </c>
      <c r="C66" s="330" t="s">
        <v>1415</v>
      </c>
      <c r="D66" s="998" t="s">
        <v>188</v>
      </c>
      <c r="E66" s="999">
        <v>3.5000000000000003E-2</v>
      </c>
      <c r="F66" s="987">
        <f>+ROUND(Materiales[[#This Row],[PRECIO BASE]]*(1+Materiales[[#This Row],[AJUSTE POSITIVO]]),0)</f>
        <v>104939</v>
      </c>
      <c r="G66" s="994">
        <v>91251</v>
      </c>
      <c r="H66" s="995">
        <f t="shared" si="1"/>
        <v>0.15</v>
      </c>
      <c r="I66" s="34"/>
    </row>
    <row r="67" spans="1:9" s="421" customFormat="1">
      <c r="A67" s="997">
        <v>63</v>
      </c>
      <c r="B67" s="997" t="s">
        <v>1402</v>
      </c>
      <c r="C67" s="330" t="s">
        <v>1416</v>
      </c>
      <c r="D67" s="998" t="s">
        <v>188</v>
      </c>
      <c r="E67" s="999">
        <v>0.1</v>
      </c>
      <c r="F67" s="987">
        <f>+ROUND(Materiales[[#This Row],[PRECIO BASE]]*(1+Materiales[[#This Row],[AJUSTE POSITIVO]]),0)</f>
        <v>111850</v>
      </c>
      <c r="G67" s="994">
        <v>97261</v>
      </c>
      <c r="H67" s="995">
        <f t="shared" si="1"/>
        <v>0.15</v>
      </c>
      <c r="I67" s="34"/>
    </row>
    <row r="68" spans="1:9" s="421" customFormat="1">
      <c r="A68" s="997">
        <v>64</v>
      </c>
      <c r="B68" s="997" t="s">
        <v>1417</v>
      </c>
      <c r="C68" s="330" t="s">
        <v>1418</v>
      </c>
      <c r="D68" s="998" t="s">
        <v>188</v>
      </c>
      <c r="E68" s="999">
        <v>10</v>
      </c>
      <c r="F68" s="987">
        <f>+ROUND(Materiales[[#This Row],[PRECIO BASE]]*(1+Materiales[[#This Row],[AJUSTE POSITIVO]]),0)</f>
        <v>58035</v>
      </c>
      <c r="G68" s="994">
        <v>50465</v>
      </c>
      <c r="H68" s="995">
        <f t="shared" si="1"/>
        <v>0.15</v>
      </c>
      <c r="I68" s="34"/>
    </row>
    <row r="69" spans="1:9" s="421" customFormat="1">
      <c r="A69" s="997">
        <v>65</v>
      </c>
      <c r="B69" s="997" t="s">
        <v>1419</v>
      </c>
      <c r="C69" s="330" t="s">
        <v>1420</v>
      </c>
      <c r="D69" s="998" t="s">
        <v>188</v>
      </c>
      <c r="E69" s="999">
        <v>0.01</v>
      </c>
      <c r="F69" s="987">
        <f>+ROUND(Materiales[[#This Row],[PRECIO BASE]]*(1+Materiales[[#This Row],[AJUSTE POSITIVO]]),0)</f>
        <v>6843</v>
      </c>
      <c r="G69" s="994">
        <v>5950</v>
      </c>
      <c r="H69" s="995">
        <f t="shared" ref="H69:H100" si="2">+$H$2</f>
        <v>0.15</v>
      </c>
      <c r="I69" s="34"/>
    </row>
    <row r="70" spans="1:9" s="421" customFormat="1">
      <c r="A70" s="997">
        <v>66</v>
      </c>
      <c r="B70" s="997" t="s">
        <v>1419</v>
      </c>
      <c r="C70" s="330" t="s">
        <v>1421</v>
      </c>
      <c r="D70" s="998" t="s">
        <v>188</v>
      </c>
      <c r="E70" s="999">
        <v>0.01</v>
      </c>
      <c r="F70" s="987">
        <f>+ROUND(Materiales[[#This Row],[PRECIO BASE]]*(1+Materiales[[#This Row],[AJUSTE POSITIVO]]),0)</f>
        <v>953</v>
      </c>
      <c r="G70" s="994">
        <v>829</v>
      </c>
      <c r="H70" s="995">
        <f t="shared" si="2"/>
        <v>0.15</v>
      </c>
      <c r="I70" s="34"/>
    </row>
    <row r="71" spans="1:9" s="421" customFormat="1">
      <c r="A71" s="997">
        <v>67</v>
      </c>
      <c r="B71" s="997" t="s">
        <v>1313</v>
      </c>
      <c r="C71" s="330" t="s">
        <v>1422</v>
      </c>
      <c r="D71" s="997" t="s">
        <v>1164</v>
      </c>
      <c r="E71" s="999">
        <v>0.86</v>
      </c>
      <c r="F71" s="987">
        <f>+ROUND(Materiales[[#This Row],[PRECIO BASE]]*(1+Materiales[[#This Row],[AJUSTE POSITIVO]]),0)</f>
        <v>15410</v>
      </c>
      <c r="G71" s="994">
        <v>13400</v>
      </c>
      <c r="H71" s="995">
        <f t="shared" si="2"/>
        <v>0.15</v>
      </c>
      <c r="I71" s="34"/>
    </row>
    <row r="72" spans="1:9" s="421" customFormat="1">
      <c r="A72" s="997">
        <v>68</v>
      </c>
      <c r="B72" s="997" t="s">
        <v>1376</v>
      </c>
      <c r="C72" s="330" t="s">
        <v>1423</v>
      </c>
      <c r="D72" s="998" t="s">
        <v>188</v>
      </c>
      <c r="E72" s="999">
        <v>3.07</v>
      </c>
      <c r="F72" s="987">
        <f>+ROUND(Materiales[[#This Row],[PRECIO BASE]]*(1+Materiales[[#This Row],[AJUSTE POSITIVO]]),0)</f>
        <v>248458</v>
      </c>
      <c r="G72" s="994">
        <v>216050</v>
      </c>
      <c r="H72" s="995">
        <f t="shared" si="2"/>
        <v>0.15</v>
      </c>
      <c r="I72" s="34"/>
    </row>
    <row r="73" spans="1:9" s="421" customFormat="1">
      <c r="A73" s="997">
        <v>69</v>
      </c>
      <c r="B73" s="997" t="s">
        <v>1417</v>
      </c>
      <c r="C73" s="330" t="s">
        <v>1424</v>
      </c>
      <c r="D73" s="998" t="s">
        <v>188</v>
      </c>
      <c r="E73" s="999">
        <v>0.09</v>
      </c>
      <c r="F73" s="987">
        <f>+ROUND(Materiales[[#This Row],[PRECIO BASE]]*(1+Materiales[[#This Row],[AJUSTE POSITIVO]]),0)</f>
        <v>23575</v>
      </c>
      <c r="G73" s="994">
        <v>20500</v>
      </c>
      <c r="H73" s="995">
        <f t="shared" si="2"/>
        <v>0.15</v>
      </c>
      <c r="I73" s="34"/>
    </row>
    <row r="74" spans="1:9" s="421" customFormat="1">
      <c r="A74" s="997">
        <v>70</v>
      </c>
      <c r="B74" s="997" t="s">
        <v>1327</v>
      </c>
      <c r="C74" s="330" t="s">
        <v>1425</v>
      </c>
      <c r="D74" s="998" t="s">
        <v>188</v>
      </c>
      <c r="E74" s="999">
        <v>0.02</v>
      </c>
      <c r="F74" s="987">
        <f>+ROUND(Materiales[[#This Row],[PRECIO BASE]]*(1+Materiales[[#This Row],[AJUSTE POSITIVO]]),0)</f>
        <v>4551</v>
      </c>
      <c r="G74" s="994">
        <v>3957</v>
      </c>
      <c r="H74" s="995">
        <f t="shared" si="2"/>
        <v>0.15</v>
      </c>
      <c r="I74" s="34"/>
    </row>
    <row r="75" spans="1:9" s="421" customFormat="1">
      <c r="A75" s="997">
        <v>71</v>
      </c>
      <c r="B75" s="997" t="s">
        <v>1313</v>
      </c>
      <c r="C75" s="330" t="s">
        <v>1426</v>
      </c>
      <c r="D75" s="998" t="s">
        <v>188</v>
      </c>
      <c r="E75" s="999">
        <v>0.01</v>
      </c>
      <c r="F75" s="987">
        <f>+ROUND(Materiales[[#This Row],[PRECIO BASE]]*(1+Materiales[[#This Row],[AJUSTE POSITIVO]]),0)</f>
        <v>5635</v>
      </c>
      <c r="G75" s="994">
        <v>4900</v>
      </c>
      <c r="H75" s="995">
        <f t="shared" si="2"/>
        <v>0.15</v>
      </c>
      <c r="I75" s="34" t="s">
        <v>1427</v>
      </c>
    </row>
    <row r="76" spans="1:9" s="421" customFormat="1">
      <c r="A76" s="997">
        <v>72</v>
      </c>
      <c r="B76" s="997" t="s">
        <v>1376</v>
      </c>
      <c r="C76" s="330" t="s">
        <v>1428</v>
      </c>
      <c r="D76" s="998" t="s">
        <v>188</v>
      </c>
      <c r="E76" s="999">
        <v>10</v>
      </c>
      <c r="F76" s="987">
        <f>+ROUND(Materiales[[#This Row],[PRECIO BASE]]*(1+Materiales[[#This Row],[AJUSTE POSITIVO]]),0)</f>
        <v>126035</v>
      </c>
      <c r="G76" s="994">
        <v>109596</v>
      </c>
      <c r="H76" s="995">
        <f t="shared" si="2"/>
        <v>0.15</v>
      </c>
      <c r="I76" s="34"/>
    </row>
    <row r="77" spans="1:9" s="421" customFormat="1" ht="25">
      <c r="A77" s="997">
        <v>73</v>
      </c>
      <c r="B77" s="997" t="s">
        <v>1376</v>
      </c>
      <c r="C77" s="1000" t="s">
        <v>1429</v>
      </c>
      <c r="D77" s="997" t="s">
        <v>188</v>
      </c>
      <c r="E77" s="999">
        <v>0.5</v>
      </c>
      <c r="F77" s="987">
        <f>+ROUND(Materiales[[#This Row],[PRECIO BASE]]*(1+Materiales[[#This Row],[AJUSTE POSITIVO]]),0)</f>
        <v>52759</v>
      </c>
      <c r="G77" s="994">
        <v>45877</v>
      </c>
      <c r="H77" s="995">
        <f t="shared" si="2"/>
        <v>0.15</v>
      </c>
      <c r="I77" s="34"/>
    </row>
    <row r="78" spans="1:9" s="421" customFormat="1">
      <c r="A78" s="997">
        <v>74</v>
      </c>
      <c r="B78" s="997" t="s">
        <v>1313</v>
      </c>
      <c r="C78" s="330" t="s">
        <v>1430</v>
      </c>
      <c r="D78" s="998" t="s">
        <v>1164</v>
      </c>
      <c r="E78" s="999">
        <v>0.35599999999999998</v>
      </c>
      <c r="F78" s="987">
        <f>+ROUND(Materiales[[#This Row],[PRECIO BASE]]*(1+Materiales[[#This Row],[AJUSTE POSITIVO]]),0)</f>
        <v>4888</v>
      </c>
      <c r="G78" s="994">
        <v>4250</v>
      </c>
      <c r="H78" s="995">
        <f t="shared" si="2"/>
        <v>0.15</v>
      </c>
      <c r="I78" s="34" t="s">
        <v>1431</v>
      </c>
    </row>
    <row r="79" spans="1:9" s="421" customFormat="1">
      <c r="A79" s="997">
        <v>75</v>
      </c>
      <c r="B79" s="997" t="s">
        <v>1313</v>
      </c>
      <c r="C79" s="330" t="s">
        <v>1432</v>
      </c>
      <c r="D79" s="998" t="s">
        <v>1164</v>
      </c>
      <c r="E79" s="999">
        <v>9.6000000000000002E-2</v>
      </c>
      <c r="F79" s="987">
        <f>+ROUND(Materiales[[#This Row],[PRECIO BASE]]*(1+Materiales[[#This Row],[AJUSTE POSITIVO]]),0)</f>
        <v>2760</v>
      </c>
      <c r="G79" s="994">
        <v>2400</v>
      </c>
      <c r="H79" s="995">
        <f t="shared" si="2"/>
        <v>0.15</v>
      </c>
      <c r="I79" s="34" t="s">
        <v>1433</v>
      </c>
    </row>
    <row r="80" spans="1:9" s="421" customFormat="1">
      <c r="A80" s="997">
        <v>76</v>
      </c>
      <c r="B80" s="997" t="s">
        <v>1327</v>
      </c>
      <c r="C80" s="330" t="s">
        <v>1434</v>
      </c>
      <c r="D80" s="998" t="s">
        <v>188</v>
      </c>
      <c r="E80" s="999">
        <v>0.05</v>
      </c>
      <c r="F80" s="987">
        <f>+ROUND(Materiales[[#This Row],[PRECIO BASE]]*(1+Materiales[[#This Row],[AJUSTE POSITIVO]]),0)</f>
        <v>1064</v>
      </c>
      <c r="G80" s="994">
        <v>925</v>
      </c>
      <c r="H80" s="995">
        <f t="shared" si="2"/>
        <v>0.15</v>
      </c>
      <c r="I80" s="34"/>
    </row>
    <row r="81" spans="1:9" s="421" customFormat="1">
      <c r="A81" s="997">
        <v>77</v>
      </c>
      <c r="B81" s="997" t="s">
        <v>1327</v>
      </c>
      <c r="C81" s="330" t="s">
        <v>1435</v>
      </c>
      <c r="D81" s="998" t="s">
        <v>188</v>
      </c>
      <c r="E81" s="999">
        <v>0.05</v>
      </c>
      <c r="F81" s="987">
        <f>+ROUND(Materiales[[#This Row],[PRECIO BASE]]*(1+Materiales[[#This Row],[AJUSTE POSITIVO]]),0)</f>
        <v>5653</v>
      </c>
      <c r="G81" s="994">
        <v>4916</v>
      </c>
      <c r="H81" s="995">
        <f t="shared" si="2"/>
        <v>0.15</v>
      </c>
      <c r="I81" s="34"/>
    </row>
    <row r="82" spans="1:9" s="421" customFormat="1">
      <c r="A82" s="997">
        <v>78</v>
      </c>
      <c r="B82" s="997" t="s">
        <v>1327</v>
      </c>
      <c r="C82" s="330" t="s">
        <v>1436</v>
      </c>
      <c r="D82" s="998" t="s">
        <v>188</v>
      </c>
      <c r="E82" s="999">
        <v>2.9000000000000001E-2</v>
      </c>
      <c r="F82" s="987">
        <f>+ROUND(Materiales[[#This Row],[PRECIO BASE]]*(1+Materiales[[#This Row],[AJUSTE POSITIVO]]),0)</f>
        <v>2013</v>
      </c>
      <c r="G82" s="994">
        <v>1750</v>
      </c>
      <c r="H82" s="995">
        <f t="shared" si="2"/>
        <v>0.15</v>
      </c>
      <c r="I82" s="34"/>
    </row>
    <row r="83" spans="1:9" s="421" customFormat="1">
      <c r="A83" s="997">
        <v>79</v>
      </c>
      <c r="B83" s="997" t="s">
        <v>1327</v>
      </c>
      <c r="C83" s="330" t="s">
        <v>1437</v>
      </c>
      <c r="D83" s="998" t="s">
        <v>188</v>
      </c>
      <c r="E83" s="999">
        <v>0.05</v>
      </c>
      <c r="F83" s="987">
        <f>+ROUND(Materiales[[#This Row],[PRECIO BASE]]*(1+Materiales[[#This Row],[AJUSTE POSITIVO]]),0)</f>
        <v>1272</v>
      </c>
      <c r="G83" s="994">
        <v>1106</v>
      </c>
      <c r="H83" s="995">
        <f t="shared" si="2"/>
        <v>0.15</v>
      </c>
      <c r="I83" s="34"/>
    </row>
    <row r="84" spans="1:9" s="421" customFormat="1">
      <c r="A84" s="997">
        <v>80</v>
      </c>
      <c r="B84" s="997" t="s">
        <v>1327</v>
      </c>
      <c r="C84" s="330" t="s">
        <v>1438</v>
      </c>
      <c r="D84" s="998" t="s">
        <v>188</v>
      </c>
      <c r="E84" s="999">
        <v>0.05</v>
      </c>
      <c r="F84" s="987">
        <f>+ROUND(Materiales[[#This Row],[PRECIO BASE]]*(1+Materiales[[#This Row],[AJUSTE POSITIVO]]),0)</f>
        <v>546</v>
      </c>
      <c r="G84" s="994">
        <v>475</v>
      </c>
      <c r="H84" s="995">
        <f t="shared" si="2"/>
        <v>0.15</v>
      </c>
      <c r="I84" s="34"/>
    </row>
    <row r="85" spans="1:9" s="421" customFormat="1">
      <c r="A85" s="997">
        <v>81</v>
      </c>
      <c r="B85" s="997" t="s">
        <v>1327</v>
      </c>
      <c r="C85" s="330" t="s">
        <v>1439</v>
      </c>
      <c r="D85" s="998" t="s">
        <v>188</v>
      </c>
      <c r="E85" s="999">
        <v>0.05</v>
      </c>
      <c r="F85" s="987">
        <f>+ROUND(Materiales[[#This Row],[PRECIO BASE]]*(1+Materiales[[#This Row],[AJUSTE POSITIVO]]),0)</f>
        <v>338</v>
      </c>
      <c r="G85" s="994">
        <v>294</v>
      </c>
      <c r="H85" s="995">
        <f t="shared" si="2"/>
        <v>0.15</v>
      </c>
      <c r="I85" s="34"/>
    </row>
    <row r="86" spans="1:9" s="421" customFormat="1">
      <c r="A86" s="997">
        <v>82</v>
      </c>
      <c r="B86" s="997" t="s">
        <v>1313</v>
      </c>
      <c r="C86" s="330" t="s">
        <v>1440</v>
      </c>
      <c r="D86" s="998" t="s">
        <v>188</v>
      </c>
      <c r="E86" s="999">
        <v>0.313</v>
      </c>
      <c r="F86" s="987">
        <f>+ROUND(Materiales[[#This Row],[PRECIO BASE]]*(1+Materiales[[#This Row],[AJUSTE POSITIVO]]),0)</f>
        <v>7526</v>
      </c>
      <c r="G86" s="994">
        <v>6544</v>
      </c>
      <c r="H86" s="995">
        <f t="shared" si="2"/>
        <v>0.15</v>
      </c>
      <c r="I86" s="34"/>
    </row>
    <row r="87" spans="1:9" s="421" customFormat="1">
      <c r="A87" s="997">
        <v>83</v>
      </c>
      <c r="B87" s="997" t="s">
        <v>1318</v>
      </c>
      <c r="C87" s="330" t="s">
        <v>1441</v>
      </c>
      <c r="D87" s="998" t="s">
        <v>1164</v>
      </c>
      <c r="E87" s="1009">
        <f>0.58/3</f>
        <v>0.19333333333333333</v>
      </c>
      <c r="F87" s="987">
        <f>+ROUND(Materiales[[#This Row],[PRECIO BASE]]*(1+Materiales[[#This Row],[AJUSTE POSITIVO]]),0)</f>
        <v>2223</v>
      </c>
      <c r="G87" s="994">
        <v>1933.3333333333333</v>
      </c>
      <c r="H87" s="995">
        <f t="shared" si="2"/>
        <v>0.15</v>
      </c>
      <c r="I87" s="34" t="s">
        <v>1442</v>
      </c>
    </row>
    <row r="88" spans="1:9" s="421" customFormat="1">
      <c r="A88" s="997">
        <v>84</v>
      </c>
      <c r="B88" s="997" t="s">
        <v>1318</v>
      </c>
      <c r="C88" s="330" t="s">
        <v>1443</v>
      </c>
      <c r="D88" s="998" t="s">
        <v>1164</v>
      </c>
      <c r="E88" s="1009">
        <f>1.4/3</f>
        <v>0.46666666666666662</v>
      </c>
      <c r="F88" s="987">
        <f>+ROUND(Materiales[[#This Row],[PRECIO BASE]]*(1+Materiales[[#This Row],[AJUSTE POSITIVO]]),0)</f>
        <v>4428</v>
      </c>
      <c r="G88" s="994">
        <v>3850</v>
      </c>
      <c r="H88" s="995">
        <f t="shared" si="2"/>
        <v>0.15</v>
      </c>
      <c r="I88" s="34" t="s">
        <v>1444</v>
      </c>
    </row>
    <row r="89" spans="1:9" s="421" customFormat="1">
      <c r="A89" s="997">
        <v>85</v>
      </c>
      <c r="B89" s="997" t="s">
        <v>1313</v>
      </c>
      <c r="C89" s="330" t="s">
        <v>1445</v>
      </c>
      <c r="D89" s="998" t="s">
        <v>1164</v>
      </c>
      <c r="E89" s="999">
        <v>7.4999999999999997E-2</v>
      </c>
      <c r="F89" s="987">
        <f>+ROUND(Materiales[[#This Row],[PRECIO BASE]]*(1+Materiales[[#This Row],[AJUSTE POSITIVO]]),0)</f>
        <v>6325</v>
      </c>
      <c r="G89" s="994">
        <v>5500</v>
      </c>
      <c r="H89" s="995">
        <f t="shared" si="2"/>
        <v>0.15</v>
      </c>
      <c r="I89" s="34" t="s">
        <v>1446</v>
      </c>
    </row>
    <row r="90" spans="1:9" s="421" customFormat="1">
      <c r="A90" s="997">
        <v>86</v>
      </c>
      <c r="B90" s="997" t="s">
        <v>1402</v>
      </c>
      <c r="C90" s="1000" t="s">
        <v>1447</v>
      </c>
      <c r="D90" s="998" t="s">
        <v>188</v>
      </c>
      <c r="E90" s="999">
        <v>0.5</v>
      </c>
      <c r="F90" s="987">
        <f>+ROUND(Materiales[[#This Row],[PRECIO BASE]]*(1+Materiales[[#This Row],[AJUSTE POSITIVO]]),0)</f>
        <v>0</v>
      </c>
      <c r="G90" s="994"/>
      <c r="H90" s="995">
        <f t="shared" si="2"/>
        <v>0.15</v>
      </c>
      <c r="I90" s="34"/>
    </row>
    <row r="91" spans="1:9" s="421" customFormat="1">
      <c r="A91" s="997">
        <v>87</v>
      </c>
      <c r="B91" s="997" t="s">
        <v>1322</v>
      </c>
      <c r="C91" s="1000" t="s">
        <v>1448</v>
      </c>
      <c r="D91" s="998" t="s">
        <v>188</v>
      </c>
      <c r="E91" s="999">
        <v>1</v>
      </c>
      <c r="F91" s="987">
        <f>+ROUND(Materiales[[#This Row],[PRECIO BASE]]*(1+Materiales[[#This Row],[AJUSTE POSITIVO]]),0)</f>
        <v>79275</v>
      </c>
      <c r="G91" s="994">
        <v>68935</v>
      </c>
      <c r="H91" s="995">
        <f t="shared" si="2"/>
        <v>0.15</v>
      </c>
      <c r="I91" s="34"/>
    </row>
    <row r="92" spans="1:9" s="421" customFormat="1">
      <c r="A92" s="997">
        <v>88</v>
      </c>
      <c r="B92" s="997" t="s">
        <v>1449</v>
      </c>
      <c r="C92" s="1000" t="str">
        <f>+'HERRAMIENTA CIVIL'!C35</f>
        <v xml:space="preserve">Formaleta de madera para concreto				</v>
      </c>
      <c r="D92" s="998" t="s">
        <v>1130</v>
      </c>
      <c r="E92" s="999">
        <v>5</v>
      </c>
      <c r="F92" s="987">
        <f>+ROUND(Materiales[[#This Row],[PRECIO BASE]]*(1+Materiales[[#This Row],[AJUSTE POSITIVO]]),0)</f>
        <v>35075</v>
      </c>
      <c r="G92" s="994">
        <v>30500</v>
      </c>
      <c r="H92" s="995">
        <f t="shared" si="2"/>
        <v>0.15</v>
      </c>
      <c r="I92" s="34"/>
    </row>
    <row r="93" spans="1:9" s="421" customFormat="1">
      <c r="A93" s="997">
        <v>89</v>
      </c>
      <c r="B93" s="997" t="s">
        <v>1449</v>
      </c>
      <c r="C93" s="1000" t="str">
        <f>+'HERRAMIENTA CIVIL'!C37</f>
        <v>Agua</v>
      </c>
      <c r="D93" s="998" t="s">
        <v>1450</v>
      </c>
      <c r="E93" s="999">
        <v>1</v>
      </c>
      <c r="F93" s="987">
        <f>+ROUND(Materiales[[#This Row],[PRECIO BASE]]*(1+Materiales[[#This Row],[AJUSTE POSITIVO]]),0)</f>
        <v>58</v>
      </c>
      <c r="G93" s="994">
        <v>50</v>
      </c>
      <c r="H93" s="995">
        <f t="shared" si="2"/>
        <v>0.15</v>
      </c>
      <c r="I93" s="34"/>
    </row>
    <row r="94" spans="1:9" s="421" customFormat="1">
      <c r="A94" s="997">
        <v>90</v>
      </c>
      <c r="B94" s="997" t="s">
        <v>1449</v>
      </c>
      <c r="C94" s="1000" t="str">
        <f>+'HERRAMIENTA CIVIL'!C38</f>
        <v>Agregado grueso (grava, grava triturada y/o roca triturada)</v>
      </c>
      <c r="D94" s="998" t="s">
        <v>1135</v>
      </c>
      <c r="E94" s="999">
        <v>1600</v>
      </c>
      <c r="F94" s="987">
        <f>+ROUND(Materiales[[#This Row],[PRECIO BASE]]*(1+Materiales[[#This Row],[AJUSTE POSITIVO]]),0)</f>
        <v>105003</v>
      </c>
      <c r="G94" s="994">
        <v>91307</v>
      </c>
      <c r="H94" s="995">
        <f t="shared" si="2"/>
        <v>0.15</v>
      </c>
      <c r="I94" s="34"/>
    </row>
    <row r="95" spans="1:9" s="421" customFormat="1" ht="25">
      <c r="A95" s="997">
        <v>91</v>
      </c>
      <c r="B95" s="997" t="s">
        <v>1449</v>
      </c>
      <c r="C95" s="1000" t="str">
        <f>+'HERRAMIENTA CIVIL'!C40</f>
        <v>Agregado fino para concreto (tamaño máximo 4,75mm - arena natural o trituración de roca, gravas, y/o escorias)</v>
      </c>
      <c r="D95" s="986" t="s">
        <v>1135</v>
      </c>
      <c r="E95" s="64">
        <v>1600</v>
      </c>
      <c r="F95" s="987">
        <f>+ROUND(Materiales[[#This Row],[PRECIO BASE]]*(1+Materiales[[#This Row],[AJUSTE POSITIVO]]),0)</f>
        <v>128168</v>
      </c>
      <c r="G95" s="994">
        <v>111450</v>
      </c>
      <c r="H95" s="995">
        <f t="shared" si="2"/>
        <v>0.15</v>
      </c>
      <c r="I95" s="34"/>
    </row>
    <row r="96" spans="1:9" s="421" customFormat="1">
      <c r="A96" s="997">
        <v>92</v>
      </c>
      <c r="B96" s="997" t="s">
        <v>1449</v>
      </c>
      <c r="C96" s="1000" t="str">
        <f>+'HERRAMIENTA CIVIL'!C42</f>
        <v>Cemento hidráulico NTC 121 tipo UG</v>
      </c>
      <c r="D96" s="986" t="s">
        <v>1147</v>
      </c>
      <c r="E96" s="64">
        <v>1</v>
      </c>
      <c r="F96" s="987">
        <f>+ROUND(Materiales[[#This Row],[PRECIO BASE]]*(1+Materiales[[#This Row],[AJUSTE POSITIVO]]),0)</f>
        <v>754</v>
      </c>
      <c r="G96" s="994">
        <v>656</v>
      </c>
      <c r="H96" s="995">
        <f t="shared" si="2"/>
        <v>0.15</v>
      </c>
      <c r="I96" s="34"/>
    </row>
    <row r="97" spans="1:9" s="421" customFormat="1">
      <c r="A97" s="997">
        <v>93</v>
      </c>
      <c r="B97" s="997" t="s">
        <v>1449</v>
      </c>
      <c r="C97" s="1000" t="str">
        <f>+'HERRAMIENTA CIVIL'!C45</f>
        <v>Acero de refuerzo PDR-60, Fy: 4200 kg/cm2</v>
      </c>
      <c r="D97" s="986" t="s">
        <v>1147</v>
      </c>
      <c r="E97" s="64">
        <v>1</v>
      </c>
      <c r="F97" s="987">
        <f>+ROUND(Materiales[[#This Row],[PRECIO BASE]]*(1+Materiales[[#This Row],[AJUSTE POSITIVO]]),0)</f>
        <v>5456</v>
      </c>
      <c r="G97" s="994">
        <v>4744</v>
      </c>
      <c r="H97" s="995">
        <f t="shared" si="2"/>
        <v>0.15</v>
      </c>
      <c r="I97" s="34"/>
    </row>
    <row r="98" spans="1:9" s="421" customFormat="1">
      <c r="A98" s="997">
        <v>94</v>
      </c>
      <c r="B98" s="997" t="s">
        <v>1449</v>
      </c>
      <c r="C98" s="1000" t="str">
        <f>+'HERRAMIENTA CIVIL'!C47</f>
        <v>Alambre negro para amarre calibre 18</v>
      </c>
      <c r="D98" s="986" t="s">
        <v>1147</v>
      </c>
      <c r="E98" s="64">
        <v>1</v>
      </c>
      <c r="F98" s="987">
        <f>+ROUND(Materiales[[#This Row],[PRECIO BASE]]*(1+Materiales[[#This Row],[AJUSTE POSITIVO]]),0)</f>
        <v>12831</v>
      </c>
      <c r="G98" s="994">
        <v>11157</v>
      </c>
      <c r="H98" s="995">
        <f t="shared" si="2"/>
        <v>0.15</v>
      </c>
      <c r="I98" s="34"/>
    </row>
    <row r="99" spans="1:9" s="421" customFormat="1">
      <c r="A99" s="997">
        <v>95</v>
      </c>
      <c r="B99" s="997" t="s">
        <v>1449</v>
      </c>
      <c r="C99" s="1000" t="str">
        <f>+'HERRAMIENTA CIVIL'!C49</f>
        <v>Disco de corte acero</v>
      </c>
      <c r="D99" s="986"/>
      <c r="E99" s="64"/>
      <c r="F99" s="987">
        <f>+ROUND(Materiales[[#This Row],[PRECIO BASE]]*(1+Materiales[[#This Row],[AJUSTE POSITIVO]]),0)</f>
        <v>26235</v>
      </c>
      <c r="G99" s="994">
        <v>22813</v>
      </c>
      <c r="H99" s="995">
        <f t="shared" si="2"/>
        <v>0.15</v>
      </c>
      <c r="I99" s="34"/>
    </row>
    <row r="100" spans="1:9" s="421" customFormat="1">
      <c r="A100" s="997">
        <v>96</v>
      </c>
      <c r="B100" s="997" t="s">
        <v>1449</v>
      </c>
      <c r="C100" s="1000" t="str">
        <f>+'HERRAMIENTA CIVIL'!C52</f>
        <v>Brocas 1/2"</v>
      </c>
      <c r="D100" s="986"/>
      <c r="E100" s="64"/>
      <c r="F100" s="987">
        <f>+ROUND(Materiales[[#This Row],[PRECIO BASE]]*(1+Materiales[[#This Row],[AJUSTE POSITIVO]]),0)</f>
        <v>23481</v>
      </c>
      <c r="G100" s="994">
        <v>20418</v>
      </c>
      <c r="H100" s="995">
        <f t="shared" si="2"/>
        <v>0.15</v>
      </c>
      <c r="I100" s="34"/>
    </row>
    <row r="101" spans="1:9" s="421" customFormat="1">
      <c r="A101" s="997">
        <v>97</v>
      </c>
      <c r="B101" s="997" t="s">
        <v>1449</v>
      </c>
      <c r="C101" s="1000" t="str">
        <f>+'HERRAMIENTA CIVIL'!C55</f>
        <v>Brocas 5/8"</v>
      </c>
      <c r="D101" s="986"/>
      <c r="E101" s="64"/>
      <c r="F101" s="987">
        <f>+ROUND(Materiales[[#This Row],[PRECIO BASE]]*(1+Materiales[[#This Row],[AJUSTE POSITIVO]]),0)</f>
        <v>44017</v>
      </c>
      <c r="G101" s="994">
        <v>38276</v>
      </c>
      <c r="H101" s="995">
        <f t="shared" ref="H101:H132" si="3">+$H$2</f>
        <v>0.15</v>
      </c>
      <c r="I101" s="34"/>
    </row>
    <row r="102" spans="1:9" s="421" customFormat="1">
      <c r="A102" s="997">
        <v>98</v>
      </c>
      <c r="B102" s="997" t="s">
        <v>1449</v>
      </c>
      <c r="C102" s="1000" t="str">
        <f>+'HERRAMIENTA CIVIL'!C58</f>
        <v>Soldadura 7018</v>
      </c>
      <c r="D102" s="986" t="s">
        <v>1147</v>
      </c>
      <c r="E102" s="64">
        <v>1</v>
      </c>
      <c r="F102" s="987">
        <f>+ROUND(Materiales[[#This Row],[PRECIO BASE]]*(1+Materiales[[#This Row],[AJUSTE POSITIVO]]),0)</f>
        <v>23039</v>
      </c>
      <c r="G102" s="994">
        <v>20034</v>
      </c>
      <c r="H102" s="995">
        <f t="shared" si="3"/>
        <v>0.15</v>
      </c>
      <c r="I102" s="34"/>
    </row>
    <row r="103" spans="1:9" s="421" customFormat="1">
      <c r="A103" s="997">
        <v>99</v>
      </c>
      <c r="B103" s="997" t="s">
        <v>1449</v>
      </c>
      <c r="C103" s="1000" t="str">
        <f>+'HERRAMIENTA CIVIL'!C61</f>
        <v>Perno en u galvanizado  5/16X1-3/4X3"</v>
      </c>
      <c r="D103" s="986"/>
      <c r="E103" s="64"/>
      <c r="F103" s="987">
        <f>+ROUND(Materiales[[#This Row],[PRECIO BASE]]*(1+Materiales[[#This Row],[AJUSTE POSITIVO]]),0)</f>
        <v>16359</v>
      </c>
      <c r="G103" s="994">
        <v>14225</v>
      </c>
      <c r="H103" s="995">
        <f t="shared" si="3"/>
        <v>0.15</v>
      </c>
      <c r="I103" s="34"/>
    </row>
    <row r="104" spans="1:9" s="421" customFormat="1">
      <c r="A104" s="997">
        <v>100</v>
      </c>
      <c r="B104" s="997" t="s">
        <v>1449</v>
      </c>
      <c r="C104" s="1000" t="str">
        <f>+'HERRAMIENTA CIVIL'!C62</f>
        <v>Perno en u galvanizado  5/16X1-3/4X3"</v>
      </c>
      <c r="D104" s="986"/>
      <c r="E104" s="64"/>
      <c r="F104" s="987">
        <f>+ROUND(Materiales[[#This Row],[PRECIO BASE]]*(1+Materiales[[#This Row],[AJUSTE POSITIVO]]),0)</f>
        <v>16359</v>
      </c>
      <c r="G104" s="994">
        <v>14225</v>
      </c>
      <c r="H104" s="995">
        <f t="shared" si="3"/>
        <v>0.15</v>
      </c>
      <c r="I104" s="34"/>
    </row>
    <row r="105" spans="1:9" s="421" customFormat="1">
      <c r="A105" s="997">
        <v>101</v>
      </c>
      <c r="B105" s="997" t="s">
        <v>1449</v>
      </c>
      <c r="C105" s="1000" t="str">
        <f>+'HERRAMIENTA CIVIL'!C63</f>
        <v>Varilla roscada 5/8"</v>
      </c>
      <c r="D105" s="986" t="s">
        <v>188</v>
      </c>
      <c r="E105" s="64">
        <v>1</v>
      </c>
      <c r="F105" s="987">
        <f>+ROUND(Materiales[[#This Row],[PRECIO BASE]]*(1+Materiales[[#This Row],[AJUSTE POSITIVO]]),0)</f>
        <v>25636</v>
      </c>
      <c r="G105" s="994">
        <v>22292</v>
      </c>
      <c r="H105" s="995">
        <f t="shared" si="3"/>
        <v>0.15</v>
      </c>
      <c r="I105" s="34"/>
    </row>
    <row r="106" spans="1:9" s="421" customFormat="1">
      <c r="A106" s="997">
        <v>102</v>
      </c>
      <c r="B106" s="997" t="s">
        <v>1449</v>
      </c>
      <c r="C106" s="1000" t="str">
        <f>+'HERRAMIENTA CIVIL'!C65</f>
        <v>Epóxico para anclaje</v>
      </c>
      <c r="D106" s="986"/>
      <c r="E106" s="64"/>
      <c r="F106" s="987">
        <f>+ROUND(Materiales[[#This Row],[PRECIO BASE]]*(1+Materiales[[#This Row],[AJUSTE POSITIVO]]),0)</f>
        <v>391</v>
      </c>
      <c r="G106" s="994">
        <v>340</v>
      </c>
      <c r="H106" s="995">
        <f t="shared" si="3"/>
        <v>0.15</v>
      </c>
      <c r="I106" s="34"/>
    </row>
    <row r="107" spans="1:9" s="421" customFormat="1">
      <c r="A107" s="997">
        <v>103</v>
      </c>
      <c r="B107" s="997" t="s">
        <v>1449</v>
      </c>
      <c r="C107" s="1000" t="str">
        <f>+'HERRAMIENTA CIVIL'!C67</f>
        <v>Geotextil tejido con resistencia a la tensión Grab mínima de 1100 N</v>
      </c>
      <c r="D107" s="986" t="s">
        <v>1130</v>
      </c>
      <c r="E107" s="64">
        <v>0.4</v>
      </c>
      <c r="F107" s="987">
        <f>+ROUND(Materiales[[#This Row],[PRECIO BASE]]*(1+Materiales[[#This Row],[AJUSTE POSITIVO]]),0)</f>
        <v>7467</v>
      </c>
      <c r="G107" s="994">
        <v>6493</v>
      </c>
      <c r="H107" s="995">
        <f t="shared" si="3"/>
        <v>0.15</v>
      </c>
      <c r="I107" s="34"/>
    </row>
    <row r="108" spans="1:9" s="421" customFormat="1">
      <c r="A108" s="997">
        <v>104</v>
      </c>
      <c r="B108" s="997" t="s">
        <v>1449</v>
      </c>
      <c r="C108" s="1000" t="str">
        <f>+'HERRAMIENTA CIVIL'!C70</f>
        <v>Arena de peña y/o natural lavada, tamizada con  90% tamaños &lt; 6mm</v>
      </c>
      <c r="D108" s="986" t="s">
        <v>1135</v>
      </c>
      <c r="E108" s="64">
        <v>1600</v>
      </c>
      <c r="F108" s="987">
        <f>+ROUND(Materiales[[#This Row],[PRECIO BASE]]*(1+Materiales[[#This Row],[AJUSTE POSITIVO]]),0)</f>
        <v>97726</v>
      </c>
      <c r="G108" s="994">
        <v>84979</v>
      </c>
      <c r="H108" s="995">
        <f t="shared" si="3"/>
        <v>0.15</v>
      </c>
      <c r="I108" s="34"/>
    </row>
    <row r="109" spans="1:9" s="421" customFormat="1">
      <c r="A109" s="997">
        <v>105</v>
      </c>
      <c r="B109" s="997" t="s">
        <v>1449</v>
      </c>
      <c r="C109" s="1000" t="str">
        <f>+'HERRAMIENTA CIVIL'!C72</f>
        <v>Malla eslabonada plastificada H=2m Cal. 10 (min)</v>
      </c>
      <c r="D109" s="986" t="s">
        <v>1130</v>
      </c>
      <c r="E109" s="64">
        <v>3</v>
      </c>
      <c r="F109" s="987">
        <f>+ROUND(Materiales[[#This Row],[PRECIO BASE]]*(1+Materiales[[#This Row],[AJUSTE POSITIVO]]),0)</f>
        <v>26396</v>
      </c>
      <c r="G109" s="994">
        <v>22953</v>
      </c>
      <c r="H109" s="995">
        <f t="shared" si="3"/>
        <v>0.15</v>
      </c>
      <c r="I109" s="34"/>
    </row>
    <row r="110" spans="1:9" s="421" customFormat="1">
      <c r="A110" s="997">
        <v>106</v>
      </c>
      <c r="B110" s="997" t="s">
        <v>1318</v>
      </c>
      <c r="C110" s="330" t="s">
        <v>1451</v>
      </c>
      <c r="D110" s="986" t="s">
        <v>1164</v>
      </c>
      <c r="E110" s="64">
        <f>4.2/6</f>
        <v>0.70000000000000007</v>
      </c>
      <c r="F110" s="987">
        <f>+ROUND(Materiales[[#This Row],[PRECIO BASE]]*(1+Materiales[[#This Row],[AJUSTE POSITIVO]]),0)</f>
        <v>17903</v>
      </c>
      <c r="G110" s="994">
        <v>15568</v>
      </c>
      <c r="H110" s="995">
        <f t="shared" si="3"/>
        <v>0.15</v>
      </c>
      <c r="I110" s="34"/>
    </row>
    <row r="111" spans="1:9" s="421" customFormat="1">
      <c r="A111" s="997">
        <v>107</v>
      </c>
      <c r="B111" s="997" t="s">
        <v>1318</v>
      </c>
      <c r="C111" s="330" t="s">
        <v>1452</v>
      </c>
      <c r="D111" s="986" t="s">
        <v>188</v>
      </c>
      <c r="E111" s="64">
        <v>0.86</v>
      </c>
      <c r="F111" s="987">
        <f>+ROUND(Materiales[[#This Row],[PRECIO BASE]]*(1+Materiales[[#This Row],[AJUSTE POSITIVO]]),0)</f>
        <v>84547</v>
      </c>
      <c r="G111" s="994">
        <v>73519</v>
      </c>
      <c r="H111" s="995">
        <f t="shared" si="3"/>
        <v>0.15</v>
      </c>
      <c r="I111" s="34"/>
    </row>
    <row r="112" spans="1:9" s="421" customFormat="1">
      <c r="A112" s="997">
        <v>108</v>
      </c>
      <c r="B112" s="997" t="s">
        <v>1318</v>
      </c>
      <c r="C112" s="330" t="s">
        <v>1453</v>
      </c>
      <c r="D112" s="998" t="s">
        <v>188</v>
      </c>
      <c r="E112" s="999">
        <v>0.2</v>
      </c>
      <c r="F112" s="987">
        <f>+ROUND(Materiales[[#This Row],[PRECIO BASE]]*(1+Materiales[[#This Row],[AJUSTE POSITIVO]]),0)</f>
        <v>7819</v>
      </c>
      <c r="G112" s="994">
        <v>6799</v>
      </c>
      <c r="H112" s="995">
        <f t="shared" si="3"/>
        <v>0.15</v>
      </c>
      <c r="I112" s="34"/>
    </row>
    <row r="113" spans="1:9" s="421" customFormat="1">
      <c r="A113" s="997">
        <v>109</v>
      </c>
      <c r="B113" s="997" t="s">
        <v>1318</v>
      </c>
      <c r="C113" s="330" t="s">
        <v>1454</v>
      </c>
      <c r="D113" s="998" t="s">
        <v>188</v>
      </c>
      <c r="E113" s="999">
        <v>0.2</v>
      </c>
      <c r="F113" s="987">
        <f>+ROUND(Materiales[[#This Row],[PRECIO BASE]]*(1+Materiales[[#This Row],[AJUSTE POSITIVO]]),0)</f>
        <v>27077</v>
      </c>
      <c r="G113" s="994">
        <v>23545</v>
      </c>
      <c r="H113" s="995">
        <f t="shared" si="3"/>
        <v>0.15</v>
      </c>
      <c r="I113" s="34"/>
    </row>
    <row r="114" spans="1:9" s="421" customFormat="1">
      <c r="A114" s="997">
        <v>110</v>
      </c>
      <c r="B114" s="997" t="s">
        <v>1417</v>
      </c>
      <c r="C114" s="330" t="s">
        <v>1455</v>
      </c>
      <c r="D114" s="998" t="s">
        <v>1164</v>
      </c>
      <c r="E114" s="999">
        <v>0.01</v>
      </c>
      <c r="F114" s="987">
        <f>+ROUND(Materiales[[#This Row],[PRECIO BASE]]*(1+Materiales[[#This Row],[AJUSTE POSITIVO]]),0)</f>
        <v>644</v>
      </c>
      <c r="G114" s="994">
        <v>560</v>
      </c>
      <c r="H114" s="995">
        <f t="shared" si="3"/>
        <v>0.15</v>
      </c>
      <c r="I114" s="34"/>
    </row>
    <row r="115" spans="1:9" s="421" customFormat="1">
      <c r="A115" s="997">
        <v>111</v>
      </c>
      <c r="B115" s="997" t="s">
        <v>1417</v>
      </c>
      <c r="C115" s="330" t="s">
        <v>1456</v>
      </c>
      <c r="D115" s="998" t="s">
        <v>1164</v>
      </c>
      <c r="E115" s="999">
        <v>0.01</v>
      </c>
      <c r="F115" s="987">
        <f>+ROUND(Materiales[[#This Row],[PRECIO BASE]]*(1+Materiales[[#This Row],[AJUSTE POSITIVO]]),0)</f>
        <v>644</v>
      </c>
      <c r="G115" s="994">
        <v>560</v>
      </c>
      <c r="H115" s="995">
        <f t="shared" si="3"/>
        <v>0.15</v>
      </c>
      <c r="I115" s="34"/>
    </row>
    <row r="116" spans="1:9" s="421" customFormat="1">
      <c r="A116" s="997">
        <v>112</v>
      </c>
      <c r="B116" s="997" t="s">
        <v>1313</v>
      </c>
      <c r="C116" s="330" t="s">
        <v>1457</v>
      </c>
      <c r="D116" s="998" t="s">
        <v>1164</v>
      </c>
      <c r="E116" s="999">
        <v>0.67</v>
      </c>
      <c r="F116" s="987">
        <f>+ROUND(Materiales[[#This Row],[PRECIO BASE]]*(1+Materiales[[#This Row],[AJUSTE POSITIVO]]),0)</f>
        <v>25958</v>
      </c>
      <c r="G116" s="994">
        <v>22572</v>
      </c>
      <c r="H116" s="995">
        <f t="shared" si="3"/>
        <v>0.15</v>
      </c>
      <c r="I116" s="34"/>
    </row>
    <row r="117" spans="1:9" s="421" customFormat="1">
      <c r="A117" s="997">
        <v>113</v>
      </c>
      <c r="B117" s="997" t="s">
        <v>1313</v>
      </c>
      <c r="C117" s="330" t="s">
        <v>1458</v>
      </c>
      <c r="D117" s="998" t="s">
        <v>1164</v>
      </c>
      <c r="E117" s="999">
        <v>0.64</v>
      </c>
      <c r="F117" s="987">
        <f>+ROUND(Materiales[[#This Row],[PRECIO BASE]]*(1+Materiales[[#This Row],[AJUSTE POSITIVO]]),0)</f>
        <v>17308</v>
      </c>
      <c r="G117" s="994">
        <v>15050</v>
      </c>
      <c r="H117" s="995">
        <f t="shared" si="3"/>
        <v>0.15</v>
      </c>
      <c r="I117" s="34"/>
    </row>
    <row r="118" spans="1:9" s="421" customFormat="1" ht="37.5">
      <c r="A118" s="997">
        <v>114</v>
      </c>
      <c r="B118" s="997" t="s">
        <v>1459</v>
      </c>
      <c r="C118" s="1003" t="s">
        <v>1460</v>
      </c>
      <c r="D118" s="997" t="s">
        <v>188</v>
      </c>
      <c r="E118" s="999">
        <v>150</v>
      </c>
      <c r="F118" s="987">
        <f>+ROUND(Materiales[[#This Row],[PRECIO BASE]]*(1+Materiales[[#This Row],[AJUSTE POSITIVO]]),0)</f>
        <v>909650</v>
      </c>
      <c r="G118" s="994">
        <v>791000</v>
      </c>
      <c r="H118" s="995">
        <f t="shared" si="3"/>
        <v>0.15</v>
      </c>
      <c r="I118" s="34"/>
    </row>
    <row r="119" spans="1:9" s="421" customFormat="1">
      <c r="A119" s="997">
        <v>115</v>
      </c>
      <c r="B119" s="997" t="s">
        <v>1324</v>
      </c>
      <c r="C119" s="330" t="s">
        <v>1461</v>
      </c>
      <c r="D119" s="998" t="s">
        <v>188</v>
      </c>
      <c r="E119" s="999">
        <v>1</v>
      </c>
      <c r="F119" s="987">
        <f>+ROUND(Materiales[[#This Row],[PRECIO BASE]]*(1+Materiales[[#This Row],[AJUSTE POSITIVO]]),0)</f>
        <v>376385</v>
      </c>
      <c r="G119" s="994">
        <v>327291</v>
      </c>
      <c r="H119" s="995">
        <f t="shared" si="3"/>
        <v>0.15</v>
      </c>
      <c r="I119" s="34"/>
    </row>
    <row r="120" spans="1:9" s="421" customFormat="1">
      <c r="A120" s="997">
        <v>116</v>
      </c>
      <c r="B120" s="997" t="s">
        <v>1318</v>
      </c>
      <c r="C120" s="330" t="s">
        <v>1462</v>
      </c>
      <c r="D120" s="998" t="s">
        <v>188</v>
      </c>
      <c r="E120" s="999">
        <v>0.1</v>
      </c>
      <c r="F120" s="987">
        <f>+ROUND(Materiales[[#This Row],[PRECIO BASE]]*(1+Materiales[[#This Row],[AJUSTE POSITIVO]]),0)</f>
        <v>3640</v>
      </c>
      <c r="G120" s="994">
        <v>3165</v>
      </c>
      <c r="H120" s="995">
        <f t="shared" si="3"/>
        <v>0.15</v>
      </c>
      <c r="I120" s="34"/>
    </row>
    <row r="121" spans="1:9" s="421" customFormat="1">
      <c r="A121" s="997">
        <v>117</v>
      </c>
      <c r="B121" s="997" t="s">
        <v>1417</v>
      </c>
      <c r="C121" s="330" t="s">
        <v>1463</v>
      </c>
      <c r="D121" s="998" t="s">
        <v>1164</v>
      </c>
      <c r="E121" s="999">
        <v>0.01</v>
      </c>
      <c r="F121" s="987">
        <f>+ROUND(Materiales[[#This Row],[PRECIO BASE]]*(1+Materiales[[#This Row],[AJUSTE POSITIVO]]),0)</f>
        <v>1490</v>
      </c>
      <c r="G121" s="994">
        <v>1296</v>
      </c>
      <c r="H121" s="995">
        <f t="shared" si="3"/>
        <v>0.15</v>
      </c>
      <c r="I121" s="34"/>
    </row>
    <row r="122" spans="1:9" s="421" customFormat="1">
      <c r="A122" s="997">
        <v>118</v>
      </c>
      <c r="B122" s="997" t="s">
        <v>1322</v>
      </c>
      <c r="C122" s="330" t="s">
        <v>1464</v>
      </c>
      <c r="D122" s="998" t="s">
        <v>188</v>
      </c>
      <c r="E122" s="999">
        <v>1.21</v>
      </c>
      <c r="F122" s="987">
        <f>+ROUND(Materiales[[#This Row],[PRECIO BASE]]*(1+Materiales[[#This Row],[AJUSTE POSITIVO]]),0)</f>
        <v>41817</v>
      </c>
      <c r="G122" s="994">
        <v>36363</v>
      </c>
      <c r="H122" s="995">
        <f t="shared" si="3"/>
        <v>0.15</v>
      </c>
      <c r="I122" s="34"/>
    </row>
    <row r="123" spans="1:9" s="421" customFormat="1">
      <c r="A123" s="997">
        <v>119</v>
      </c>
      <c r="B123" s="997" t="s">
        <v>1329</v>
      </c>
      <c r="C123" s="330" t="s">
        <v>1465</v>
      </c>
      <c r="D123" s="998" t="s">
        <v>188</v>
      </c>
      <c r="E123" s="999">
        <v>0.24</v>
      </c>
      <c r="F123" s="987">
        <f>+ROUND(Materiales[[#This Row],[PRECIO BASE]]*(1+Materiales[[#This Row],[AJUSTE POSITIVO]]),0)</f>
        <v>15065</v>
      </c>
      <c r="G123" s="994">
        <v>13100</v>
      </c>
      <c r="H123" s="995">
        <f t="shared" si="3"/>
        <v>0.15</v>
      </c>
      <c r="I123" s="34"/>
    </row>
    <row r="124" spans="1:9" s="421" customFormat="1">
      <c r="A124" s="997">
        <v>120</v>
      </c>
      <c r="B124" s="997" t="s">
        <v>1419</v>
      </c>
      <c r="C124" s="330" t="s">
        <v>1466</v>
      </c>
      <c r="D124" s="998" t="s">
        <v>188</v>
      </c>
      <c r="E124" s="999">
        <v>6.8000000000000005E-2</v>
      </c>
      <c r="F124" s="987">
        <f>+ROUND(Materiales[[#This Row],[PRECIO BASE]]*(1+Materiales[[#This Row],[AJUSTE POSITIVO]]),0)</f>
        <v>1862</v>
      </c>
      <c r="G124" s="994">
        <v>1619</v>
      </c>
      <c r="H124" s="995">
        <f t="shared" si="3"/>
        <v>0.15</v>
      </c>
      <c r="I124" s="34"/>
    </row>
    <row r="125" spans="1:9" s="421" customFormat="1">
      <c r="A125" s="997">
        <v>121</v>
      </c>
      <c r="B125" s="997" t="s">
        <v>1419</v>
      </c>
      <c r="C125" s="330" t="s">
        <v>1467</v>
      </c>
      <c r="D125" s="998" t="s">
        <v>188</v>
      </c>
      <c r="E125" s="999">
        <v>5.8999999999999997E-2</v>
      </c>
      <c r="F125" s="987">
        <f>+ROUND(Materiales[[#This Row],[PRECIO BASE]]*(1+Materiales[[#This Row],[AJUSTE POSITIVO]]),0)</f>
        <v>3161</v>
      </c>
      <c r="G125" s="994">
        <v>2749</v>
      </c>
      <c r="H125" s="995">
        <f t="shared" si="3"/>
        <v>0.15</v>
      </c>
      <c r="I125" s="34"/>
    </row>
    <row r="126" spans="1:9" s="421" customFormat="1">
      <c r="A126" s="997">
        <v>122</v>
      </c>
      <c r="B126" s="997" t="s">
        <v>1419</v>
      </c>
      <c r="C126" s="330" t="s">
        <v>1468</v>
      </c>
      <c r="D126" s="998" t="s">
        <v>188</v>
      </c>
      <c r="E126" s="999">
        <v>0.03</v>
      </c>
      <c r="F126" s="987">
        <f>+ROUND(Materiales[[#This Row],[PRECIO BASE]]*(1+Materiales[[#This Row],[AJUSTE POSITIVO]]),0)</f>
        <v>6793</v>
      </c>
      <c r="G126" s="994">
        <v>5907</v>
      </c>
      <c r="H126" s="995">
        <f t="shared" si="3"/>
        <v>0.15</v>
      </c>
      <c r="I126" s="34"/>
    </row>
    <row r="127" spans="1:9" s="421" customFormat="1">
      <c r="A127" s="997">
        <v>123</v>
      </c>
      <c r="B127" s="997" t="s">
        <v>1313</v>
      </c>
      <c r="C127" s="330" t="s">
        <v>1469</v>
      </c>
      <c r="D127" s="998" t="s">
        <v>188</v>
      </c>
      <c r="E127" s="999">
        <v>0.01</v>
      </c>
      <c r="F127" s="987">
        <f>+ROUND(Materiales[[#This Row],[PRECIO BASE]]*(1+Materiales[[#This Row],[AJUSTE POSITIVO]]),0)</f>
        <v>776</v>
      </c>
      <c r="G127" s="994">
        <v>675</v>
      </c>
      <c r="H127" s="995">
        <f t="shared" si="3"/>
        <v>0.15</v>
      </c>
      <c r="I127" s="34"/>
    </row>
    <row r="128" spans="1:9" s="421" customFormat="1">
      <c r="A128" s="997">
        <v>124</v>
      </c>
      <c r="B128" s="997" t="s">
        <v>1313</v>
      </c>
      <c r="C128" s="330" t="s">
        <v>1470</v>
      </c>
      <c r="D128" s="998" t="s">
        <v>1164</v>
      </c>
      <c r="E128" s="999">
        <v>3.4000000000000002E-2</v>
      </c>
      <c r="F128" s="987">
        <f>+ROUND(Materiales[[#This Row],[PRECIO BASE]]*(1+Materiales[[#This Row],[AJUSTE POSITIVO]]),0)</f>
        <v>3260</v>
      </c>
      <c r="G128" s="994">
        <v>2835</v>
      </c>
      <c r="H128" s="995">
        <f t="shared" si="3"/>
        <v>0.15</v>
      </c>
      <c r="I128" s="34"/>
    </row>
    <row r="129" spans="1:9" s="421" customFormat="1">
      <c r="A129" s="997">
        <v>125</v>
      </c>
      <c r="B129" s="997" t="s">
        <v>1417</v>
      </c>
      <c r="C129" s="330" t="s">
        <v>1471</v>
      </c>
      <c r="D129" s="998" t="s">
        <v>188</v>
      </c>
      <c r="E129" s="999">
        <v>1E-3</v>
      </c>
      <c r="F129" s="987">
        <f>+ROUND(Materiales[[#This Row],[PRECIO BASE]]*(1+Materiales[[#This Row],[AJUSTE POSITIVO]]),0)</f>
        <v>466</v>
      </c>
      <c r="G129" s="994">
        <v>405</v>
      </c>
      <c r="H129" s="995">
        <f t="shared" si="3"/>
        <v>0.15</v>
      </c>
      <c r="I129" s="34"/>
    </row>
    <row r="130" spans="1:9" s="421" customFormat="1">
      <c r="A130" s="997">
        <v>126</v>
      </c>
      <c r="B130" s="997" t="s">
        <v>1419</v>
      </c>
      <c r="C130" s="330" t="s">
        <v>1472</v>
      </c>
      <c r="D130" s="998" t="s">
        <v>188</v>
      </c>
      <c r="E130" s="999">
        <v>0.05</v>
      </c>
      <c r="F130" s="987">
        <f>+ROUND(Materiales[[#This Row],[PRECIO BASE]]*(1+Materiales[[#This Row],[AJUSTE POSITIVO]]),0)</f>
        <v>1612</v>
      </c>
      <c r="G130" s="994">
        <v>1402</v>
      </c>
      <c r="H130" s="995">
        <f t="shared" si="3"/>
        <v>0.15</v>
      </c>
      <c r="I130" s="34"/>
    </row>
    <row r="131" spans="1:9" s="421" customFormat="1" ht="25">
      <c r="A131" s="997">
        <v>127</v>
      </c>
      <c r="B131" s="997" t="s">
        <v>1417</v>
      </c>
      <c r="C131" s="1000" t="s">
        <v>1473</v>
      </c>
      <c r="D131" s="997" t="s">
        <v>188</v>
      </c>
      <c r="E131" s="999">
        <v>5</v>
      </c>
      <c r="F131" s="987">
        <f>+ROUND(Materiales[[#This Row],[PRECIO BASE]]*(1+Materiales[[#This Row],[AJUSTE POSITIVO]]),0)</f>
        <v>3681648</v>
      </c>
      <c r="G131" s="994">
        <v>3201433</v>
      </c>
      <c r="H131" s="995">
        <f t="shared" si="3"/>
        <v>0.15</v>
      </c>
      <c r="I131" s="34"/>
    </row>
    <row r="132" spans="1:9" s="421" customFormat="1">
      <c r="A132" s="997">
        <v>128</v>
      </c>
      <c r="B132" s="997" t="s">
        <v>1417</v>
      </c>
      <c r="C132" s="330" t="s">
        <v>1474</v>
      </c>
      <c r="D132" s="998" t="s">
        <v>1164</v>
      </c>
      <c r="E132" s="999">
        <v>1</v>
      </c>
      <c r="F132" s="987">
        <f>+ROUND(Materiales[[#This Row],[PRECIO BASE]]*(1+Materiales[[#This Row],[AJUSTE POSITIVO]]),0)</f>
        <v>96022</v>
      </c>
      <c r="G132" s="994">
        <v>83497</v>
      </c>
      <c r="H132" s="995">
        <f t="shared" si="3"/>
        <v>0.15</v>
      </c>
      <c r="I132" s="34"/>
    </row>
    <row r="133" spans="1:9" s="421" customFormat="1">
      <c r="A133" s="997">
        <v>129</v>
      </c>
      <c r="B133" s="997" t="s">
        <v>1318</v>
      </c>
      <c r="C133" s="330" t="s">
        <v>1475</v>
      </c>
      <c r="D133" s="998" t="s">
        <v>188</v>
      </c>
      <c r="E133" s="999">
        <v>0.1</v>
      </c>
      <c r="F133" s="987">
        <f>+ROUND(Materiales[[#This Row],[PRECIO BASE]]*(1+Materiales[[#This Row],[AJUSTE POSITIVO]]),0)</f>
        <v>34294</v>
      </c>
      <c r="G133" s="994">
        <v>29821</v>
      </c>
      <c r="H133" s="995">
        <f t="shared" ref="H133:H164" si="4">+$H$2</f>
        <v>0.15</v>
      </c>
      <c r="I133" s="34"/>
    </row>
    <row r="134" spans="1:9" s="421" customFormat="1">
      <c r="A134" s="997">
        <v>130</v>
      </c>
      <c r="B134" s="997" t="s">
        <v>1318</v>
      </c>
      <c r="C134" s="330" t="s">
        <v>1476</v>
      </c>
      <c r="D134" s="998" t="s">
        <v>188</v>
      </c>
      <c r="E134" s="999">
        <v>0.1</v>
      </c>
      <c r="F134" s="987">
        <f>+ROUND(Materiales[[#This Row],[PRECIO BASE]]*(1+Materiales[[#This Row],[AJUSTE POSITIVO]]),0)</f>
        <v>3429</v>
      </c>
      <c r="G134" s="994">
        <v>2982</v>
      </c>
      <c r="H134" s="995">
        <f t="shared" si="4"/>
        <v>0.15</v>
      </c>
      <c r="I134" s="34"/>
    </row>
    <row r="135" spans="1:9" s="421" customFormat="1">
      <c r="A135" s="997">
        <v>131</v>
      </c>
      <c r="B135" s="997" t="s">
        <v>1313</v>
      </c>
      <c r="C135" s="330" t="s">
        <v>1477</v>
      </c>
      <c r="D135" s="998" t="s">
        <v>1164</v>
      </c>
      <c r="E135" s="999">
        <v>5.8200000000000002E-2</v>
      </c>
      <c r="F135" s="987">
        <f>+ROUND(Materiales[[#This Row],[PRECIO BASE]]*(1+Materiales[[#This Row],[AJUSTE POSITIVO]]),0)</f>
        <v>5775</v>
      </c>
      <c r="G135" s="994">
        <v>5022</v>
      </c>
      <c r="H135" s="995">
        <f t="shared" si="4"/>
        <v>0.15</v>
      </c>
      <c r="I135" s="34"/>
    </row>
    <row r="136" spans="1:9" s="421" customFormat="1">
      <c r="A136" s="997">
        <v>132</v>
      </c>
      <c r="B136" s="997" t="s">
        <v>1313</v>
      </c>
      <c r="C136" s="330" t="s">
        <v>1478</v>
      </c>
      <c r="D136" s="998" t="s">
        <v>1164</v>
      </c>
      <c r="E136" s="999">
        <f>2.95/50</f>
        <v>5.9000000000000004E-2</v>
      </c>
      <c r="F136" s="987">
        <f>+ROUND(Materiales[[#This Row],[PRECIO BASE]]*(1+Materiales[[#This Row],[AJUSTE POSITIVO]]),0)</f>
        <v>4633</v>
      </c>
      <c r="G136" s="994">
        <v>4029</v>
      </c>
      <c r="H136" s="995">
        <f t="shared" si="4"/>
        <v>0.15</v>
      </c>
      <c r="I136" s="34" t="s">
        <v>1479</v>
      </c>
    </row>
    <row r="137" spans="1:9" s="421" customFormat="1">
      <c r="A137" s="997">
        <v>133</v>
      </c>
      <c r="B137" s="997" t="s">
        <v>1318</v>
      </c>
      <c r="C137" s="330" t="s">
        <v>1480</v>
      </c>
      <c r="D137" s="998" t="s">
        <v>188</v>
      </c>
      <c r="E137" s="999">
        <v>0.18</v>
      </c>
      <c r="F137" s="987">
        <f>+ROUND(Materiales[[#This Row],[PRECIO BASE]]*(1+Materiales[[#This Row],[AJUSTE POSITIVO]]),0)</f>
        <v>7130</v>
      </c>
      <c r="G137" s="994">
        <v>6200</v>
      </c>
      <c r="H137" s="995">
        <f t="shared" si="4"/>
        <v>0.15</v>
      </c>
      <c r="I137" s="34" t="s">
        <v>1481</v>
      </c>
    </row>
    <row r="138" spans="1:9" s="421" customFormat="1">
      <c r="A138" s="997">
        <v>134</v>
      </c>
      <c r="B138" s="997" t="s">
        <v>1318</v>
      </c>
      <c r="C138" s="330" t="s">
        <v>1482</v>
      </c>
      <c r="D138" s="998" t="s">
        <v>1164</v>
      </c>
      <c r="E138" s="1009">
        <f>5.17/3</f>
        <v>1.7233333333333334</v>
      </c>
      <c r="F138" s="987">
        <f>+ROUND(Materiales[[#This Row],[PRECIO BASE]]*(1+Materiales[[#This Row],[AJUSTE POSITIVO]]),0)</f>
        <v>19586</v>
      </c>
      <c r="G138" s="994">
        <v>17031</v>
      </c>
      <c r="H138" s="995">
        <f t="shared" si="4"/>
        <v>0.15</v>
      </c>
      <c r="I138" s="34" t="s">
        <v>1483</v>
      </c>
    </row>
    <row r="139" spans="1:9" s="421" customFormat="1">
      <c r="A139" s="997">
        <v>135</v>
      </c>
      <c r="B139" s="997" t="s">
        <v>1376</v>
      </c>
      <c r="C139" s="330" t="s">
        <v>1484</v>
      </c>
      <c r="D139" s="998" t="s">
        <v>188</v>
      </c>
      <c r="E139" s="999">
        <v>0.5</v>
      </c>
      <c r="F139" s="987">
        <f>+ROUND(Materiales[[#This Row],[PRECIO BASE]]*(1+Materiales[[#This Row],[AJUSTE POSITIVO]]),0)</f>
        <v>13800</v>
      </c>
      <c r="G139" s="994">
        <v>12000</v>
      </c>
      <c r="H139" s="995">
        <f t="shared" si="4"/>
        <v>0.15</v>
      </c>
      <c r="I139" s="34"/>
    </row>
    <row r="140" spans="1:9" s="421" customFormat="1">
      <c r="A140" s="997">
        <v>136</v>
      </c>
      <c r="B140" s="997" t="s">
        <v>1324</v>
      </c>
      <c r="C140" s="330" t="s">
        <v>1485</v>
      </c>
      <c r="D140" s="998" t="s">
        <v>188</v>
      </c>
      <c r="E140" s="999">
        <v>1</v>
      </c>
      <c r="F140" s="987">
        <f>+ROUND(Materiales[[#This Row],[PRECIO BASE]]*(1+Materiales[[#This Row],[AJUSTE POSITIVO]]),0)</f>
        <v>35708</v>
      </c>
      <c r="G140" s="994">
        <v>31050</v>
      </c>
      <c r="H140" s="995">
        <f t="shared" si="4"/>
        <v>0.15</v>
      </c>
      <c r="I140" s="34"/>
    </row>
    <row r="141" spans="1:9" s="421" customFormat="1">
      <c r="A141" s="997">
        <v>137</v>
      </c>
      <c r="B141" s="997" t="s">
        <v>1318</v>
      </c>
      <c r="C141" s="330" t="s">
        <v>1486</v>
      </c>
      <c r="D141" s="998" t="s">
        <v>1164</v>
      </c>
      <c r="E141" s="999">
        <v>0.1</v>
      </c>
      <c r="F141" s="987">
        <f>+ROUND(Materiales[[#This Row],[PRECIO BASE]]*(1+Materiales[[#This Row],[AJUSTE POSITIVO]]),0)</f>
        <v>25990</v>
      </c>
      <c r="G141" s="994">
        <v>22600</v>
      </c>
      <c r="H141" s="995">
        <f t="shared" si="4"/>
        <v>0.15</v>
      </c>
      <c r="I141" s="34"/>
    </row>
    <row r="142" spans="1:9" s="421" customFormat="1">
      <c r="A142" s="997">
        <v>138</v>
      </c>
      <c r="B142" s="997" t="s">
        <v>1417</v>
      </c>
      <c r="C142" s="330" t="s">
        <v>1487</v>
      </c>
      <c r="D142" s="998" t="s">
        <v>188</v>
      </c>
      <c r="E142" s="999">
        <v>0.2</v>
      </c>
      <c r="F142" s="987">
        <f>+ROUND(Materiales[[#This Row],[PRECIO BASE]]*(1+Materiales[[#This Row],[AJUSTE POSITIVO]]),0)</f>
        <v>2543</v>
      </c>
      <c r="G142" s="994">
        <v>2211</v>
      </c>
      <c r="H142" s="995">
        <f t="shared" si="4"/>
        <v>0.15</v>
      </c>
      <c r="I142" s="34"/>
    </row>
    <row r="143" spans="1:9" s="421" customFormat="1" ht="37.5">
      <c r="A143" s="997">
        <v>139</v>
      </c>
      <c r="B143" s="997" t="s">
        <v>1322</v>
      </c>
      <c r="C143" s="1000" t="s">
        <v>1488</v>
      </c>
      <c r="D143" s="997" t="s">
        <v>188</v>
      </c>
      <c r="E143" s="999">
        <v>15</v>
      </c>
      <c r="F143" s="987">
        <f>+ROUND(Materiales[[#This Row],[PRECIO BASE]]*(1+Materiales[[#This Row],[AJUSTE POSITIVO]]),0)</f>
        <v>1163375</v>
      </c>
      <c r="G143" s="994">
        <v>1011630</v>
      </c>
      <c r="H143" s="995">
        <f t="shared" si="4"/>
        <v>0.15</v>
      </c>
      <c r="I143" s="34"/>
    </row>
    <row r="144" spans="1:9" s="421" customFormat="1">
      <c r="A144" s="997">
        <v>140</v>
      </c>
      <c r="B144" s="997" t="s">
        <v>1417</v>
      </c>
      <c r="C144" s="330" t="s">
        <v>1489</v>
      </c>
      <c r="D144" s="998" t="s">
        <v>1363</v>
      </c>
      <c r="E144" s="999">
        <v>0.01</v>
      </c>
      <c r="F144" s="987">
        <f>+ROUND(Materiales[[#This Row],[PRECIO BASE]]*(1+Materiales[[#This Row],[AJUSTE POSITIVO]]),0)</f>
        <v>10810</v>
      </c>
      <c r="G144" s="994">
        <v>9400</v>
      </c>
      <c r="H144" s="995">
        <f t="shared" si="4"/>
        <v>0.15</v>
      </c>
      <c r="I144" s="34"/>
    </row>
    <row r="145" spans="1:9" s="421" customFormat="1">
      <c r="A145" s="997">
        <v>141</v>
      </c>
      <c r="B145" s="997" t="s">
        <v>1417</v>
      </c>
      <c r="C145" s="330" t="s">
        <v>1490</v>
      </c>
      <c r="D145" s="998" t="s">
        <v>188</v>
      </c>
      <c r="E145" s="999">
        <v>5.0000000000000001E-3</v>
      </c>
      <c r="F145" s="987">
        <f>+ROUND(Materiales[[#This Row],[PRECIO BASE]]*(1+Materiales[[#This Row],[AJUSTE POSITIVO]]),0)</f>
        <v>311</v>
      </c>
      <c r="G145" s="994">
        <v>270</v>
      </c>
      <c r="H145" s="995">
        <f t="shared" si="4"/>
        <v>0.15</v>
      </c>
      <c r="I145" s="34"/>
    </row>
    <row r="146" spans="1:9" s="421" customFormat="1">
      <c r="A146" s="997">
        <v>142</v>
      </c>
      <c r="B146" s="997" t="s">
        <v>1329</v>
      </c>
      <c r="C146" s="330" t="s">
        <v>1491</v>
      </c>
      <c r="D146" s="998" t="s">
        <v>188</v>
      </c>
      <c r="E146" s="999">
        <v>0.24</v>
      </c>
      <c r="F146" s="987">
        <f>+ROUND(Materiales[[#This Row],[PRECIO BASE]]*(1+Materiales[[#This Row],[AJUSTE POSITIVO]]),0)</f>
        <v>95450</v>
      </c>
      <c r="G146" s="994">
        <v>83000</v>
      </c>
      <c r="H146" s="995">
        <f t="shared" si="4"/>
        <v>0.15</v>
      </c>
      <c r="I146" s="737" t="s">
        <v>1331</v>
      </c>
    </row>
    <row r="147" spans="1:9" s="421" customFormat="1">
      <c r="A147" s="997">
        <v>143</v>
      </c>
      <c r="B147" s="997" t="s">
        <v>1329</v>
      </c>
      <c r="C147" s="330" t="s">
        <v>1492</v>
      </c>
      <c r="D147" s="998" t="s">
        <v>188</v>
      </c>
      <c r="E147" s="999">
        <v>0.3</v>
      </c>
      <c r="F147" s="987">
        <f>+ROUND(Materiales[[#This Row],[PRECIO BASE]]*(1+Materiales[[#This Row],[AJUSTE POSITIVO]]),0)</f>
        <v>146970</v>
      </c>
      <c r="G147" s="994">
        <v>127800</v>
      </c>
      <c r="H147" s="995">
        <f t="shared" si="4"/>
        <v>0.15</v>
      </c>
      <c r="I147" s="34" t="s">
        <v>1348</v>
      </c>
    </row>
    <row r="148" spans="1:9" s="421" customFormat="1">
      <c r="A148" s="997">
        <v>144</v>
      </c>
      <c r="B148" s="997" t="s">
        <v>1329</v>
      </c>
      <c r="C148" s="330" t="s">
        <v>1493</v>
      </c>
      <c r="D148" s="998" t="s">
        <v>188</v>
      </c>
      <c r="E148" s="999">
        <v>0.16</v>
      </c>
      <c r="F148" s="987">
        <f>+ROUND(Materiales[[#This Row],[PRECIO BASE]]*(1+Materiales[[#This Row],[AJUSTE POSITIVO]]),0)</f>
        <v>29670</v>
      </c>
      <c r="G148" s="994">
        <v>25800</v>
      </c>
      <c r="H148" s="995">
        <f t="shared" si="4"/>
        <v>0.15</v>
      </c>
      <c r="I148" s="34" t="s">
        <v>1494</v>
      </c>
    </row>
    <row r="149" spans="1:9" s="421" customFormat="1">
      <c r="A149" s="997">
        <v>145</v>
      </c>
      <c r="B149" s="997" t="s">
        <v>1313</v>
      </c>
      <c r="C149" s="330" t="s">
        <v>1495</v>
      </c>
      <c r="D149" s="998" t="s">
        <v>1164</v>
      </c>
      <c r="E149" s="999">
        <v>0.4</v>
      </c>
      <c r="F149" s="987">
        <f>+ROUND(Materiales[[#This Row],[PRECIO BASE]]*(1+Materiales[[#This Row],[AJUSTE POSITIVO]]),0)</f>
        <v>35360</v>
      </c>
      <c r="G149" s="994">
        <v>30748</v>
      </c>
      <c r="H149" s="995">
        <f t="shared" si="4"/>
        <v>0.15</v>
      </c>
      <c r="I149" s="34" t="s">
        <v>1496</v>
      </c>
    </row>
    <row r="150" spans="1:9" s="421" customFormat="1">
      <c r="A150" s="997">
        <v>146</v>
      </c>
      <c r="B150" s="997" t="s">
        <v>1313</v>
      </c>
      <c r="C150" s="330" t="s">
        <v>1497</v>
      </c>
      <c r="D150" s="998" t="s">
        <v>1164</v>
      </c>
      <c r="E150" s="999">
        <v>0.35899999999999999</v>
      </c>
      <c r="F150" s="987">
        <f>+ROUND(Materiales[[#This Row],[PRECIO BASE]]*(1+Materiales[[#This Row],[AJUSTE POSITIVO]]),0)</f>
        <v>40239</v>
      </c>
      <c r="G150" s="994">
        <v>34990</v>
      </c>
      <c r="H150" s="995">
        <f t="shared" si="4"/>
        <v>0.15</v>
      </c>
      <c r="I150" s="34" t="s">
        <v>1498</v>
      </c>
    </row>
    <row r="151" spans="1:9" s="421" customFormat="1">
      <c r="A151" s="997">
        <v>147</v>
      </c>
      <c r="B151" s="997" t="s">
        <v>1311</v>
      </c>
      <c r="C151" s="330" t="s">
        <v>1499</v>
      </c>
      <c r="D151" s="998" t="s">
        <v>188</v>
      </c>
      <c r="E151" s="999">
        <v>2.5</v>
      </c>
      <c r="F151" s="987">
        <f>+ROUND(Materiales[[#This Row],[PRECIO BASE]]*(1+Materiales[[#This Row],[AJUSTE POSITIVO]]),0)</f>
        <v>904822</v>
      </c>
      <c r="G151" s="994">
        <v>786802</v>
      </c>
      <c r="H151" s="995">
        <f t="shared" si="4"/>
        <v>0.15</v>
      </c>
      <c r="I151" s="34"/>
    </row>
    <row r="152" spans="1:9" s="421" customFormat="1">
      <c r="A152" s="997">
        <v>148</v>
      </c>
      <c r="B152" s="997" t="s">
        <v>1311</v>
      </c>
      <c r="C152" s="1002" t="s">
        <v>1500</v>
      </c>
      <c r="D152" s="997" t="s">
        <v>188</v>
      </c>
      <c r="E152" s="999">
        <v>45</v>
      </c>
      <c r="F152" s="987">
        <f>+ROUND(Materiales[[#This Row],[PRECIO BASE]]*(1+Materiales[[#This Row],[AJUSTE POSITIVO]]),0)</f>
        <v>9196183</v>
      </c>
      <c r="G152" s="994">
        <v>7996681</v>
      </c>
      <c r="H152" s="995">
        <f t="shared" si="4"/>
        <v>0.15</v>
      </c>
      <c r="I152" s="34" t="s">
        <v>1501</v>
      </c>
    </row>
    <row r="153" spans="1:9" s="421" customFormat="1">
      <c r="A153" s="997">
        <v>149</v>
      </c>
      <c r="B153" s="997" t="s">
        <v>1311</v>
      </c>
      <c r="C153" s="1002" t="s">
        <v>1502</v>
      </c>
      <c r="D153" s="998" t="s">
        <v>188</v>
      </c>
      <c r="E153" s="999">
        <v>15</v>
      </c>
      <c r="F153" s="987">
        <f>+ROUND(Materiales[[#This Row],[PRECIO BASE]]*(1+Materiales[[#This Row],[AJUSTE POSITIVO]]),0)</f>
        <v>1233020</v>
      </c>
      <c r="G153" s="994">
        <v>1072191</v>
      </c>
      <c r="H153" s="995">
        <f t="shared" si="4"/>
        <v>0.15</v>
      </c>
      <c r="I153" s="34"/>
    </row>
    <row r="154" spans="1:9" s="421" customFormat="1">
      <c r="A154" s="997">
        <v>150</v>
      </c>
      <c r="B154" s="997" t="s">
        <v>1449</v>
      </c>
      <c r="C154" s="336" t="s">
        <v>1503</v>
      </c>
      <c r="D154" s="998" t="s">
        <v>1147</v>
      </c>
      <c r="E154" s="999">
        <v>1</v>
      </c>
      <c r="F154" s="987">
        <f>+ROUND(Materiales[[#This Row],[PRECIO BASE]]*(1+Materiales[[#This Row],[AJUSTE POSITIVO]]),0)</f>
        <v>6568</v>
      </c>
      <c r="G154" s="994">
        <v>5711</v>
      </c>
      <c r="H154" s="995">
        <f t="shared" si="4"/>
        <v>0.15</v>
      </c>
      <c r="I154" s="34" t="s">
        <v>1504</v>
      </c>
    </row>
    <row r="155" spans="1:9" s="421" customFormat="1">
      <c r="A155" s="997">
        <v>151</v>
      </c>
      <c r="B155" s="997" t="s">
        <v>1449</v>
      </c>
      <c r="C155" s="336" t="s">
        <v>1505</v>
      </c>
      <c r="D155" s="998" t="s">
        <v>188</v>
      </c>
      <c r="E155" s="999">
        <v>40</v>
      </c>
      <c r="F155" s="987">
        <f>+ROUND(Materiales[[#This Row],[PRECIO BASE]]*(1+Materiales[[#This Row],[AJUSTE POSITIVO]]),0)</f>
        <v>976110</v>
      </c>
      <c r="G155" s="994">
        <v>848791</v>
      </c>
      <c r="H155" s="995">
        <f t="shared" si="4"/>
        <v>0.15</v>
      </c>
      <c r="I155" s="34"/>
    </row>
    <row r="156" spans="1:9" s="421" customFormat="1">
      <c r="A156" s="985">
        <v>152</v>
      </c>
      <c r="B156" s="64" t="s">
        <v>1402</v>
      </c>
      <c r="C156" s="103" t="s">
        <v>1506</v>
      </c>
      <c r="D156" s="998" t="s">
        <v>188</v>
      </c>
      <c r="E156" s="64">
        <v>2</v>
      </c>
      <c r="F156" s="987">
        <f>+ROUND(Materiales[[#This Row],[PRECIO BASE]]*(1+Materiales[[#This Row],[AJUSTE POSITIVO]]),0)</f>
        <v>88864</v>
      </c>
      <c r="G156" s="994">
        <v>77273</v>
      </c>
      <c r="H156" s="995">
        <f t="shared" si="4"/>
        <v>0.15</v>
      </c>
      <c r="I156" s="34"/>
    </row>
    <row r="157" spans="1:9" s="421" customFormat="1">
      <c r="A157" s="997">
        <v>153</v>
      </c>
      <c r="B157" s="997" t="s">
        <v>1318</v>
      </c>
      <c r="C157" s="330" t="s">
        <v>1507</v>
      </c>
      <c r="D157" s="998" t="s">
        <v>1164</v>
      </c>
      <c r="E157" s="999">
        <v>0.5</v>
      </c>
      <c r="F157" s="987">
        <f>+ROUND(Materiales[[#This Row],[PRECIO BASE]]*(1+Materiales[[#This Row],[AJUSTE POSITIVO]]),0)</f>
        <v>10695</v>
      </c>
      <c r="G157" s="994">
        <v>9300</v>
      </c>
      <c r="H157" s="995">
        <f t="shared" si="4"/>
        <v>0.15</v>
      </c>
      <c r="I157" s="34" t="s">
        <v>1508</v>
      </c>
    </row>
    <row r="158" spans="1:9" s="421" customFormat="1">
      <c r="A158" s="997">
        <v>154</v>
      </c>
      <c r="B158" s="997" t="s">
        <v>1318</v>
      </c>
      <c r="C158" s="330" t="s">
        <v>1509</v>
      </c>
      <c r="D158" s="998" t="s">
        <v>188</v>
      </c>
      <c r="E158" s="999">
        <v>0.1</v>
      </c>
      <c r="F158" s="987">
        <f>+ROUND(Materiales[[#This Row],[PRECIO BASE]]*(1+Materiales[[#This Row],[AJUSTE POSITIVO]]),0)</f>
        <v>483</v>
      </c>
      <c r="G158" s="994">
        <v>420</v>
      </c>
      <c r="H158" s="995">
        <f t="shared" si="4"/>
        <v>0.15</v>
      </c>
      <c r="I158" s="34"/>
    </row>
    <row r="159" spans="1:9" s="421" customFormat="1">
      <c r="A159" s="997">
        <v>155</v>
      </c>
      <c r="B159" s="997" t="s">
        <v>1318</v>
      </c>
      <c r="C159" s="330" t="s">
        <v>1510</v>
      </c>
      <c r="D159" s="998" t="s">
        <v>188</v>
      </c>
      <c r="E159" s="999">
        <v>0.19</v>
      </c>
      <c r="F159" s="987">
        <f>+ROUND(Materiales[[#This Row],[PRECIO BASE]]*(1+Materiales[[#This Row],[AJUSTE POSITIVO]]),0)</f>
        <v>5923</v>
      </c>
      <c r="G159" s="994">
        <v>5150</v>
      </c>
      <c r="H159" s="995">
        <f t="shared" si="4"/>
        <v>0.15</v>
      </c>
      <c r="I159" s="34" t="s">
        <v>1511</v>
      </c>
    </row>
    <row r="160" spans="1:9" s="421" customFormat="1">
      <c r="A160" s="997">
        <v>156</v>
      </c>
      <c r="B160" s="997" t="s">
        <v>1324</v>
      </c>
      <c r="C160" s="330" t="s">
        <v>1512</v>
      </c>
      <c r="D160" s="998" t="s">
        <v>188</v>
      </c>
      <c r="E160" s="999">
        <v>1.2</v>
      </c>
      <c r="F160" s="987">
        <f>+ROUND(Materiales[[#This Row],[PRECIO BASE]]*(1+Materiales[[#This Row],[AJUSTE POSITIVO]]),0)</f>
        <v>68845</v>
      </c>
      <c r="G160" s="994">
        <v>59865</v>
      </c>
      <c r="H160" s="995">
        <f t="shared" si="4"/>
        <v>0.15</v>
      </c>
      <c r="I160" s="34" t="s">
        <v>1326</v>
      </c>
    </row>
    <row r="161" spans="1:9" s="421" customFormat="1">
      <c r="A161" s="997">
        <v>157</v>
      </c>
      <c r="B161" s="997" t="s">
        <v>1324</v>
      </c>
      <c r="C161" s="330" t="s">
        <v>1513</v>
      </c>
      <c r="D161" s="998" t="s">
        <v>188</v>
      </c>
      <c r="E161" s="999">
        <v>3.5</v>
      </c>
      <c r="F161" s="987">
        <f>+ROUND(Materiales[[#This Row],[PRECIO BASE]]*(1+Materiales[[#This Row],[AJUSTE POSITIVO]]),0)</f>
        <v>189323</v>
      </c>
      <c r="G161" s="994">
        <v>164628.75</v>
      </c>
      <c r="H161" s="995">
        <f t="shared" si="4"/>
        <v>0.15</v>
      </c>
      <c r="I161" s="34"/>
    </row>
    <row r="162" spans="1:9" s="421" customFormat="1">
      <c r="A162" s="997">
        <v>158</v>
      </c>
      <c r="B162" s="997" t="s">
        <v>1324</v>
      </c>
      <c r="C162" s="330" t="s">
        <v>1514</v>
      </c>
      <c r="D162" s="998" t="s">
        <v>188</v>
      </c>
      <c r="E162" s="999">
        <v>0.5</v>
      </c>
      <c r="F162" s="987">
        <f>+ROUND(Materiales[[#This Row],[PRECIO BASE]]*(1+Materiales[[#This Row],[AJUSTE POSITIVO]]),0)</f>
        <v>34422</v>
      </c>
      <c r="G162" s="994">
        <v>29932.5</v>
      </c>
      <c r="H162" s="995">
        <f t="shared" si="4"/>
        <v>0.15</v>
      </c>
      <c r="I162" s="34"/>
    </row>
    <row r="163" spans="1:9" s="421" customFormat="1">
      <c r="A163" s="997">
        <v>159</v>
      </c>
      <c r="B163" s="997" t="s">
        <v>1329</v>
      </c>
      <c r="C163" s="330" t="s">
        <v>1515</v>
      </c>
      <c r="D163" s="998" t="s">
        <v>188</v>
      </c>
      <c r="E163" s="999">
        <v>0.35</v>
      </c>
      <c r="F163" s="987">
        <f>+ROUND(Materiales[[#This Row],[PRECIO BASE]]*(1+Materiales[[#This Row],[AJUSTE POSITIVO]]),0)</f>
        <v>247480</v>
      </c>
      <c r="G163" s="994">
        <v>215200</v>
      </c>
      <c r="H163" s="995">
        <f t="shared" si="4"/>
        <v>0.15</v>
      </c>
      <c r="I163" s="34"/>
    </row>
    <row r="164" spans="1:9" s="421" customFormat="1">
      <c r="A164" s="997">
        <v>160</v>
      </c>
      <c r="B164" s="997" t="s">
        <v>1329</v>
      </c>
      <c r="C164" s="330" t="s">
        <v>1516</v>
      </c>
      <c r="D164" s="998" t="s">
        <v>188</v>
      </c>
      <c r="E164" s="999">
        <v>0.3</v>
      </c>
      <c r="F164" s="987">
        <f>+ROUND(Materiales[[#This Row],[PRECIO BASE]]*(1+Materiales[[#This Row],[AJUSTE POSITIVO]]),0)</f>
        <v>558900</v>
      </c>
      <c r="G164" s="994">
        <v>486000</v>
      </c>
      <c r="H164" s="995">
        <f t="shared" si="4"/>
        <v>0.15</v>
      </c>
      <c r="I164" s="34"/>
    </row>
    <row r="165" spans="1:9" s="421" customFormat="1">
      <c r="A165" s="997">
        <v>161</v>
      </c>
      <c r="B165" s="997" t="s">
        <v>1329</v>
      </c>
      <c r="C165" s="330" t="s">
        <v>1517</v>
      </c>
      <c r="D165" s="998" t="s">
        <v>188</v>
      </c>
      <c r="E165" s="999">
        <v>0.3</v>
      </c>
      <c r="F165" s="987">
        <f>+ROUND(Materiales[[#This Row],[PRECIO BASE]]*(1+Materiales[[#This Row],[AJUSTE POSITIVO]]),0)</f>
        <v>332414</v>
      </c>
      <c r="G165" s="994">
        <v>289056</v>
      </c>
      <c r="H165" s="995">
        <f t="shared" ref="H165:H196" si="5">+$H$2</f>
        <v>0.15</v>
      </c>
      <c r="I165" s="34"/>
    </row>
    <row r="166" spans="1:9" s="421" customFormat="1">
      <c r="A166" s="997">
        <v>162</v>
      </c>
      <c r="B166" s="997" t="s">
        <v>1324</v>
      </c>
      <c r="C166" s="330" t="s">
        <v>1518</v>
      </c>
      <c r="D166" s="998" t="s">
        <v>188</v>
      </c>
      <c r="E166" s="999">
        <v>0.5</v>
      </c>
      <c r="F166" s="987">
        <f>+ROUND(Materiales[[#This Row],[PRECIO BASE]]*(1+Materiales[[#This Row],[AJUSTE POSITIVO]]),0)</f>
        <v>37865</v>
      </c>
      <c r="G166" s="994">
        <v>32925.75</v>
      </c>
      <c r="H166" s="995">
        <f t="shared" si="5"/>
        <v>0.15</v>
      </c>
      <c r="I166" s="34"/>
    </row>
    <row r="167" spans="1:9" s="421" customFormat="1" ht="37.5">
      <c r="A167" s="997">
        <v>163</v>
      </c>
      <c r="B167" s="997" t="s">
        <v>1311</v>
      </c>
      <c r="C167" s="1000" t="s">
        <v>1519</v>
      </c>
      <c r="D167" s="997" t="s">
        <v>188</v>
      </c>
      <c r="E167" s="999">
        <v>3</v>
      </c>
      <c r="F167" s="987">
        <f>+ROUND(Materiales[[#This Row],[PRECIO BASE]]*(1+Materiales[[#This Row],[AJUSTE POSITIVO]]),0)</f>
        <v>3873149</v>
      </c>
      <c r="G167" s="994">
        <v>3367956</v>
      </c>
      <c r="H167" s="995">
        <f t="shared" si="5"/>
        <v>0.15</v>
      </c>
      <c r="I167" s="34"/>
    </row>
    <row r="168" spans="1:9" s="421" customFormat="1">
      <c r="A168" s="997">
        <v>164</v>
      </c>
      <c r="B168" s="997" t="s">
        <v>1324</v>
      </c>
      <c r="C168" s="330" t="s">
        <v>1520</v>
      </c>
      <c r="D168" s="998" t="s">
        <v>188</v>
      </c>
      <c r="E168" s="999">
        <v>2.1</v>
      </c>
      <c r="F168" s="987">
        <f>+ROUND(Materiales[[#This Row],[PRECIO BASE]]*(1+Materiales[[#This Row],[AJUSTE POSITIVO]]),0)</f>
        <v>137690</v>
      </c>
      <c r="G168" s="994">
        <v>119730</v>
      </c>
      <c r="H168" s="995">
        <f t="shared" si="5"/>
        <v>0.15</v>
      </c>
      <c r="I168" s="34"/>
    </row>
    <row r="169" spans="1:9" s="421" customFormat="1">
      <c r="A169" s="997">
        <v>165</v>
      </c>
      <c r="B169" s="997" t="s">
        <v>1313</v>
      </c>
      <c r="C169" s="330" t="s">
        <v>1521</v>
      </c>
      <c r="D169" s="998" t="s">
        <v>1164</v>
      </c>
      <c r="E169" s="999">
        <v>0.152</v>
      </c>
      <c r="F169" s="987">
        <f>+ROUND(Materiales[[#This Row],[PRECIO BASE]]*(1+Materiales[[#This Row],[AJUSTE POSITIVO]]),0)</f>
        <v>10695</v>
      </c>
      <c r="G169" s="994">
        <v>9300</v>
      </c>
      <c r="H169" s="995">
        <f t="shared" si="5"/>
        <v>0.15</v>
      </c>
      <c r="I169" s="34" t="s">
        <v>1522</v>
      </c>
    </row>
    <row r="170" spans="1:9" s="421" customFormat="1">
      <c r="A170" s="997">
        <v>166</v>
      </c>
      <c r="B170" s="997" t="s">
        <v>1313</v>
      </c>
      <c r="C170" s="330" t="s">
        <v>1523</v>
      </c>
      <c r="D170" s="998" t="s">
        <v>1164</v>
      </c>
      <c r="E170" s="999">
        <v>0.23499999999999999</v>
      </c>
      <c r="F170" s="987">
        <f>+ROUND(Materiales[[#This Row],[PRECIO BASE]]*(1+Materiales[[#This Row],[AJUSTE POSITIVO]]),0)</f>
        <v>39137</v>
      </c>
      <c r="G170" s="994">
        <v>34032</v>
      </c>
      <c r="H170" s="995">
        <f t="shared" si="5"/>
        <v>0.15</v>
      </c>
      <c r="I170" s="34" t="s">
        <v>1524</v>
      </c>
    </row>
    <row r="171" spans="1:9" s="421" customFormat="1">
      <c r="A171" s="997">
        <v>167</v>
      </c>
      <c r="B171" s="997" t="s">
        <v>1313</v>
      </c>
      <c r="C171" s="330" t="s">
        <v>1525</v>
      </c>
      <c r="D171" s="998" t="s">
        <v>1164</v>
      </c>
      <c r="E171" s="999">
        <v>0.55200000000000005</v>
      </c>
      <c r="F171" s="987">
        <f>+ROUND(Materiales[[#This Row],[PRECIO BASE]]*(1+Materiales[[#This Row],[AJUSTE POSITIVO]]),0)</f>
        <v>40020</v>
      </c>
      <c r="G171" s="994">
        <v>34800</v>
      </c>
      <c r="H171" s="995">
        <f t="shared" si="5"/>
        <v>0.15</v>
      </c>
      <c r="I171" s="34" t="s">
        <v>1526</v>
      </c>
    </row>
    <row r="172" spans="1:9" s="421" customFormat="1">
      <c r="A172" s="997">
        <v>168</v>
      </c>
      <c r="B172" s="997" t="s">
        <v>1324</v>
      </c>
      <c r="C172" s="330" t="s">
        <v>1527</v>
      </c>
      <c r="D172" s="998" t="s">
        <v>188</v>
      </c>
      <c r="E172" s="999">
        <v>0.35</v>
      </c>
      <c r="F172" s="987">
        <f>+ROUND(Materiales[[#This Row],[PRECIO BASE]]*(1+Materiales[[#This Row],[AJUSTE POSITIVO]]),0)</f>
        <v>20653</v>
      </c>
      <c r="G172" s="994">
        <v>17959.5</v>
      </c>
      <c r="H172" s="995">
        <f t="shared" si="5"/>
        <v>0.15</v>
      </c>
      <c r="I172" s="34"/>
    </row>
    <row r="173" spans="1:9" s="421" customFormat="1">
      <c r="A173" s="985">
        <v>169</v>
      </c>
      <c r="B173" s="997" t="s">
        <v>1329</v>
      </c>
      <c r="C173" s="330" t="s">
        <v>1528</v>
      </c>
      <c r="D173" s="998" t="s">
        <v>188</v>
      </c>
      <c r="E173" s="999">
        <v>0.24</v>
      </c>
      <c r="F173" s="987">
        <f>+ROUND(Materiales[[#This Row],[PRECIO BASE]]*(1+Materiales[[#This Row],[AJUSTE POSITIVO]]),0)</f>
        <v>38893</v>
      </c>
      <c r="G173" s="994">
        <v>33820</v>
      </c>
      <c r="H173" s="995">
        <f t="shared" si="5"/>
        <v>0.15</v>
      </c>
      <c r="I173" s="34" t="s">
        <v>1529</v>
      </c>
    </row>
    <row r="174" spans="1:9" s="421" customFormat="1">
      <c r="A174" s="985">
        <v>170</v>
      </c>
      <c r="B174" s="997" t="s">
        <v>1324</v>
      </c>
      <c r="C174" s="103" t="s">
        <v>1530</v>
      </c>
      <c r="D174" s="986" t="s">
        <v>188</v>
      </c>
      <c r="E174" s="64">
        <v>0.5</v>
      </c>
      <c r="F174" s="987">
        <f>+ROUND(Materiales[[#This Row],[PRECIO BASE]]*(1+Materiales[[#This Row],[AJUSTE POSITIVO]]),0)</f>
        <v>43028</v>
      </c>
      <c r="G174" s="994">
        <v>37415.625</v>
      </c>
      <c r="H174" s="995">
        <f t="shared" si="5"/>
        <v>0.15</v>
      </c>
      <c r="I174" s="34"/>
    </row>
    <row r="175" spans="1:9" s="421" customFormat="1">
      <c r="A175" s="997">
        <v>171</v>
      </c>
      <c r="B175" s="997" t="s">
        <v>1329</v>
      </c>
      <c r="C175" s="330" t="s">
        <v>1531</v>
      </c>
      <c r="D175" s="998" t="s">
        <v>188</v>
      </c>
      <c r="E175" s="999">
        <v>0.3</v>
      </c>
      <c r="F175" s="987">
        <f>+ROUND(Materiales[[#This Row],[PRECIO BASE]]*(1+Materiales[[#This Row],[AJUSTE POSITIVO]]),0)</f>
        <v>332414</v>
      </c>
      <c r="G175" s="994">
        <v>289056</v>
      </c>
      <c r="H175" s="995">
        <f t="shared" si="5"/>
        <v>0.15</v>
      </c>
      <c r="I175" s="34"/>
    </row>
    <row r="176" spans="1:9" s="421" customFormat="1">
      <c r="A176" s="997">
        <v>172</v>
      </c>
      <c r="B176" s="997" t="s">
        <v>1318</v>
      </c>
      <c r="C176" s="330" t="s">
        <v>1532</v>
      </c>
      <c r="D176" s="998" t="s">
        <v>1164</v>
      </c>
      <c r="E176" s="999">
        <v>0.4</v>
      </c>
      <c r="F176" s="987">
        <f>+ROUND(Materiales[[#This Row],[PRECIO BASE]]*(1+Materiales[[#This Row],[AJUSTE POSITIVO]]),0)</f>
        <v>54427</v>
      </c>
      <c r="G176" s="994">
        <v>47328</v>
      </c>
      <c r="H176" s="995">
        <f t="shared" si="5"/>
        <v>0.15</v>
      </c>
      <c r="I176" s="34" t="s">
        <v>1533</v>
      </c>
    </row>
    <row r="177" spans="1:9" s="421" customFormat="1">
      <c r="A177" s="985">
        <v>173</v>
      </c>
      <c r="B177" s="997" t="s">
        <v>1313</v>
      </c>
      <c r="C177" s="330" t="s">
        <v>1534</v>
      </c>
      <c r="D177" s="998" t="s">
        <v>1164</v>
      </c>
      <c r="E177" s="999">
        <v>0.14599999999999999</v>
      </c>
      <c r="F177" s="987">
        <f>+ROUND(Materiales[[#This Row],[PRECIO BASE]]*(1+Materiales[[#This Row],[AJUSTE POSITIVO]]),0)</f>
        <v>2128</v>
      </c>
      <c r="G177" s="994">
        <v>1850</v>
      </c>
      <c r="H177" s="995">
        <f t="shared" si="5"/>
        <v>0.15</v>
      </c>
      <c r="I177" s="34" t="s">
        <v>1535</v>
      </c>
    </row>
    <row r="178" spans="1:9" s="421" customFormat="1">
      <c r="A178" s="985">
        <v>174</v>
      </c>
      <c r="B178" s="985" t="s">
        <v>1324</v>
      </c>
      <c r="C178" s="103" t="s">
        <v>1536</v>
      </c>
      <c r="D178" s="998" t="s">
        <v>188</v>
      </c>
      <c r="E178" s="999">
        <v>0.2</v>
      </c>
      <c r="F178" s="987">
        <f>+ROUND(Materiales[[#This Row],[PRECIO BASE]]*(1+Materiales[[#This Row],[AJUSTE POSITIVO]]),0)</f>
        <v>10327</v>
      </c>
      <c r="G178" s="994">
        <v>8979.75</v>
      </c>
      <c r="H178" s="995">
        <f t="shared" si="5"/>
        <v>0.15</v>
      </c>
      <c r="I178" s="34"/>
    </row>
    <row r="179" spans="1:9" s="421" customFormat="1">
      <c r="A179" s="997">
        <v>175</v>
      </c>
      <c r="B179" s="997" t="s">
        <v>1311</v>
      </c>
      <c r="C179" s="330" t="s">
        <v>1537</v>
      </c>
      <c r="D179" s="997" t="s">
        <v>188</v>
      </c>
      <c r="E179" s="999">
        <v>30</v>
      </c>
      <c r="F179" s="987">
        <f>+ROUND(Materiales[[#This Row],[PRECIO BASE]]*(1+Materiales[[#This Row],[AJUSTE POSITIVO]]),0)</f>
        <v>1024938</v>
      </c>
      <c r="G179" s="994">
        <v>891250</v>
      </c>
      <c r="H179" s="995">
        <f t="shared" si="5"/>
        <v>0.15</v>
      </c>
      <c r="I179" s="34" t="s">
        <v>1538</v>
      </c>
    </row>
    <row r="180" spans="1:9" s="421" customFormat="1" ht="37.5">
      <c r="A180" s="997">
        <v>176</v>
      </c>
      <c r="B180" s="997" t="s">
        <v>1311</v>
      </c>
      <c r="C180" s="1000" t="s">
        <v>1539</v>
      </c>
      <c r="D180" s="997" t="s">
        <v>188</v>
      </c>
      <c r="E180" s="999">
        <v>3</v>
      </c>
      <c r="F180" s="987">
        <f>+ROUND(Materiales[[#This Row],[PRECIO BASE]]*(1+Materiales[[#This Row],[AJUSTE POSITIVO]]),0)</f>
        <v>3098520</v>
      </c>
      <c r="G180" s="994">
        <v>2694365</v>
      </c>
      <c r="H180" s="995">
        <f t="shared" si="5"/>
        <v>0.15</v>
      </c>
      <c r="I180" s="34"/>
    </row>
    <row r="181" spans="1:9" s="421" customFormat="1">
      <c r="A181" s="997">
        <v>177</v>
      </c>
      <c r="B181" s="997" t="s">
        <v>1324</v>
      </c>
      <c r="C181" s="330" t="s">
        <v>1540</v>
      </c>
      <c r="D181" s="998" t="s">
        <v>188</v>
      </c>
      <c r="E181" s="999">
        <v>1.8</v>
      </c>
      <c r="F181" s="987">
        <f>+ROUND(Materiales[[#This Row],[PRECIO BASE]]*(1+Materiales[[#This Row],[AJUSTE POSITIVO]]),0)</f>
        <v>120478</v>
      </c>
      <c r="G181" s="994">
        <v>104763.75</v>
      </c>
      <c r="H181" s="995">
        <f t="shared" si="5"/>
        <v>0.15</v>
      </c>
      <c r="I181" s="34"/>
    </row>
    <row r="182" spans="1:9" s="421" customFormat="1">
      <c r="A182" s="997">
        <v>178</v>
      </c>
      <c r="B182" s="997" t="s">
        <v>1329</v>
      </c>
      <c r="C182" s="330" t="s">
        <v>1541</v>
      </c>
      <c r="D182" s="998" t="s">
        <v>188</v>
      </c>
      <c r="E182" s="999">
        <v>0.24</v>
      </c>
      <c r="F182" s="987">
        <f>+ROUND(Materiales[[#This Row],[PRECIO BASE]]*(1+Materiales[[#This Row],[AJUSTE POSITIVO]]),0)</f>
        <v>35363</v>
      </c>
      <c r="G182" s="994">
        <v>30750</v>
      </c>
      <c r="H182" s="995">
        <f t="shared" si="5"/>
        <v>0.15</v>
      </c>
      <c r="I182" s="34"/>
    </row>
    <row r="183" spans="1:9" s="421" customFormat="1">
      <c r="A183" s="997">
        <v>179</v>
      </c>
      <c r="B183" s="997" t="s">
        <v>1329</v>
      </c>
      <c r="C183" s="330" t="s">
        <v>1542</v>
      </c>
      <c r="D183" s="998" t="s">
        <v>188</v>
      </c>
      <c r="E183" s="999">
        <v>0.35</v>
      </c>
      <c r="F183" s="987">
        <f>+ROUND(Materiales[[#This Row],[PRECIO BASE]]*(1+Materiales[[#This Row],[AJUSTE POSITIVO]]),0)</f>
        <v>214590</v>
      </c>
      <c r="G183" s="994">
        <v>186600</v>
      </c>
      <c r="H183" s="995">
        <f t="shared" si="5"/>
        <v>0.15</v>
      </c>
      <c r="I183" s="34" t="s">
        <v>1543</v>
      </c>
    </row>
    <row r="184" spans="1:9" s="421" customFormat="1">
      <c r="A184" s="997">
        <v>180</v>
      </c>
      <c r="B184" s="997" t="s">
        <v>1324</v>
      </c>
      <c r="C184" s="330" t="s">
        <v>1544</v>
      </c>
      <c r="D184" s="998" t="s">
        <v>188</v>
      </c>
      <c r="E184" s="999">
        <v>0.5</v>
      </c>
      <c r="F184" s="987">
        <f>+ROUND(Materiales[[#This Row],[PRECIO BASE]]*(1+Materiales[[#This Row],[AJUSTE POSITIVO]]),0)</f>
        <v>46470</v>
      </c>
      <c r="G184" s="994">
        <v>40408.875</v>
      </c>
      <c r="H184" s="995">
        <f t="shared" si="5"/>
        <v>0.15</v>
      </c>
      <c r="I184" s="34"/>
    </row>
    <row r="185" spans="1:9" s="421" customFormat="1">
      <c r="A185" s="997">
        <v>181</v>
      </c>
      <c r="B185" s="997" t="s">
        <v>1329</v>
      </c>
      <c r="C185" s="330" t="s">
        <v>1545</v>
      </c>
      <c r="D185" s="997" t="s">
        <v>188</v>
      </c>
      <c r="E185" s="999">
        <v>0.4</v>
      </c>
      <c r="F185" s="987">
        <f>+ROUND(Materiales[[#This Row],[PRECIO BASE]]*(1+Materiales[[#This Row],[AJUSTE POSITIVO]]),0)</f>
        <v>276000</v>
      </c>
      <c r="G185" s="994">
        <v>240000</v>
      </c>
      <c r="H185" s="995">
        <f t="shared" si="5"/>
        <v>0.15</v>
      </c>
      <c r="I185" s="34" t="s">
        <v>1352</v>
      </c>
    </row>
    <row r="186" spans="1:9" s="421" customFormat="1">
      <c r="A186" s="997">
        <v>182</v>
      </c>
      <c r="B186" s="997" t="s">
        <v>1324</v>
      </c>
      <c r="C186" s="330" t="s">
        <v>1546</v>
      </c>
      <c r="D186" s="998" t="s">
        <v>188</v>
      </c>
      <c r="E186" s="999">
        <v>1.3</v>
      </c>
      <c r="F186" s="987">
        <f>+ROUND(Materiales[[#This Row],[PRECIO BASE]]*(1+Materiales[[#This Row],[AJUSTE POSITIVO]]),0)</f>
        <v>92940</v>
      </c>
      <c r="G186" s="994">
        <v>80817.75</v>
      </c>
      <c r="H186" s="995">
        <f t="shared" si="5"/>
        <v>0.15</v>
      </c>
      <c r="I186" s="34"/>
    </row>
    <row r="187" spans="1:9" s="421" customFormat="1">
      <c r="A187" s="997">
        <v>183</v>
      </c>
      <c r="B187" s="997" t="s">
        <v>1324</v>
      </c>
      <c r="C187" s="330" t="s">
        <v>1547</v>
      </c>
      <c r="D187" s="998" t="s">
        <v>188</v>
      </c>
      <c r="E187" s="999">
        <v>0.7</v>
      </c>
      <c r="F187" s="987">
        <f>+ROUND(Materiales[[#This Row],[PRECIO BASE]]*(1+Materiales[[#This Row],[AJUSTE POSITIVO]]),0)</f>
        <v>55076</v>
      </c>
      <c r="G187" s="994">
        <v>47892</v>
      </c>
      <c r="H187" s="995">
        <f t="shared" si="5"/>
        <v>0.15</v>
      </c>
      <c r="I187" s="34"/>
    </row>
    <row r="188" spans="1:9" s="421" customFormat="1">
      <c r="A188" s="997">
        <v>184</v>
      </c>
      <c r="B188" s="997" t="s">
        <v>1324</v>
      </c>
      <c r="C188" s="330" t="s">
        <v>1548</v>
      </c>
      <c r="D188" s="998" t="s">
        <v>188</v>
      </c>
      <c r="E188" s="999">
        <v>0.38</v>
      </c>
      <c r="F188" s="987">
        <f>+ROUND(Materiales[[#This Row],[PRECIO BASE]]*(1+Materiales[[#This Row],[AJUSTE POSITIVO]]),0)</f>
        <v>24096</v>
      </c>
      <c r="G188" s="994">
        <v>20952.75</v>
      </c>
      <c r="H188" s="995">
        <f t="shared" si="5"/>
        <v>0.15</v>
      </c>
      <c r="I188" s="34"/>
    </row>
    <row r="189" spans="1:9" s="421" customFormat="1">
      <c r="A189" s="997">
        <v>185</v>
      </c>
      <c r="B189" s="997" t="s">
        <v>1324</v>
      </c>
      <c r="C189" s="330" t="s">
        <v>1549</v>
      </c>
      <c r="D189" s="998" t="s">
        <v>188</v>
      </c>
      <c r="E189" s="999">
        <v>0.6</v>
      </c>
      <c r="F189" s="987">
        <f>+ROUND(Materiales[[#This Row],[PRECIO BASE]]*(1+Materiales[[#This Row],[AJUSTE POSITIVO]]),0)</f>
        <v>51634</v>
      </c>
      <c r="G189" s="994">
        <v>44898.75</v>
      </c>
      <c r="H189" s="995">
        <f t="shared" si="5"/>
        <v>0.15</v>
      </c>
      <c r="I189" s="34"/>
    </row>
    <row r="190" spans="1:9" s="421" customFormat="1">
      <c r="A190" s="997">
        <v>186</v>
      </c>
      <c r="B190" s="997" t="s">
        <v>1329</v>
      </c>
      <c r="C190" s="330" t="s">
        <v>1550</v>
      </c>
      <c r="D190" s="998" t="s">
        <v>188</v>
      </c>
      <c r="E190" s="999">
        <v>0.48</v>
      </c>
      <c r="F190" s="987">
        <f>+ROUND(Materiales[[#This Row],[PRECIO BASE]]*(1+Materiales[[#This Row],[AJUSTE POSITIVO]]),0)</f>
        <v>40250</v>
      </c>
      <c r="G190" s="994">
        <v>35000</v>
      </c>
      <c r="H190" s="995">
        <f t="shared" si="5"/>
        <v>0.15</v>
      </c>
      <c r="I190" s="34"/>
    </row>
    <row r="191" spans="1:9" s="421" customFormat="1">
      <c r="A191" s="997">
        <v>187</v>
      </c>
      <c r="B191" s="997" t="s">
        <v>1329</v>
      </c>
      <c r="C191" s="330" t="s">
        <v>1551</v>
      </c>
      <c r="D191" s="998" t="s">
        <v>188</v>
      </c>
      <c r="E191" s="999">
        <v>0.48</v>
      </c>
      <c r="F191" s="987">
        <f>+ROUND(Materiales[[#This Row],[PRECIO BASE]]*(1+Materiales[[#This Row],[AJUSTE POSITIVO]]),0)</f>
        <v>69851</v>
      </c>
      <c r="G191" s="994">
        <v>60740</v>
      </c>
      <c r="H191" s="995">
        <f t="shared" si="5"/>
        <v>0.15</v>
      </c>
      <c r="I191" s="34"/>
    </row>
    <row r="192" spans="1:9" s="421" customFormat="1">
      <c r="A192" s="997">
        <v>188</v>
      </c>
      <c r="B192" s="997" t="s">
        <v>1329</v>
      </c>
      <c r="C192" s="330" t="s">
        <v>1552</v>
      </c>
      <c r="D192" s="997" t="s">
        <v>188</v>
      </c>
      <c r="E192" s="999">
        <v>0.4</v>
      </c>
      <c r="F192" s="987">
        <f>+ROUND(Materiales[[#This Row],[PRECIO BASE]]*(1+Materiales[[#This Row],[AJUSTE POSITIVO]]),0)</f>
        <v>143750</v>
      </c>
      <c r="G192" s="994">
        <v>125000</v>
      </c>
      <c r="H192" s="995">
        <f t="shared" si="5"/>
        <v>0.15</v>
      </c>
      <c r="I192" s="34" t="s">
        <v>1553</v>
      </c>
    </row>
    <row r="193" spans="1:9" s="421" customFormat="1">
      <c r="A193" s="997">
        <v>189</v>
      </c>
      <c r="B193" s="997" t="s">
        <v>1322</v>
      </c>
      <c r="C193" s="330" t="s">
        <v>1554</v>
      </c>
      <c r="D193" s="998" t="s">
        <v>188</v>
      </c>
      <c r="E193" s="999">
        <v>1.1000000000000001</v>
      </c>
      <c r="F193" s="987">
        <f>+ROUND(Materiales[[#This Row],[PRECIO BASE]]*(1+Materiales[[#This Row],[AJUSTE POSITIVO]]),0)</f>
        <v>35535</v>
      </c>
      <c r="G193" s="994">
        <v>30900</v>
      </c>
      <c r="H193" s="995">
        <f t="shared" si="5"/>
        <v>0.15</v>
      </c>
      <c r="I193" s="34" t="s">
        <v>1555</v>
      </c>
    </row>
    <row r="194" spans="1:9" s="421" customFormat="1">
      <c r="A194" s="997">
        <v>190</v>
      </c>
      <c r="B194" s="997" t="s">
        <v>1324</v>
      </c>
      <c r="C194" s="330" t="s">
        <v>1556</v>
      </c>
      <c r="D194" s="998" t="s">
        <v>188</v>
      </c>
      <c r="E194" s="999">
        <v>0.4</v>
      </c>
      <c r="F194" s="987">
        <f>+ROUND(Materiales[[#This Row],[PRECIO BASE]]*(1+Materiales[[#This Row],[AJUSTE POSITIVO]]),0)</f>
        <v>27538</v>
      </c>
      <c r="G194" s="994">
        <v>23946</v>
      </c>
      <c r="H194" s="995">
        <f t="shared" si="5"/>
        <v>0.15</v>
      </c>
      <c r="I194" s="34"/>
    </row>
    <row r="195" spans="1:9" s="421" customFormat="1">
      <c r="A195" s="997">
        <v>191</v>
      </c>
      <c r="B195" s="997" t="s">
        <v>1329</v>
      </c>
      <c r="C195" s="330" t="s">
        <v>1557</v>
      </c>
      <c r="D195" s="998" t="s">
        <v>188</v>
      </c>
      <c r="E195" s="999">
        <v>0.48</v>
      </c>
      <c r="F195" s="987">
        <f>+ROUND(Materiales[[#This Row],[PRECIO BASE]]*(1+Materiales[[#This Row],[AJUSTE POSITIVO]]),0)</f>
        <v>34500</v>
      </c>
      <c r="G195" s="994">
        <v>30000</v>
      </c>
      <c r="H195" s="995">
        <f t="shared" si="5"/>
        <v>0.15</v>
      </c>
      <c r="I195" s="34"/>
    </row>
    <row r="196" spans="1:9" s="421" customFormat="1">
      <c r="A196" s="997">
        <v>192</v>
      </c>
      <c r="B196" s="997" t="s">
        <v>1318</v>
      </c>
      <c r="C196" s="330" t="s">
        <v>1558</v>
      </c>
      <c r="D196" s="998" t="s">
        <v>1164</v>
      </c>
      <c r="E196" s="999">
        <v>0.3</v>
      </c>
      <c r="F196" s="987">
        <f>+ROUND(Materiales[[#This Row],[PRECIO BASE]]*(1+Materiales[[#This Row],[AJUSTE POSITIVO]]),0)</f>
        <v>54832</v>
      </c>
      <c r="G196" s="994">
        <v>47680</v>
      </c>
      <c r="H196" s="995">
        <f t="shared" si="5"/>
        <v>0.15</v>
      </c>
      <c r="I196" s="34" t="s">
        <v>1559</v>
      </c>
    </row>
    <row r="197" spans="1:9" s="421" customFormat="1">
      <c r="A197" s="997">
        <v>193</v>
      </c>
      <c r="B197" s="997" t="s">
        <v>1402</v>
      </c>
      <c r="C197" s="330" t="s">
        <v>1560</v>
      </c>
      <c r="D197" s="998" t="s">
        <v>188</v>
      </c>
      <c r="E197" s="999">
        <v>0</v>
      </c>
      <c r="F197" s="987">
        <f>+ROUND(Materiales[[#This Row],[PRECIO BASE]]*(1+Materiales[[#This Row],[AJUSTE POSITIVO]]),0)</f>
        <v>3010909</v>
      </c>
      <c r="G197" s="994">
        <v>2618182</v>
      </c>
      <c r="H197" s="995">
        <f t="shared" ref="H197:H203" si="6">+$H$2</f>
        <v>0.15</v>
      </c>
      <c r="I197" s="34"/>
    </row>
    <row r="198" spans="1:9" s="421" customFormat="1">
      <c r="A198" s="997">
        <v>194</v>
      </c>
      <c r="B198" s="997" t="s">
        <v>1402</v>
      </c>
      <c r="C198" s="330" t="s">
        <v>1561</v>
      </c>
      <c r="D198" s="998" t="s">
        <v>1123</v>
      </c>
      <c r="E198" s="999">
        <v>10</v>
      </c>
      <c r="F198" s="987">
        <f>+ROUND(Materiales[[#This Row],[PRECIO BASE]]*(1+Materiales[[#This Row],[AJUSTE POSITIVO]]),0)</f>
        <v>1730227</v>
      </c>
      <c r="G198" s="994">
        <v>1504545</v>
      </c>
      <c r="H198" s="995">
        <f t="shared" si="6"/>
        <v>0.15</v>
      </c>
      <c r="I198" s="34"/>
    </row>
    <row r="199" spans="1:9" s="421" customFormat="1">
      <c r="A199" s="997">
        <v>195</v>
      </c>
      <c r="B199" s="997" t="s">
        <v>1402</v>
      </c>
      <c r="C199" s="330" t="s">
        <v>1562</v>
      </c>
      <c r="D199" s="998" t="s">
        <v>1123</v>
      </c>
      <c r="E199" s="999">
        <v>20</v>
      </c>
      <c r="F199" s="987">
        <f>+ROUND(Materiales[[#This Row],[PRECIO BASE]]*(1+Materiales[[#This Row],[AJUSTE POSITIVO]]),0)</f>
        <v>1730227</v>
      </c>
      <c r="G199" s="994">
        <v>1504545</v>
      </c>
      <c r="H199" s="995">
        <f t="shared" si="6"/>
        <v>0.15</v>
      </c>
      <c r="I199" s="34"/>
    </row>
    <row r="200" spans="1:9" s="421" customFormat="1">
      <c r="A200" s="997">
        <v>196</v>
      </c>
      <c r="B200" s="997" t="s">
        <v>1402</v>
      </c>
      <c r="C200" s="330" t="s">
        <v>1563</v>
      </c>
      <c r="D200" s="998" t="s">
        <v>1123</v>
      </c>
      <c r="E200" s="999">
        <v>25</v>
      </c>
      <c r="F200" s="987">
        <f>+ROUND(Materiales[[#This Row],[PRECIO BASE]]*(1+Materiales[[#This Row],[AJUSTE POSITIVO]]),0)</f>
        <v>4600000</v>
      </c>
      <c r="G200" s="994">
        <v>4000000</v>
      </c>
      <c r="H200" s="995">
        <f t="shared" si="6"/>
        <v>0.15</v>
      </c>
      <c r="I200" s="34"/>
    </row>
    <row r="201" spans="1:9" s="421" customFormat="1">
      <c r="A201" s="997">
        <v>197</v>
      </c>
      <c r="B201" s="997" t="s">
        <v>1402</v>
      </c>
      <c r="C201" s="330" t="s">
        <v>1564</v>
      </c>
      <c r="D201" s="998" t="s">
        <v>188</v>
      </c>
      <c r="E201" s="999">
        <v>0</v>
      </c>
      <c r="F201" s="987">
        <f>+ROUND(Materiales[[#This Row],[PRECIO BASE]]*(1+Materiales[[#This Row],[AJUSTE POSITIVO]]),0)</f>
        <v>10454545</v>
      </c>
      <c r="G201" s="994">
        <v>9090909</v>
      </c>
      <c r="H201" s="995">
        <f t="shared" si="6"/>
        <v>0.15</v>
      </c>
      <c r="I201" s="34"/>
    </row>
    <row r="202" spans="1:9" s="421" customFormat="1">
      <c r="A202" s="997">
        <v>198</v>
      </c>
      <c r="B202" s="997" t="s">
        <v>1402</v>
      </c>
      <c r="C202" s="330" t="s">
        <v>1565</v>
      </c>
      <c r="D202" s="998" t="s">
        <v>188</v>
      </c>
      <c r="E202" s="999">
        <v>15</v>
      </c>
      <c r="F202" s="987">
        <f>+ROUND(Materiales[[#This Row],[PRECIO BASE]]*(1+Materiales[[#This Row],[AJUSTE POSITIVO]]),0)</f>
        <v>9220909</v>
      </c>
      <c r="G202" s="994">
        <v>8018182</v>
      </c>
      <c r="H202" s="995">
        <f t="shared" si="6"/>
        <v>0.15</v>
      </c>
      <c r="I202" s="34"/>
    </row>
    <row r="203" spans="1:9" s="421" customFormat="1">
      <c r="A203" s="997">
        <v>199</v>
      </c>
      <c r="B203" s="997" t="s">
        <v>1402</v>
      </c>
      <c r="C203" s="330" t="s">
        <v>1566</v>
      </c>
      <c r="D203" s="998" t="s">
        <v>188</v>
      </c>
      <c r="E203" s="999">
        <v>20</v>
      </c>
      <c r="F203" s="987">
        <f>+ROUND(Materiales[[#This Row],[PRECIO BASE]]*(1+Materiales[[#This Row],[AJUSTE POSITIVO]]),0)</f>
        <v>1061136</v>
      </c>
      <c r="G203" s="994">
        <v>922727</v>
      </c>
      <c r="H203" s="995">
        <f t="shared" si="6"/>
        <v>0.15</v>
      </c>
      <c r="I203" s="34"/>
    </row>
    <row r="204" spans="1:9" s="421" customFormat="1">
      <c r="A204" s="997">
        <v>200</v>
      </c>
      <c r="B204" s="997" t="s">
        <v>1449</v>
      </c>
      <c r="C204" s="330" t="s">
        <v>86</v>
      </c>
      <c r="D204" s="998" t="s">
        <v>1140</v>
      </c>
      <c r="E204" s="999">
        <v>1.5</v>
      </c>
      <c r="F204" s="987">
        <f>+ROUND(Materiales[[#This Row],[PRECIO BASE]]*(1+Materiales[[#This Row],[AJUSTE POSITIVO]]),0)</f>
        <v>1711</v>
      </c>
      <c r="G204" s="994">
        <v>1710.5357142857142</v>
      </c>
      <c r="H204" s="995">
        <v>0</v>
      </c>
      <c r="I204" s="34"/>
    </row>
    <row r="205" spans="1:9" s="421" customFormat="1">
      <c r="A205" s="997">
        <v>201</v>
      </c>
      <c r="B205" s="997" t="s">
        <v>1449</v>
      </c>
      <c r="C205" s="330" t="s">
        <v>173</v>
      </c>
      <c r="D205" s="998" t="s">
        <v>1140</v>
      </c>
      <c r="E205" s="999">
        <v>3</v>
      </c>
      <c r="F205" s="987">
        <f>+ROUND(Materiales[[#This Row],[PRECIO BASE]]*(1+Materiales[[#This Row],[AJUSTE POSITIVO]]),0)</f>
        <v>16517</v>
      </c>
      <c r="G205" s="994">
        <v>14362.916666666668</v>
      </c>
      <c r="H205" s="995">
        <f t="shared" ref="H205:H236" si="7">+$H$2</f>
        <v>0.15</v>
      </c>
      <c r="I205" s="34"/>
    </row>
    <row r="206" spans="1:9" s="421" customFormat="1">
      <c r="A206" s="997">
        <v>202</v>
      </c>
      <c r="B206" s="997" t="s">
        <v>1449</v>
      </c>
      <c r="C206" s="330" t="s">
        <v>158</v>
      </c>
      <c r="D206" s="998" t="s">
        <v>1567</v>
      </c>
      <c r="E206" s="999">
        <v>4</v>
      </c>
      <c r="F206" s="987">
        <f>+ROUND(Materiales[[#This Row],[PRECIO BASE]]*(1+Materiales[[#This Row],[AJUSTE POSITIVO]]),0)</f>
        <v>76613</v>
      </c>
      <c r="G206" s="994">
        <v>66620.239702903447</v>
      </c>
      <c r="H206" s="995">
        <f t="shared" si="7"/>
        <v>0.15</v>
      </c>
      <c r="I206" s="34"/>
    </row>
    <row r="207" spans="1:9" s="421" customFormat="1">
      <c r="A207" s="997">
        <v>203</v>
      </c>
      <c r="B207" s="997" t="s">
        <v>1449</v>
      </c>
      <c r="C207" s="330" t="s">
        <v>176</v>
      </c>
      <c r="D207" s="998" t="s">
        <v>1140</v>
      </c>
      <c r="E207" s="999">
        <v>0.6</v>
      </c>
      <c r="F207" s="987">
        <f>+ROUND(Materiales[[#This Row],[PRECIO BASE]]*(1+Materiales[[#This Row],[AJUSTE POSITIVO]]),0)</f>
        <v>4180</v>
      </c>
      <c r="G207" s="994">
        <v>3634.8333333333335</v>
      </c>
      <c r="H207" s="995">
        <f t="shared" si="7"/>
        <v>0.15</v>
      </c>
      <c r="I207" s="34"/>
    </row>
    <row r="208" spans="1:9" s="421" customFormat="1">
      <c r="A208" s="997">
        <v>204</v>
      </c>
      <c r="B208" s="997" t="s">
        <v>1449</v>
      </c>
      <c r="C208" s="330" t="s">
        <v>169</v>
      </c>
      <c r="D208" s="998" t="s">
        <v>1140</v>
      </c>
      <c r="E208" s="999">
        <f>38/500</f>
        <v>7.5999999999999998E-2</v>
      </c>
      <c r="F208" s="987">
        <f>+ROUND(Materiales[[#This Row],[PRECIO BASE]]*(1+Materiales[[#This Row],[AJUSTE POSITIVO]]),0)</f>
        <v>826</v>
      </c>
      <c r="G208" s="994">
        <v>718.4</v>
      </c>
      <c r="H208" s="995">
        <f t="shared" si="7"/>
        <v>0.15</v>
      </c>
      <c r="I208" s="34"/>
    </row>
    <row r="209" spans="1:9" s="421" customFormat="1">
      <c r="A209" s="997">
        <v>205</v>
      </c>
      <c r="B209" s="997" t="s">
        <v>1449</v>
      </c>
      <c r="C209" s="103" t="s">
        <v>161</v>
      </c>
      <c r="D209" s="986" t="s">
        <v>1140</v>
      </c>
      <c r="E209" s="64">
        <v>10.44</v>
      </c>
      <c r="F209" s="987">
        <f>+ROUND(Materiales[[#This Row],[PRECIO BASE]]*(1+Materiales[[#This Row],[AJUSTE POSITIVO]]),0)</f>
        <v>22040</v>
      </c>
      <c r="G209" s="994">
        <v>19164.833333333336</v>
      </c>
      <c r="H209" s="995">
        <f t="shared" si="7"/>
        <v>0.15</v>
      </c>
      <c r="I209" s="34"/>
    </row>
    <row r="210" spans="1:9" s="421" customFormat="1">
      <c r="A210" s="997">
        <v>206</v>
      </c>
      <c r="B210" s="997" t="s">
        <v>1449</v>
      </c>
      <c r="C210" s="103" t="s">
        <v>163</v>
      </c>
      <c r="D210" s="986" t="s">
        <v>1140</v>
      </c>
      <c r="E210" s="64">
        <v>21.56</v>
      </c>
      <c r="F210" s="987">
        <f>+ROUND(Materiales[[#This Row],[PRECIO BASE]]*(1+Materiales[[#This Row],[AJUSTE POSITIVO]]),0)</f>
        <v>37889</v>
      </c>
      <c r="G210" s="994">
        <v>32947.083333333336</v>
      </c>
      <c r="H210" s="995">
        <f t="shared" si="7"/>
        <v>0.15</v>
      </c>
      <c r="I210" s="34"/>
    </row>
    <row r="211" spans="1:9" s="421" customFormat="1">
      <c r="A211" s="997">
        <v>207</v>
      </c>
      <c r="B211" s="997" t="s">
        <v>1449</v>
      </c>
      <c r="C211" s="103" t="s">
        <v>165</v>
      </c>
      <c r="D211" s="986" t="s">
        <v>1140</v>
      </c>
      <c r="E211" s="64">
        <v>17.16</v>
      </c>
      <c r="F211" s="987">
        <f>+ROUND(Materiales[[#This Row],[PRECIO BASE]]*(1+Materiales[[#This Row],[AJUSTE POSITIVO]]),0)</f>
        <v>49622</v>
      </c>
      <c r="G211" s="994">
        <v>43149.833333333328</v>
      </c>
      <c r="H211" s="995">
        <f t="shared" si="7"/>
        <v>0.15</v>
      </c>
      <c r="I211" s="34"/>
    </row>
    <row r="212" spans="1:9" s="421" customFormat="1">
      <c r="A212" s="997">
        <v>208</v>
      </c>
      <c r="B212" s="997" t="s">
        <v>1449</v>
      </c>
      <c r="C212" s="330" t="s">
        <v>167</v>
      </c>
      <c r="D212" s="998" t="s">
        <v>1140</v>
      </c>
      <c r="E212" s="999">
        <v>38.6</v>
      </c>
      <c r="F212" s="987">
        <f>+ROUND(Materiales[[#This Row],[PRECIO BASE]]*(1+Materiales[[#This Row],[AJUSTE POSITIVO]]),0)</f>
        <v>62642</v>
      </c>
      <c r="G212" s="994">
        <v>54471.333333333336</v>
      </c>
      <c r="H212" s="995">
        <f t="shared" si="7"/>
        <v>0.15</v>
      </c>
      <c r="I212" s="34"/>
    </row>
    <row r="213" spans="1:9" s="421" customFormat="1">
      <c r="A213" s="997">
        <v>209</v>
      </c>
      <c r="B213" s="997" t="s">
        <v>1449</v>
      </c>
      <c r="C213" s="1000" t="s">
        <v>1568</v>
      </c>
      <c r="D213" s="998" t="s">
        <v>1135</v>
      </c>
      <c r="E213" s="1007">
        <v>2200</v>
      </c>
      <c r="F213" s="987">
        <f>+ROUND(Materiales[[#This Row],[PRECIO BASE]]*(1+Materiales[[#This Row],[AJUSTE POSITIVO]]),0)</f>
        <v>478654</v>
      </c>
      <c r="G213" s="994">
        <v>416221</v>
      </c>
      <c r="H213" s="995">
        <f t="shared" si="7"/>
        <v>0.15</v>
      </c>
      <c r="I213" s="34"/>
    </row>
    <row r="214" spans="1:9" s="421" customFormat="1">
      <c r="A214" s="997">
        <v>210</v>
      </c>
      <c r="B214" s="997" t="s">
        <v>1449</v>
      </c>
      <c r="C214" s="330" t="s">
        <v>1569</v>
      </c>
      <c r="D214" s="998" t="s">
        <v>1135</v>
      </c>
      <c r="E214" s="999">
        <v>2400</v>
      </c>
      <c r="F214" s="987">
        <f>+ROUND(Materiales[[#This Row],[PRECIO BASE]]*(1+Materiales[[#This Row],[AJUSTE POSITIVO]]),0)</f>
        <v>377997</v>
      </c>
      <c r="G214" s="994">
        <v>328693</v>
      </c>
      <c r="H214" s="995">
        <f t="shared" si="7"/>
        <v>0.15</v>
      </c>
      <c r="I214" s="34"/>
    </row>
    <row r="215" spans="1:9" s="421" customFormat="1" ht="39.5">
      <c r="A215" s="997">
        <v>211</v>
      </c>
      <c r="B215" s="997" t="s">
        <v>1449</v>
      </c>
      <c r="C215" s="1000" t="s">
        <v>1570</v>
      </c>
      <c r="D215" s="1008" t="s">
        <v>1571</v>
      </c>
      <c r="E215" s="999">
        <v>10</v>
      </c>
      <c r="F215" s="987">
        <f>+ROUND(Materiales[[#This Row],[PRECIO BASE]]*(1+Materiales[[#This Row],[AJUSTE POSITIVO]]),0)</f>
        <v>1188333</v>
      </c>
      <c r="G215" s="994">
        <v>1033333.3333333334</v>
      </c>
      <c r="H215" s="995">
        <f t="shared" si="7"/>
        <v>0.15</v>
      </c>
      <c r="I215" s="34"/>
    </row>
    <row r="216" spans="1:9" s="421" customFormat="1">
      <c r="A216" s="997">
        <v>212</v>
      </c>
      <c r="B216" s="997" t="s">
        <v>1449</v>
      </c>
      <c r="C216" s="330" t="s">
        <v>1572</v>
      </c>
      <c r="D216" s="997" t="s">
        <v>1135</v>
      </c>
      <c r="E216" s="999">
        <v>1700</v>
      </c>
      <c r="F216" s="987">
        <f>+ROUND(Materiales[[#This Row],[PRECIO BASE]]*(1+Materiales[[#This Row],[AJUSTE POSITIVO]]),0)</f>
        <v>81305</v>
      </c>
      <c r="G216" s="994">
        <v>70700</v>
      </c>
      <c r="H216" s="995">
        <f t="shared" si="7"/>
        <v>0.15</v>
      </c>
      <c r="I216" s="34" t="s">
        <v>1573</v>
      </c>
    </row>
    <row r="217" spans="1:9" s="421" customFormat="1">
      <c r="A217" s="997">
        <v>224</v>
      </c>
      <c r="B217" s="997" t="s">
        <v>1449</v>
      </c>
      <c r="C217" s="330" t="s">
        <v>1574</v>
      </c>
      <c r="D217" s="998" t="s">
        <v>1147</v>
      </c>
      <c r="E217" s="999">
        <v>1</v>
      </c>
      <c r="F217" s="987">
        <f>+ROUND(Materiales[[#This Row],[PRECIO BASE]]*(1+Materiales[[#This Row],[AJUSTE POSITIVO]]),0)</f>
        <v>8587</v>
      </c>
      <c r="G217" s="994">
        <v>7466.964764366161</v>
      </c>
      <c r="H217" s="995">
        <f t="shared" si="7"/>
        <v>0.15</v>
      </c>
      <c r="I217" s="34"/>
    </row>
    <row r="218" spans="1:9" s="421" customFormat="1">
      <c r="A218" s="997">
        <v>225</v>
      </c>
      <c r="B218" s="997" t="s">
        <v>1449</v>
      </c>
      <c r="C218" s="330" t="s">
        <v>99</v>
      </c>
      <c r="D218" s="998" t="s">
        <v>1130</v>
      </c>
      <c r="E218" s="999">
        <v>47.1</v>
      </c>
      <c r="F218" s="987">
        <f>+ROUND(Materiales[[#This Row],[PRECIO BASE]]*(1+Materiales[[#This Row],[AJUSTE POSITIVO]]),0)</f>
        <v>283042</v>
      </c>
      <c r="G218" s="994">
        <v>246123.24196004658</v>
      </c>
      <c r="H218" s="995">
        <f t="shared" si="7"/>
        <v>0.15</v>
      </c>
      <c r="I218" s="34"/>
    </row>
    <row r="219" spans="1:9" s="421" customFormat="1">
      <c r="A219" s="997">
        <v>226</v>
      </c>
      <c r="B219" s="997" t="s">
        <v>1449</v>
      </c>
      <c r="C219" s="330" t="s">
        <v>103</v>
      </c>
      <c r="D219" s="998" t="s">
        <v>1140</v>
      </c>
      <c r="E219" s="999">
        <v>1</v>
      </c>
      <c r="F219" s="987">
        <f>+ROUND(Materiales[[#This Row],[PRECIO BASE]]*(1+Materiales[[#This Row],[AJUSTE POSITIVO]]),0)</f>
        <v>6328</v>
      </c>
      <c r="G219" s="994">
        <v>5502.4444444444443</v>
      </c>
      <c r="H219" s="995">
        <f t="shared" si="7"/>
        <v>0.15</v>
      </c>
      <c r="I219" s="34"/>
    </row>
    <row r="220" spans="1:9" s="421" customFormat="1">
      <c r="A220" s="997">
        <v>227</v>
      </c>
      <c r="B220" s="997" t="s">
        <v>1449</v>
      </c>
      <c r="C220" s="103" t="s">
        <v>120</v>
      </c>
      <c r="D220" s="77" t="s">
        <v>1140</v>
      </c>
      <c r="E220" s="64">
        <v>2.46</v>
      </c>
      <c r="F220" s="987">
        <f>+ROUND(Materiales[[#This Row],[PRECIO BASE]]*(1+Materiales[[#This Row],[AJUSTE POSITIVO]]),0)</f>
        <v>16678</v>
      </c>
      <c r="G220" s="994">
        <v>14502.722222222221</v>
      </c>
      <c r="H220" s="995">
        <f t="shared" si="7"/>
        <v>0.15</v>
      </c>
      <c r="I220" s="34"/>
    </row>
    <row r="221" spans="1:9" s="421" customFormat="1">
      <c r="A221" s="997">
        <v>228</v>
      </c>
      <c r="B221" s="997" t="s">
        <v>1449</v>
      </c>
      <c r="C221" s="103" t="s">
        <v>124</v>
      </c>
      <c r="D221" s="77" t="s">
        <v>188</v>
      </c>
      <c r="E221" s="64">
        <v>0.3</v>
      </c>
      <c r="F221" s="987">
        <f>+ROUND(Materiales[[#This Row],[PRECIO BASE]]*(1+Materiales[[#This Row],[AJUSTE POSITIVO]]),0)</f>
        <v>2253</v>
      </c>
      <c r="G221" s="994">
        <v>1958.9933333333331</v>
      </c>
      <c r="H221" s="995">
        <f t="shared" si="7"/>
        <v>0.15</v>
      </c>
      <c r="I221" s="34"/>
    </row>
    <row r="222" spans="1:9" s="421" customFormat="1" ht="37.5">
      <c r="A222" s="997">
        <v>229</v>
      </c>
      <c r="B222" s="997" t="s">
        <v>1449</v>
      </c>
      <c r="C222" s="1010" t="s">
        <v>95</v>
      </c>
      <c r="D222" s="64" t="s">
        <v>1140</v>
      </c>
      <c r="E222" s="64">
        <v>6</v>
      </c>
      <c r="F222" s="987">
        <f>+ROUND(Materiales[[#This Row],[PRECIO BASE]]*(1+Materiales[[#This Row],[AJUSTE POSITIVO]]),0)</f>
        <v>37667</v>
      </c>
      <c r="G222" s="994">
        <v>32753.730158730155</v>
      </c>
      <c r="H222" s="995">
        <f t="shared" si="7"/>
        <v>0.15</v>
      </c>
      <c r="I222" s="34"/>
    </row>
    <row r="223" spans="1:9" s="421" customFormat="1">
      <c r="A223" s="997">
        <v>230</v>
      </c>
      <c r="B223" s="997" t="s">
        <v>1402</v>
      </c>
      <c r="C223" s="103" t="s">
        <v>1575</v>
      </c>
      <c r="D223" s="64" t="s">
        <v>188</v>
      </c>
      <c r="E223" s="64">
        <v>1</v>
      </c>
      <c r="F223" s="987">
        <f>+ROUND(Materiales[[#This Row],[PRECIO BASE]]*(1+Materiales[[#This Row],[AJUSTE POSITIVO]]),0)</f>
        <v>1160455</v>
      </c>
      <c r="G223" s="994">
        <v>1009091</v>
      </c>
      <c r="H223" s="995">
        <f t="shared" si="7"/>
        <v>0.15</v>
      </c>
      <c r="I223" s="34"/>
    </row>
    <row r="224" spans="1:9" s="421" customFormat="1">
      <c r="A224" s="997">
        <v>231</v>
      </c>
      <c r="B224" s="997" t="s">
        <v>1402</v>
      </c>
      <c r="C224" s="103" t="s">
        <v>1576</v>
      </c>
      <c r="D224" s="77" t="s">
        <v>188</v>
      </c>
      <c r="E224" s="64">
        <v>1</v>
      </c>
      <c r="F224" s="987">
        <f>+ROUND(Materiales[[#This Row],[PRECIO BASE]]*(1+Materiales[[#This Row],[AJUSTE POSITIVO]]),0)</f>
        <v>478975</v>
      </c>
      <c r="G224" s="994">
        <v>416500</v>
      </c>
      <c r="H224" s="995">
        <f t="shared" si="7"/>
        <v>0.15</v>
      </c>
      <c r="I224" s="34"/>
    </row>
    <row r="225" spans="1:9" s="421" customFormat="1">
      <c r="A225" s="997">
        <v>232</v>
      </c>
      <c r="B225" s="997" t="s">
        <v>1402</v>
      </c>
      <c r="C225" s="103" t="s">
        <v>1577</v>
      </c>
      <c r="D225" s="77" t="s">
        <v>188</v>
      </c>
      <c r="E225" s="64">
        <v>0.5</v>
      </c>
      <c r="F225" s="987">
        <f>+ROUND(Materiales[[#This Row],[PRECIO BASE]]*(1+Materiales[[#This Row],[AJUSTE POSITIVO]]),0)</f>
        <v>920000</v>
      </c>
      <c r="G225" s="994">
        <v>800000</v>
      </c>
      <c r="H225" s="995">
        <f t="shared" si="7"/>
        <v>0.15</v>
      </c>
      <c r="I225" s="34"/>
    </row>
    <row r="226" spans="1:9" s="421" customFormat="1">
      <c r="A226" s="997">
        <v>233</v>
      </c>
      <c r="B226" s="997" t="s">
        <v>1311</v>
      </c>
      <c r="C226" s="103" t="s">
        <v>1578</v>
      </c>
      <c r="D226" s="64" t="s">
        <v>188</v>
      </c>
      <c r="E226" s="64">
        <v>28.9</v>
      </c>
      <c r="F226" s="987">
        <f>+ROUND(Materiales[[#This Row],[PRECIO BASE]]*(1+Materiales[[#This Row],[AJUSTE POSITIVO]]),0)</f>
        <v>954500</v>
      </c>
      <c r="G226" s="994">
        <v>830000</v>
      </c>
      <c r="H226" s="1001">
        <f t="shared" si="7"/>
        <v>0.15</v>
      </c>
      <c r="I226" s="34" t="s">
        <v>1579</v>
      </c>
    </row>
    <row r="227" spans="1:9" s="421" customFormat="1">
      <c r="A227" s="997">
        <v>234</v>
      </c>
      <c r="B227" s="997" t="s">
        <v>1313</v>
      </c>
      <c r="C227" s="103" t="s">
        <v>1580</v>
      </c>
      <c r="D227" s="77" t="s">
        <v>1164</v>
      </c>
      <c r="E227" s="64">
        <v>6.5199999999999994E-2</v>
      </c>
      <c r="F227" s="987">
        <f>+ROUND(Materiales[[#This Row],[PRECIO BASE]]*(1+Materiales[[#This Row],[AJUSTE POSITIVO]]),0)</f>
        <v>7623</v>
      </c>
      <c r="G227" s="994">
        <v>6629</v>
      </c>
      <c r="H227" s="1001">
        <f t="shared" si="7"/>
        <v>0.15</v>
      </c>
      <c r="I227" s="737" t="s">
        <v>1581</v>
      </c>
    </row>
    <row r="228" spans="1:9" s="421" customFormat="1">
      <c r="A228" s="997">
        <v>235</v>
      </c>
      <c r="B228" s="997" t="s">
        <v>1329</v>
      </c>
      <c r="C228" s="103" t="s">
        <v>1582</v>
      </c>
      <c r="D228" s="64" t="s">
        <v>188</v>
      </c>
      <c r="E228" s="64">
        <v>0.2</v>
      </c>
      <c r="F228" s="987">
        <f>+ROUND(Materiales[[#This Row],[PRECIO BASE]]*(1+Materiales[[#This Row],[AJUSTE POSITIVO]]),0)</f>
        <v>58995</v>
      </c>
      <c r="G228" s="994">
        <v>51300</v>
      </c>
      <c r="H228" s="1001">
        <f t="shared" si="7"/>
        <v>0.15</v>
      </c>
      <c r="I228" s="737" t="s">
        <v>1583</v>
      </c>
    </row>
    <row r="229" spans="1:9" s="421" customFormat="1">
      <c r="A229" s="997">
        <v>236</v>
      </c>
      <c r="B229" s="997" t="s">
        <v>1334</v>
      </c>
      <c r="C229" s="330" t="s">
        <v>1584</v>
      </c>
      <c r="D229" s="77" t="s">
        <v>188</v>
      </c>
      <c r="E229" s="999">
        <v>0.24</v>
      </c>
      <c r="F229" s="987">
        <f>+ROUND(Materiales[[#This Row],[PRECIO BASE]]*(1+Materiales[[#This Row],[AJUSTE POSITIVO]]),0)</f>
        <v>383180</v>
      </c>
      <c r="G229" s="994">
        <v>333200</v>
      </c>
      <c r="H229" s="1001">
        <f t="shared" si="7"/>
        <v>0.15</v>
      </c>
      <c r="I229" s="737" t="s">
        <v>1585</v>
      </c>
    </row>
    <row r="230" spans="1:9" s="421" customFormat="1">
      <c r="A230" s="997">
        <v>237</v>
      </c>
      <c r="B230" s="997" t="s">
        <v>1313</v>
      </c>
      <c r="C230" s="330" t="s">
        <v>1586</v>
      </c>
      <c r="D230" s="998" t="s">
        <v>1164</v>
      </c>
      <c r="E230" s="999">
        <v>0.23499999999999999</v>
      </c>
      <c r="F230" s="987">
        <f>+ROUND(Materiales[[#This Row],[PRECIO BASE]]*(1+Materiales[[#This Row],[AJUSTE POSITIVO]]),0)</f>
        <v>18272</v>
      </c>
      <c r="G230" s="994">
        <v>15889</v>
      </c>
      <c r="H230" s="1001">
        <f t="shared" si="7"/>
        <v>0.15</v>
      </c>
      <c r="I230" s="34" t="s">
        <v>1587</v>
      </c>
    </row>
    <row r="231" spans="1:9" s="421" customFormat="1">
      <c r="A231" s="997">
        <v>237</v>
      </c>
      <c r="B231" s="997" t="s">
        <v>1313</v>
      </c>
      <c r="C231" s="330" t="s">
        <v>1586</v>
      </c>
      <c r="D231" s="998" t="s">
        <v>1164</v>
      </c>
      <c r="E231" s="999">
        <v>0.23499999999999999</v>
      </c>
      <c r="F231" s="987">
        <f>+ROUND(Materiales[[#This Row],[PRECIO BASE]]*(1+Materiales[[#This Row],[AJUSTE POSITIVO]]),0)</f>
        <v>18272</v>
      </c>
      <c r="G231" s="994">
        <v>15889</v>
      </c>
      <c r="H231" s="1001">
        <f t="shared" si="7"/>
        <v>0.15</v>
      </c>
      <c r="I231" s="1023"/>
    </row>
    <row r="232" spans="1:9" s="421" customFormat="1">
      <c r="A232" s="997">
        <v>238</v>
      </c>
      <c r="B232" s="997" t="s">
        <v>1313</v>
      </c>
      <c r="C232" s="103" t="s">
        <v>1588</v>
      </c>
      <c r="D232" s="986" t="s">
        <v>1164</v>
      </c>
      <c r="E232" s="64">
        <v>0.35</v>
      </c>
      <c r="F232" s="987">
        <f>+ROUND(Materiales[[#This Row],[PRECIO BASE]]*(1+Materiales[[#This Row],[AJUSTE POSITIVO]]),0)</f>
        <v>27478</v>
      </c>
      <c r="G232" s="994">
        <v>23894</v>
      </c>
      <c r="H232" s="1001">
        <f t="shared" si="7"/>
        <v>0.15</v>
      </c>
      <c r="I232" s="34" t="s">
        <v>1589</v>
      </c>
    </row>
    <row r="233" spans="1:9" s="421" customFormat="1">
      <c r="A233" s="997">
        <v>239</v>
      </c>
      <c r="B233" s="997" t="s">
        <v>1313</v>
      </c>
      <c r="C233" s="330" t="s">
        <v>1590</v>
      </c>
      <c r="D233" s="998" t="s">
        <v>1164</v>
      </c>
      <c r="E233" s="999">
        <v>0.54800000000000004</v>
      </c>
      <c r="F233" s="987">
        <f>+ROUND(Materiales[[#This Row],[PRECIO BASE]]*(1+Materiales[[#This Row],[AJUSTE POSITIVO]]),0)</f>
        <v>45423</v>
      </c>
      <c r="G233" s="994">
        <v>39498</v>
      </c>
      <c r="H233" s="1001">
        <f t="shared" si="7"/>
        <v>0.15</v>
      </c>
      <c r="I233" s="34" t="s">
        <v>1591</v>
      </c>
    </row>
    <row r="234" spans="1:9" s="421" customFormat="1">
      <c r="A234" s="997">
        <v>240</v>
      </c>
      <c r="B234" s="997" t="s">
        <v>1313</v>
      </c>
      <c r="C234" s="103" t="s">
        <v>1592</v>
      </c>
      <c r="D234" s="986" t="s">
        <v>1164</v>
      </c>
      <c r="E234" s="64">
        <v>0.67800000000000005</v>
      </c>
      <c r="F234" s="987">
        <f>+ROUND(Materiales[[#This Row],[PRECIO BASE]]*(1+Materiales[[#This Row],[AJUSTE POSITIVO]]),0)</f>
        <v>59929</v>
      </c>
      <c r="G234" s="994">
        <v>52112</v>
      </c>
      <c r="H234" s="1001">
        <f t="shared" si="7"/>
        <v>0.15</v>
      </c>
      <c r="I234" s="34" t="s">
        <v>1593</v>
      </c>
    </row>
    <row r="235" spans="1:9" s="421" customFormat="1">
      <c r="A235" s="997">
        <v>241</v>
      </c>
      <c r="B235" s="997" t="s">
        <v>1313</v>
      </c>
      <c r="C235" s="330" t="s">
        <v>1594</v>
      </c>
      <c r="D235" s="998" t="s">
        <v>1164</v>
      </c>
      <c r="E235" s="999">
        <v>0.1457</v>
      </c>
      <c r="F235" s="987">
        <f>+ROUND(Materiales[[#This Row],[PRECIO BASE]]*(1+Materiales[[#This Row],[AJUSTE POSITIVO]]),0)</f>
        <v>10868</v>
      </c>
      <c r="G235" s="994">
        <v>9450</v>
      </c>
      <c r="H235" s="1001">
        <f t="shared" si="7"/>
        <v>0.15</v>
      </c>
      <c r="I235" s="34"/>
    </row>
    <row r="236" spans="1:9" s="421" customFormat="1">
      <c r="A236" s="997">
        <v>242</v>
      </c>
      <c r="B236" s="997" t="s">
        <v>1329</v>
      </c>
      <c r="C236" s="330" t="s">
        <v>1595</v>
      </c>
      <c r="D236" s="997" t="s">
        <v>188</v>
      </c>
      <c r="E236" s="999">
        <v>0.2</v>
      </c>
      <c r="F236" s="987">
        <f>+ROUND(Materiales[[#This Row],[PRECIO BASE]]*(1+Materiales[[#This Row],[AJUSTE POSITIVO]]),0)</f>
        <v>65780</v>
      </c>
      <c r="G236" s="994">
        <v>57200</v>
      </c>
      <c r="H236" s="1001">
        <f t="shared" si="7"/>
        <v>0.15</v>
      </c>
      <c r="I236" s="737" t="s">
        <v>1596</v>
      </c>
    </row>
    <row r="237" spans="1:9" s="421" customFormat="1">
      <c r="A237" s="997">
        <v>243</v>
      </c>
      <c r="B237" s="997" t="s">
        <v>1334</v>
      </c>
      <c r="C237" s="330" t="s">
        <v>1597</v>
      </c>
      <c r="D237" s="998" t="s">
        <v>188</v>
      </c>
      <c r="E237" s="999">
        <v>0.24</v>
      </c>
      <c r="F237" s="987">
        <f>+ROUND(Materiales[[#This Row],[PRECIO BASE]]*(1+Materiales[[#This Row],[AJUSTE POSITIVO]]),0)</f>
        <v>755412</v>
      </c>
      <c r="G237" s="994">
        <v>656880</v>
      </c>
      <c r="H237" s="1001">
        <f t="shared" ref="H237:H268" si="8">+$H$2</f>
        <v>0.15</v>
      </c>
      <c r="I237" s="737"/>
    </row>
    <row r="238" spans="1:9" s="421" customFormat="1">
      <c r="A238" s="997">
        <v>244</v>
      </c>
      <c r="B238" s="997" t="s">
        <v>1313</v>
      </c>
      <c r="C238" s="330" t="s">
        <v>1598</v>
      </c>
      <c r="D238" s="997" t="s">
        <v>1164</v>
      </c>
      <c r="E238" s="999">
        <v>0.86</v>
      </c>
      <c r="F238" s="987">
        <f>+ROUND(Materiales[[#This Row],[PRECIO BASE]]*(1+Materiales[[#This Row],[AJUSTE POSITIVO]]),0)</f>
        <v>22885</v>
      </c>
      <c r="G238" s="994">
        <v>19900</v>
      </c>
      <c r="H238" s="1001">
        <f t="shared" si="8"/>
        <v>0.15</v>
      </c>
      <c r="I238" s="34" t="s">
        <v>1599</v>
      </c>
    </row>
    <row r="239" spans="1:9" s="421" customFormat="1">
      <c r="A239" s="997">
        <v>245</v>
      </c>
      <c r="B239" s="997" t="s">
        <v>1376</v>
      </c>
      <c r="C239" s="330" t="s">
        <v>1600</v>
      </c>
      <c r="D239" s="998" t="s">
        <v>1601</v>
      </c>
      <c r="E239" s="999">
        <v>25</v>
      </c>
      <c r="F239" s="987">
        <f>+ROUND(Materiales[[#This Row],[PRECIO BASE]]*(1+Materiales[[#This Row],[AJUSTE POSITIVO]]),0)</f>
        <v>74750</v>
      </c>
      <c r="G239" s="994">
        <v>65000</v>
      </c>
      <c r="H239" s="995">
        <f t="shared" si="8"/>
        <v>0.15</v>
      </c>
      <c r="I239" s="34"/>
    </row>
    <row r="240" spans="1:9" s="421" customFormat="1">
      <c r="A240" s="997">
        <v>246</v>
      </c>
      <c r="B240" s="997" t="s">
        <v>1313</v>
      </c>
      <c r="C240" s="330" t="s">
        <v>1602</v>
      </c>
      <c r="D240" s="998" t="s">
        <v>1164</v>
      </c>
      <c r="E240" s="999">
        <v>9.6299999999999997E-2</v>
      </c>
      <c r="F240" s="987">
        <f>+ROUND(Materiales[[#This Row],[PRECIO BASE]]*(1+Materiales[[#This Row],[AJUSTE POSITIVO]]),0)</f>
        <v>7081</v>
      </c>
      <c r="G240" s="994">
        <v>6157</v>
      </c>
      <c r="H240" s="1001">
        <f t="shared" si="8"/>
        <v>0.15</v>
      </c>
      <c r="I240" s="34" t="s">
        <v>1603</v>
      </c>
    </row>
    <row r="241" spans="1:9" s="421" customFormat="1">
      <c r="A241" s="997">
        <v>247</v>
      </c>
      <c r="B241" s="997" t="s">
        <v>1324</v>
      </c>
      <c r="C241" s="330" t="s">
        <v>1604</v>
      </c>
      <c r="D241" s="998" t="s">
        <v>188</v>
      </c>
      <c r="E241" s="999">
        <v>1.5</v>
      </c>
      <c r="F241" s="987">
        <f>+ROUND(Materiales[[#This Row],[PRECIO BASE]]*(1+Materiales[[#This Row],[AJUSTE POSITIVO]]),0)</f>
        <v>103267</v>
      </c>
      <c r="G241" s="994">
        <v>89797.5</v>
      </c>
      <c r="H241" s="1001">
        <f t="shared" si="8"/>
        <v>0.15</v>
      </c>
      <c r="I241" s="34"/>
    </row>
    <row r="242" spans="1:9" s="421" customFormat="1">
      <c r="A242" s="997">
        <v>248</v>
      </c>
      <c r="B242" s="997" t="s">
        <v>1329</v>
      </c>
      <c r="C242" s="330" t="s">
        <v>1605</v>
      </c>
      <c r="D242" s="997" t="s">
        <v>188</v>
      </c>
      <c r="E242" s="999">
        <v>0.4</v>
      </c>
      <c r="F242" s="987">
        <f>+ROUND(Materiales[[#This Row],[PRECIO BASE]]*(1+Materiales[[#This Row],[AJUSTE POSITIVO]]),0)</f>
        <v>2526550</v>
      </c>
      <c r="G242" s="994">
        <v>2197000</v>
      </c>
      <c r="H242" s="1001">
        <f t="shared" si="8"/>
        <v>0.15</v>
      </c>
      <c r="I242" s="34"/>
    </row>
    <row r="243" spans="1:9" s="421" customFormat="1">
      <c r="A243" s="997">
        <v>249</v>
      </c>
      <c r="B243" s="997" t="s">
        <v>1313</v>
      </c>
      <c r="C243" s="330" t="s">
        <v>1606</v>
      </c>
      <c r="D243" s="998" t="s">
        <v>1164</v>
      </c>
      <c r="E243" s="999">
        <v>1.2350000000000001</v>
      </c>
      <c r="F243" s="987">
        <f>+ROUND(Materiales[[#This Row],[PRECIO BASE]]*(1+Materiales[[#This Row],[AJUSTE POSITIVO]]),0)</f>
        <v>98383</v>
      </c>
      <c r="G243" s="994">
        <v>85550</v>
      </c>
      <c r="H243" s="1001">
        <f t="shared" si="8"/>
        <v>0.15</v>
      </c>
      <c r="I243" s="34" t="s">
        <v>1607</v>
      </c>
    </row>
    <row r="244" spans="1:9" s="421" customFormat="1">
      <c r="A244" s="997">
        <v>250</v>
      </c>
      <c r="B244" s="997" t="s">
        <v>1324</v>
      </c>
      <c r="C244" s="330" t="s">
        <v>1608</v>
      </c>
      <c r="D244" s="998" t="s">
        <v>188</v>
      </c>
      <c r="E244" s="999">
        <v>3.2</v>
      </c>
      <c r="F244" s="987">
        <f>+ROUND(Materiales[[#This Row],[PRECIO BASE]]*(1+Materiales[[#This Row],[AJUSTE POSITIVO]]),0)</f>
        <v>172112</v>
      </c>
      <c r="G244" s="994">
        <v>149662.5</v>
      </c>
      <c r="H244" s="1001">
        <f t="shared" si="8"/>
        <v>0.15</v>
      </c>
      <c r="I244" s="34"/>
    </row>
    <row r="245" spans="1:9" s="421" customFormat="1">
      <c r="A245" s="997">
        <v>251</v>
      </c>
      <c r="B245" s="997" t="s">
        <v>1329</v>
      </c>
      <c r="C245" s="330" t="s">
        <v>1609</v>
      </c>
      <c r="D245" s="997" t="s">
        <v>188</v>
      </c>
      <c r="E245" s="999">
        <v>1.5</v>
      </c>
      <c r="F245" s="987">
        <f>+ROUND(Materiales[[#This Row],[PRECIO BASE]]*(1+Materiales[[#This Row],[AJUSTE POSITIVO]]),0)</f>
        <v>8740000</v>
      </c>
      <c r="G245" s="994">
        <v>7600000</v>
      </c>
      <c r="H245" s="1001">
        <f t="shared" si="8"/>
        <v>0.15</v>
      </c>
      <c r="I245" s="34"/>
    </row>
    <row r="246" spans="1:9" s="421" customFormat="1">
      <c r="A246" s="997">
        <v>252</v>
      </c>
      <c r="B246" s="997" t="s">
        <v>1313</v>
      </c>
      <c r="C246" s="330" t="s">
        <v>1610</v>
      </c>
      <c r="D246" s="998" t="s">
        <v>1164</v>
      </c>
      <c r="E246" s="999">
        <v>1.7</v>
      </c>
      <c r="F246" s="987">
        <f>+ROUND(Materiales[[#This Row],[PRECIO BASE]]*(1+Materiales[[#This Row],[AJUSTE POSITIVO]]),0)</f>
        <v>143750</v>
      </c>
      <c r="G246" s="994">
        <v>125000</v>
      </c>
      <c r="H246" s="1001">
        <f t="shared" si="8"/>
        <v>0.15</v>
      </c>
      <c r="I246" s="34" t="s">
        <v>1611</v>
      </c>
    </row>
    <row r="247" spans="1:9" s="421" customFormat="1">
      <c r="A247" s="997">
        <v>253</v>
      </c>
      <c r="B247" s="997" t="s">
        <v>1311</v>
      </c>
      <c r="C247" s="330" t="s">
        <v>1612</v>
      </c>
      <c r="D247" s="998" t="s">
        <v>188</v>
      </c>
      <c r="E247" s="999">
        <v>162</v>
      </c>
      <c r="F247" s="987">
        <f>+ROUND(Materiales[[#This Row],[PRECIO BASE]]*(1+Materiales[[#This Row],[AJUSTE POSITIVO]]),0)</f>
        <v>13489500</v>
      </c>
      <c r="G247" s="994">
        <v>11730000</v>
      </c>
      <c r="H247" s="1001">
        <f t="shared" si="8"/>
        <v>0.15</v>
      </c>
      <c r="I247" s="34"/>
    </row>
    <row r="248" spans="1:9" s="421" customFormat="1">
      <c r="A248" s="997">
        <v>254</v>
      </c>
      <c r="B248" s="997" t="s">
        <v>1329</v>
      </c>
      <c r="C248" s="330" t="s">
        <v>1613</v>
      </c>
      <c r="D248" s="998" t="s">
        <v>188</v>
      </c>
      <c r="E248" s="999">
        <v>0.45</v>
      </c>
      <c r="F248" s="987">
        <f>+ROUND(Materiales[[#This Row],[PRECIO BASE]]*(1+Materiales[[#This Row],[AJUSTE POSITIVO]]),0)</f>
        <v>149500</v>
      </c>
      <c r="G248" s="994">
        <v>130000</v>
      </c>
      <c r="H248" s="1001">
        <f t="shared" si="8"/>
        <v>0.15</v>
      </c>
      <c r="I248" s="34" t="s">
        <v>1614</v>
      </c>
    </row>
    <row r="249" spans="1:9" s="421" customFormat="1">
      <c r="A249" s="997">
        <v>255</v>
      </c>
      <c r="B249" s="997" t="s">
        <v>1329</v>
      </c>
      <c r="C249" s="330" t="s">
        <v>1615</v>
      </c>
      <c r="D249" s="998" t="s">
        <v>188</v>
      </c>
      <c r="E249" s="999">
        <v>0.45</v>
      </c>
      <c r="F249" s="987">
        <f>+ROUND(Materiales[[#This Row],[PRECIO BASE]]*(1+Materiales[[#This Row],[AJUSTE POSITIVO]]),0)</f>
        <v>71185</v>
      </c>
      <c r="G249" s="994">
        <v>61900</v>
      </c>
      <c r="H249" s="1001">
        <f t="shared" si="8"/>
        <v>0.15</v>
      </c>
      <c r="I249" s="34" t="s">
        <v>1616</v>
      </c>
    </row>
    <row r="250" spans="1:9" s="421" customFormat="1">
      <c r="A250" s="997">
        <v>256</v>
      </c>
      <c r="B250" s="997" t="s">
        <v>1334</v>
      </c>
      <c r="C250" s="330" t="s">
        <v>1617</v>
      </c>
      <c r="D250" s="998" t="s">
        <v>188</v>
      </c>
      <c r="E250" s="999">
        <v>0.24</v>
      </c>
      <c r="F250" s="987">
        <f>+ROUND(Materiales[[#This Row],[PRECIO BASE]]*(1+Materiales[[#This Row],[AJUSTE POSITIVO]]),0)</f>
        <v>755412</v>
      </c>
      <c r="G250" s="994">
        <v>656880</v>
      </c>
      <c r="H250" s="1001">
        <f t="shared" si="8"/>
        <v>0.15</v>
      </c>
      <c r="I250" s="737"/>
    </row>
    <row r="251" spans="1:9" s="421" customFormat="1" ht="14.5">
      <c r="A251" s="997">
        <v>257</v>
      </c>
      <c r="B251" s="997"/>
      <c r="C251" s="1000" t="s">
        <v>1618</v>
      </c>
      <c r="D251" s="998" t="s">
        <v>188</v>
      </c>
      <c r="E251" s="999"/>
      <c r="F251" s="987">
        <f>+ROUND(Materiales[[#This Row],[PRECIO BASE]]*(1+Materiales[[#This Row],[AJUSTE POSITIVO]]),0)</f>
        <v>80960</v>
      </c>
      <c r="G251" s="994">
        <v>70400</v>
      </c>
      <c r="H251" s="1143">
        <f t="shared" si="8"/>
        <v>0.15</v>
      </c>
      <c r="I251" s="293"/>
    </row>
    <row r="252" spans="1:9" s="421" customFormat="1" ht="14.5">
      <c r="A252" s="997">
        <v>258</v>
      </c>
      <c r="B252" s="997"/>
      <c r="C252" s="1000" t="s">
        <v>1619</v>
      </c>
      <c r="D252" s="998" t="s">
        <v>188</v>
      </c>
      <c r="E252" s="999"/>
      <c r="F252" s="987">
        <f>+ROUND(Materiales[[#This Row],[PRECIO BASE]]*(1+Materiales[[#This Row],[AJUSTE POSITIVO]]),0)</f>
        <v>4715</v>
      </c>
      <c r="G252" s="994">
        <v>4100</v>
      </c>
      <c r="H252" s="1143">
        <f t="shared" si="8"/>
        <v>0.15</v>
      </c>
      <c r="I252" s="293"/>
    </row>
    <row r="253" spans="1:9" s="421" customFormat="1" ht="14.5">
      <c r="A253" s="997">
        <v>259</v>
      </c>
      <c r="B253" s="997"/>
      <c r="C253" s="1000" t="s">
        <v>1620</v>
      </c>
      <c r="D253" s="998" t="s">
        <v>188</v>
      </c>
      <c r="E253" s="999"/>
      <c r="F253" s="987">
        <f>+ROUND(Materiales[[#This Row],[PRECIO BASE]]*(1+Materiales[[#This Row],[AJUSTE POSITIVO]]),0)</f>
        <v>5578</v>
      </c>
      <c r="G253" s="994">
        <v>4850</v>
      </c>
      <c r="H253" s="1143">
        <f t="shared" si="8"/>
        <v>0.15</v>
      </c>
      <c r="I253" s="293"/>
    </row>
    <row r="254" spans="1:9" s="421" customFormat="1" ht="14.5">
      <c r="A254" s="997">
        <v>260</v>
      </c>
      <c r="B254" s="997"/>
      <c r="C254" s="1000" t="s">
        <v>1621</v>
      </c>
      <c r="D254" s="998" t="s">
        <v>188</v>
      </c>
      <c r="E254" s="999"/>
      <c r="F254" s="987">
        <f>+ROUND(Materiales[[#This Row],[PRECIO BASE]]*(1+Materiales[[#This Row],[AJUSTE POSITIVO]]),0)</f>
        <v>10235</v>
      </c>
      <c r="G254" s="994">
        <v>8900</v>
      </c>
      <c r="H254" s="1143">
        <f t="shared" si="8"/>
        <v>0.15</v>
      </c>
      <c r="I254" s="293"/>
    </row>
    <row r="255" spans="1:9" s="421" customFormat="1" ht="14.5">
      <c r="A255" s="997">
        <v>261</v>
      </c>
      <c r="B255" s="997"/>
      <c r="C255" s="1000" t="s">
        <v>1622</v>
      </c>
      <c r="D255" s="998" t="s">
        <v>188</v>
      </c>
      <c r="E255" s="999"/>
      <c r="F255" s="987">
        <f>+ROUND(Materiales[[#This Row],[PRECIO BASE]]*(1+Materiales[[#This Row],[AJUSTE POSITIVO]]),0)</f>
        <v>122245</v>
      </c>
      <c r="G255" s="994">
        <v>106300</v>
      </c>
      <c r="H255" s="1143">
        <f t="shared" si="8"/>
        <v>0.15</v>
      </c>
      <c r="I255" s="293"/>
    </row>
    <row r="256" spans="1:9" s="421" customFormat="1" ht="14.5">
      <c r="A256" s="997">
        <v>262</v>
      </c>
      <c r="B256" s="997"/>
      <c r="C256" s="1000" t="s">
        <v>1623</v>
      </c>
      <c r="D256" s="998" t="s">
        <v>188</v>
      </c>
      <c r="E256" s="999"/>
      <c r="F256" s="987">
        <f>+ROUND(Materiales[[#This Row],[PRECIO BASE]]*(1+Materiales[[#This Row],[AJUSTE POSITIVO]]),0)</f>
        <v>6095</v>
      </c>
      <c r="G256" s="994">
        <v>5300</v>
      </c>
      <c r="H256" s="1143">
        <f t="shared" si="8"/>
        <v>0.15</v>
      </c>
      <c r="I256" s="293"/>
    </row>
    <row r="257" spans="1:9" s="421" customFormat="1" ht="14.5">
      <c r="A257" s="997">
        <v>263</v>
      </c>
      <c r="B257" s="997"/>
      <c r="C257" s="1000" t="s">
        <v>1624</v>
      </c>
      <c r="D257" s="998" t="s">
        <v>188</v>
      </c>
      <c r="E257" s="999"/>
      <c r="F257" s="987">
        <f>+ROUND(Materiales[[#This Row],[PRECIO BASE]]*(1+Materiales[[#This Row],[AJUSTE POSITIVO]]),0)</f>
        <v>7073</v>
      </c>
      <c r="G257" s="994">
        <v>6150</v>
      </c>
      <c r="H257" s="1143">
        <f t="shared" si="8"/>
        <v>0.15</v>
      </c>
      <c r="I257" s="293"/>
    </row>
    <row r="258" spans="1:9" ht="14.5">
      <c r="A258" s="985">
        <v>264</v>
      </c>
      <c r="B258" s="985"/>
      <c r="C258" s="1010" t="s">
        <v>1625</v>
      </c>
      <c r="D258" s="998" t="s">
        <v>188</v>
      </c>
      <c r="E258" s="64"/>
      <c r="F258" s="987">
        <f>+ROUND(Materiales[[#This Row],[PRECIO BASE]]*(1+Materiales[[#This Row],[AJUSTE POSITIVO]]),0)</f>
        <v>16618</v>
      </c>
      <c r="G258" s="994">
        <v>14450</v>
      </c>
      <c r="H258" s="1011">
        <f t="shared" si="8"/>
        <v>0.15</v>
      </c>
      <c r="I258" s="293"/>
    </row>
    <row r="259" spans="1:9" ht="14.5">
      <c r="A259" s="985">
        <v>265</v>
      </c>
      <c r="B259" s="985"/>
      <c r="C259" s="1010" t="s">
        <v>1626</v>
      </c>
      <c r="D259" s="998" t="s">
        <v>188</v>
      </c>
      <c r="E259" s="64"/>
      <c r="F259" s="987">
        <f>+ROUND(Materiales[[#This Row],[PRECIO BASE]]*(1+Materiales[[#This Row],[AJUSTE POSITIVO]]),0)</f>
        <v>274103</v>
      </c>
      <c r="G259" s="994">
        <v>238350</v>
      </c>
      <c r="H259" s="1011">
        <f t="shared" si="8"/>
        <v>0.15</v>
      </c>
      <c r="I259" s="293"/>
    </row>
    <row r="260" spans="1:9" ht="14.5">
      <c r="A260" s="985">
        <v>266</v>
      </c>
      <c r="B260" s="985"/>
      <c r="C260" s="1010" t="s">
        <v>1627</v>
      </c>
      <c r="D260" s="998" t="s">
        <v>188</v>
      </c>
      <c r="E260" s="64"/>
      <c r="F260" s="987">
        <f>+ROUND(Materiales[[#This Row],[PRECIO BASE]]*(1+Materiales[[#This Row],[AJUSTE POSITIVO]]),0)</f>
        <v>30533</v>
      </c>
      <c r="G260" s="994">
        <v>26550</v>
      </c>
      <c r="H260" s="1011">
        <f t="shared" si="8"/>
        <v>0.15</v>
      </c>
      <c r="I260" s="293"/>
    </row>
    <row r="261" spans="1:9" ht="14.5">
      <c r="A261" s="985">
        <v>267</v>
      </c>
      <c r="B261" s="985"/>
      <c r="C261" s="1010" t="s">
        <v>1628</v>
      </c>
      <c r="D261" s="998" t="s">
        <v>188</v>
      </c>
      <c r="E261" s="64"/>
      <c r="F261" s="987">
        <f>+ROUND(Materiales[[#This Row],[PRECIO BASE]]*(1+Materiales[[#This Row],[AJUSTE POSITIVO]]),0)</f>
        <v>25588</v>
      </c>
      <c r="G261" s="994">
        <v>22250</v>
      </c>
      <c r="H261" s="1011">
        <f t="shared" si="8"/>
        <v>0.15</v>
      </c>
      <c r="I261" s="293"/>
    </row>
    <row r="262" spans="1:9">
      <c r="A262" s="985">
        <v>268</v>
      </c>
      <c r="B262" s="985"/>
      <c r="C262" s="1010" t="s">
        <v>1629</v>
      </c>
      <c r="D262" s="998" t="s">
        <v>188</v>
      </c>
      <c r="E262" s="64"/>
      <c r="F262" s="987">
        <f>+ROUND(Materiales[[#This Row],[PRECIO BASE]]*(1+Materiales[[#This Row],[AJUSTE POSITIVO]]),0)</f>
        <v>52958</v>
      </c>
      <c r="G262" s="994">
        <v>46050</v>
      </c>
      <c r="H262" s="1011">
        <f t="shared" si="8"/>
        <v>0.15</v>
      </c>
      <c r="I262" s="1012" t="s">
        <v>1630</v>
      </c>
    </row>
    <row r="263" spans="1:9">
      <c r="A263" s="985">
        <v>269</v>
      </c>
      <c r="B263" s="985"/>
      <c r="C263" s="1013" t="s">
        <v>1631</v>
      </c>
      <c r="D263" s="998" t="s">
        <v>188</v>
      </c>
      <c r="E263" s="64"/>
      <c r="F263" s="987">
        <f>+ROUND(Materiales[[#This Row],[PRECIO BASE]]*(1+Materiales[[#This Row],[AJUSTE POSITIVO]]),0)</f>
        <v>10603575</v>
      </c>
      <c r="G263" s="994">
        <v>9220500</v>
      </c>
      <c r="H263" s="1011">
        <f t="shared" si="8"/>
        <v>0.15</v>
      </c>
      <c r="I263" s="1012" t="s">
        <v>1632</v>
      </c>
    </row>
    <row r="264" spans="1:9">
      <c r="A264" s="985">
        <v>270</v>
      </c>
      <c r="B264" s="985"/>
      <c r="C264" s="1013" t="s">
        <v>1633</v>
      </c>
      <c r="D264" s="998" t="s">
        <v>188</v>
      </c>
      <c r="E264" s="64"/>
      <c r="F264" s="987">
        <f>+ROUND(Materiales[[#This Row],[PRECIO BASE]]*(1+Materiales[[#This Row],[AJUSTE POSITIVO]]),0)</f>
        <v>26099847</v>
      </c>
      <c r="G264" s="994">
        <v>22695519</v>
      </c>
      <c r="H264" s="1011">
        <f t="shared" si="8"/>
        <v>0.15</v>
      </c>
      <c r="I264" s="1012" t="s">
        <v>1634</v>
      </c>
    </row>
    <row r="265" spans="1:9" ht="14.5">
      <c r="A265" s="985">
        <v>271</v>
      </c>
      <c r="B265" s="985"/>
      <c r="C265" s="1013" t="s">
        <v>1635</v>
      </c>
      <c r="D265" s="998" t="s">
        <v>188</v>
      </c>
      <c r="E265" s="64"/>
      <c r="F265" s="987">
        <f>+ROUND(Materiales[[#This Row],[PRECIO BASE]]*(1+Materiales[[#This Row],[AJUSTE POSITIVO]]),0)</f>
        <v>59847926</v>
      </c>
      <c r="G265" s="994">
        <v>52041675</v>
      </c>
      <c r="H265" s="1011">
        <f t="shared" si="8"/>
        <v>0.15</v>
      </c>
      <c r="I265" s="293"/>
    </row>
    <row r="266" spans="1:9" ht="14.5">
      <c r="A266" s="985">
        <v>272</v>
      </c>
      <c r="B266" s="985"/>
      <c r="C266" s="1013" t="s">
        <v>1636</v>
      </c>
      <c r="D266" s="998" t="s">
        <v>188</v>
      </c>
      <c r="E266" s="64"/>
      <c r="F266" s="987">
        <f>+ROUND(Materiales[[#This Row],[PRECIO BASE]]*(1+Materiales[[#This Row],[AJUSTE POSITIVO]]),0)</f>
        <v>2865657</v>
      </c>
      <c r="G266" s="994">
        <v>2491876</v>
      </c>
      <c r="H266" s="1011">
        <f t="shared" si="8"/>
        <v>0.15</v>
      </c>
      <c r="I266" s="293"/>
    </row>
    <row r="267" spans="1:9" ht="14.5">
      <c r="A267" s="985">
        <v>273</v>
      </c>
      <c r="B267" s="985"/>
      <c r="C267" s="1013" t="s">
        <v>1637</v>
      </c>
      <c r="D267" s="998" t="s">
        <v>188</v>
      </c>
      <c r="E267" s="64"/>
      <c r="F267" s="987">
        <f>+ROUND(Materiales[[#This Row],[PRECIO BASE]]*(1+Materiales[[#This Row],[AJUSTE POSITIVO]]),0)</f>
        <v>7360498</v>
      </c>
      <c r="G267" s="994">
        <v>6400433</v>
      </c>
      <c r="H267" s="1011">
        <f t="shared" si="8"/>
        <v>0.15</v>
      </c>
      <c r="I267" s="293"/>
    </row>
    <row r="268" spans="1:9" ht="14.5">
      <c r="A268" s="985">
        <v>274</v>
      </c>
      <c r="B268" s="985"/>
      <c r="C268" s="1014" t="s">
        <v>1638</v>
      </c>
      <c r="D268" s="998" t="s">
        <v>188</v>
      </c>
      <c r="E268" s="64"/>
      <c r="F268" s="987">
        <f>+ROUND(Materiales[[#This Row],[PRECIO BASE]]*(1+Materiales[[#This Row],[AJUSTE POSITIVO]]),0)</f>
        <v>50476</v>
      </c>
      <c r="G268" s="994">
        <v>43892</v>
      </c>
      <c r="H268" s="1011">
        <f t="shared" si="8"/>
        <v>0.15</v>
      </c>
      <c r="I268" s="293"/>
    </row>
    <row r="269" spans="1:9" ht="14.5">
      <c r="A269" s="985">
        <v>275</v>
      </c>
      <c r="B269" s="985"/>
      <c r="C269" s="1010" t="s">
        <v>1639</v>
      </c>
      <c r="D269" s="998" t="s">
        <v>188</v>
      </c>
      <c r="E269" s="64"/>
      <c r="F269" s="987">
        <f>+ROUND(Materiales[[#This Row],[PRECIO BASE]]*(1+Materiales[[#This Row],[AJUSTE POSITIVO]]),0)</f>
        <v>283</v>
      </c>
      <c r="G269" s="994">
        <v>246</v>
      </c>
      <c r="H269" s="1011">
        <f t="shared" ref="H269:H300" si="9">+$H$2</f>
        <v>0.15</v>
      </c>
      <c r="I269" s="293"/>
    </row>
    <row r="270" spans="1:9" ht="14.5">
      <c r="A270" s="985">
        <v>276</v>
      </c>
      <c r="B270" s="985"/>
      <c r="C270" s="1010" t="s">
        <v>1640</v>
      </c>
      <c r="D270" s="998" t="s">
        <v>188</v>
      </c>
      <c r="E270" s="64"/>
      <c r="F270" s="987">
        <f>+ROUND(Materiales[[#This Row],[PRECIO BASE]]*(1+Materiales[[#This Row],[AJUSTE POSITIVO]]),0)</f>
        <v>138</v>
      </c>
      <c r="G270" s="994">
        <v>120</v>
      </c>
      <c r="H270" s="1011">
        <f t="shared" si="9"/>
        <v>0.15</v>
      </c>
      <c r="I270" s="293"/>
    </row>
    <row r="271" spans="1:9" ht="14.5">
      <c r="A271" s="985">
        <v>277</v>
      </c>
      <c r="B271" s="985"/>
      <c r="C271" s="1010" t="s">
        <v>1641</v>
      </c>
      <c r="D271" s="998" t="s">
        <v>188</v>
      </c>
      <c r="E271" s="64"/>
      <c r="F271" s="987">
        <f>+ROUND(Materiales[[#This Row],[PRECIO BASE]]*(1+Materiales[[#This Row],[AJUSTE POSITIVO]]),0)</f>
        <v>108136</v>
      </c>
      <c r="G271" s="994">
        <v>94031</v>
      </c>
      <c r="H271" s="1011">
        <f t="shared" si="9"/>
        <v>0.15</v>
      </c>
      <c r="I271" s="293"/>
    </row>
    <row r="272" spans="1:9" ht="14.5">
      <c r="A272" s="985">
        <v>278</v>
      </c>
      <c r="B272" s="985"/>
      <c r="C272" s="1010" t="s">
        <v>1642</v>
      </c>
      <c r="D272" s="998" t="s">
        <v>188</v>
      </c>
      <c r="E272" s="64"/>
      <c r="F272" s="987">
        <f>+ROUND(Materiales[[#This Row],[PRECIO BASE]]*(1+Materiales[[#This Row],[AJUSTE POSITIVO]]),0)</f>
        <v>46336</v>
      </c>
      <c r="G272" s="994">
        <v>40292</v>
      </c>
      <c r="H272" s="1011">
        <f t="shared" si="9"/>
        <v>0.15</v>
      </c>
      <c r="I272" s="293"/>
    </row>
    <row r="273" spans="1:9" ht="14.5">
      <c r="A273" s="985">
        <v>279</v>
      </c>
      <c r="B273" s="985"/>
      <c r="C273" s="1010" t="s">
        <v>1643</v>
      </c>
      <c r="D273" s="998" t="s">
        <v>188</v>
      </c>
      <c r="E273" s="64"/>
      <c r="F273" s="987">
        <f>+ROUND(Materiales[[#This Row],[PRECIO BASE]]*(1+Materiales[[#This Row],[AJUSTE POSITIVO]]),0)</f>
        <v>5825</v>
      </c>
      <c r="G273" s="994">
        <v>5065</v>
      </c>
      <c r="H273" s="1011">
        <f t="shared" si="9"/>
        <v>0.15</v>
      </c>
      <c r="I273" s="293"/>
    </row>
    <row r="274" spans="1:9" ht="14.5">
      <c r="A274" s="985">
        <v>280</v>
      </c>
      <c r="B274" s="985"/>
      <c r="C274" s="1010" t="s">
        <v>1644</v>
      </c>
      <c r="D274" s="998" t="s">
        <v>188</v>
      </c>
      <c r="E274" s="64"/>
      <c r="F274" s="987">
        <f>+ROUND(Materiales[[#This Row],[PRECIO BASE]]*(1+Materiales[[#This Row],[AJUSTE POSITIVO]]),0)</f>
        <v>1788</v>
      </c>
      <c r="G274" s="994">
        <v>1555</v>
      </c>
      <c r="H274" s="1011">
        <f t="shared" si="9"/>
        <v>0.15</v>
      </c>
      <c r="I274" s="293"/>
    </row>
    <row r="275" spans="1:9" ht="14.5">
      <c r="A275" s="985">
        <v>281</v>
      </c>
      <c r="B275" s="985"/>
      <c r="C275" s="1010" t="s">
        <v>1645</v>
      </c>
      <c r="D275" s="998" t="s">
        <v>188</v>
      </c>
      <c r="E275" s="64">
        <v>1</v>
      </c>
      <c r="F275" s="987">
        <f>+ROUND(Materiales[[#This Row],[PRECIO BASE]]*(1+Materiales[[#This Row],[AJUSTE POSITIVO]]),0)</f>
        <v>7329</v>
      </c>
      <c r="G275" s="994">
        <v>6373</v>
      </c>
      <c r="H275" s="1011">
        <f t="shared" si="9"/>
        <v>0.15</v>
      </c>
      <c r="I275" s="293"/>
    </row>
    <row r="276" spans="1:9" ht="14.5">
      <c r="A276" s="985">
        <v>282</v>
      </c>
      <c r="B276" s="985"/>
      <c r="C276" s="1010" t="s">
        <v>1646</v>
      </c>
      <c r="D276" s="998" t="s">
        <v>188</v>
      </c>
      <c r="E276" s="64"/>
      <c r="F276" s="987">
        <f>+ROUND(Materiales[[#This Row],[PRECIO BASE]]*(1+Materiales[[#This Row],[AJUSTE POSITIVO]]),0)</f>
        <v>14308</v>
      </c>
      <c r="G276" s="994">
        <v>12442</v>
      </c>
      <c r="H276" s="1011">
        <f t="shared" si="9"/>
        <v>0.15</v>
      </c>
      <c r="I276" s="293"/>
    </row>
    <row r="277" spans="1:9" ht="14.5">
      <c r="A277" s="985">
        <v>283</v>
      </c>
      <c r="B277" s="985"/>
      <c r="C277" s="1010" t="s">
        <v>1647</v>
      </c>
      <c r="D277" s="998" t="s">
        <v>188</v>
      </c>
      <c r="E277" s="64"/>
      <c r="F277" s="987">
        <f>+ROUND(Materiales[[#This Row],[PRECIO BASE]]*(1+Materiales[[#This Row],[AJUSTE POSITIVO]]),0)</f>
        <v>43975</v>
      </c>
      <c r="G277" s="994">
        <v>38239</v>
      </c>
      <c r="H277" s="1011">
        <f t="shared" si="9"/>
        <v>0.15</v>
      </c>
      <c r="I277" s="293"/>
    </row>
    <row r="278" spans="1:9" ht="14.5">
      <c r="A278" s="985">
        <v>284</v>
      </c>
      <c r="B278" s="985"/>
      <c r="C278" s="1010" t="s">
        <v>1648</v>
      </c>
      <c r="D278" s="998" t="s">
        <v>188</v>
      </c>
      <c r="E278" s="64"/>
      <c r="F278" s="987">
        <f>+ROUND(Materiales[[#This Row],[PRECIO BASE]]*(1+Materiales[[#This Row],[AJUSTE POSITIVO]]),0)</f>
        <v>681</v>
      </c>
      <c r="G278" s="994">
        <v>592</v>
      </c>
      <c r="H278" s="1011">
        <f t="shared" si="9"/>
        <v>0.15</v>
      </c>
      <c r="I278" s="293"/>
    </row>
    <row r="279" spans="1:9" ht="14.5">
      <c r="A279" s="985">
        <v>285</v>
      </c>
      <c r="B279" s="985"/>
      <c r="C279" s="1010" t="s">
        <v>1649</v>
      </c>
      <c r="D279" s="998" t="s">
        <v>188</v>
      </c>
      <c r="E279" s="64"/>
      <c r="F279" s="987">
        <f>+ROUND(Materiales[[#This Row],[PRECIO BASE]]*(1+Materiales[[#This Row],[AJUSTE POSITIVO]]),0)</f>
        <v>575</v>
      </c>
      <c r="G279" s="994">
        <v>500</v>
      </c>
      <c r="H279" s="1011">
        <f t="shared" si="9"/>
        <v>0.15</v>
      </c>
      <c r="I279" s="293"/>
    </row>
    <row r="280" spans="1:9" ht="14.5">
      <c r="A280" s="985">
        <v>286</v>
      </c>
      <c r="B280" s="985"/>
      <c r="C280" s="1010" t="s">
        <v>1650</v>
      </c>
      <c r="D280" s="998" t="s">
        <v>188</v>
      </c>
      <c r="E280" s="64"/>
      <c r="F280" s="987">
        <f>+ROUND(Materiales[[#This Row],[PRECIO BASE]]*(1+Materiales[[#This Row],[AJUSTE POSITIVO]]),0)</f>
        <v>6325</v>
      </c>
      <c r="G280" s="994">
        <v>5500</v>
      </c>
      <c r="H280" s="1011">
        <f t="shared" si="9"/>
        <v>0.15</v>
      </c>
      <c r="I280" s="293"/>
    </row>
    <row r="281" spans="1:9">
      <c r="A281" s="985">
        <v>287</v>
      </c>
      <c r="B281" s="985"/>
      <c r="C281" s="1014" t="s">
        <v>1651</v>
      </c>
      <c r="D281" s="998" t="s">
        <v>188</v>
      </c>
      <c r="E281" s="64"/>
      <c r="F281" s="987">
        <f>+ROUND(Materiales[[#This Row],[PRECIO BASE]]*(1+Materiales[[#This Row],[AJUSTE POSITIVO]]),0)</f>
        <v>29001</v>
      </c>
      <c r="G281" s="994">
        <v>25218</v>
      </c>
      <c r="H281" s="1011">
        <f t="shared" si="9"/>
        <v>0.15</v>
      </c>
      <c r="I281" s="1012" t="s">
        <v>1652</v>
      </c>
    </row>
    <row r="282" spans="1:9">
      <c r="A282" s="985">
        <v>288</v>
      </c>
      <c r="B282" s="985"/>
      <c r="C282" s="1010" t="s">
        <v>1653</v>
      </c>
      <c r="D282" s="998" t="s">
        <v>188</v>
      </c>
      <c r="E282" s="64"/>
      <c r="F282" s="987">
        <f>+ROUND(Materiales[[#This Row],[PRECIO BASE]]*(1+Materiales[[#This Row],[AJUSTE POSITIVO]]),0)</f>
        <v>437805</v>
      </c>
      <c r="G282" s="994">
        <v>380700</v>
      </c>
      <c r="H282" s="1011">
        <f t="shared" si="9"/>
        <v>0.15</v>
      </c>
      <c r="I282" s="1012" t="s">
        <v>1654</v>
      </c>
    </row>
    <row r="283" spans="1:9">
      <c r="A283" s="985">
        <v>289</v>
      </c>
      <c r="B283" s="985"/>
      <c r="C283" s="1010" t="s">
        <v>1655</v>
      </c>
      <c r="D283" s="998" t="s">
        <v>188</v>
      </c>
      <c r="E283" s="64"/>
      <c r="F283" s="987">
        <f>+ROUND(Materiales[[#This Row],[PRECIO BASE]]*(1+Materiales[[#This Row],[AJUSTE POSITIVO]]),0)</f>
        <v>61640</v>
      </c>
      <c r="G283" s="994">
        <v>53600</v>
      </c>
      <c r="H283" s="1011">
        <f t="shared" si="9"/>
        <v>0.15</v>
      </c>
      <c r="I283" s="1012" t="s">
        <v>1656</v>
      </c>
    </row>
    <row r="284" spans="1:9" ht="14.5">
      <c r="A284" s="985">
        <v>290</v>
      </c>
      <c r="B284" s="985"/>
      <c r="C284" s="1010" t="s">
        <v>1657</v>
      </c>
      <c r="D284" s="998" t="s">
        <v>188</v>
      </c>
      <c r="E284" s="64"/>
      <c r="F284" s="987">
        <f>+ROUND(Materiales[[#This Row],[PRECIO BASE]]*(1+Materiales[[#This Row],[AJUSTE POSITIVO]]),0)</f>
        <v>121153</v>
      </c>
      <c r="G284" s="994">
        <v>105350</v>
      </c>
      <c r="H284" s="1011">
        <f t="shared" si="9"/>
        <v>0.15</v>
      </c>
      <c r="I284" s="293"/>
    </row>
    <row r="285" spans="1:9" ht="14.5">
      <c r="A285" s="985">
        <v>291</v>
      </c>
      <c r="B285" s="985"/>
      <c r="C285" s="1010" t="s">
        <v>1658</v>
      </c>
      <c r="D285" s="998" t="s">
        <v>188</v>
      </c>
      <c r="E285" s="64"/>
      <c r="F285" s="987">
        <f>+ROUND(Materiales[[#This Row],[PRECIO BASE]]*(1+Materiales[[#This Row],[AJUSTE POSITIVO]]),0)</f>
        <v>22969</v>
      </c>
      <c r="G285" s="994">
        <v>19973</v>
      </c>
      <c r="H285" s="1011">
        <f t="shared" si="9"/>
        <v>0.15</v>
      </c>
      <c r="I285" s="293"/>
    </row>
    <row r="286" spans="1:9" ht="14.5">
      <c r="A286" s="985">
        <v>292</v>
      </c>
      <c r="B286" s="985"/>
      <c r="C286" s="1010" t="s">
        <v>1659</v>
      </c>
      <c r="D286" s="998" t="s">
        <v>188</v>
      </c>
      <c r="E286" s="64"/>
      <c r="F286" s="987">
        <f>+ROUND(Materiales[[#This Row],[PRECIO BASE]]*(1+Materiales[[#This Row],[AJUSTE POSITIVO]]),0)</f>
        <v>2412</v>
      </c>
      <c r="G286" s="994">
        <v>2097</v>
      </c>
      <c r="H286" s="1011">
        <f t="shared" si="9"/>
        <v>0.15</v>
      </c>
      <c r="I286" s="293"/>
    </row>
    <row r="287" spans="1:9" ht="14.5">
      <c r="A287" s="985">
        <v>293</v>
      </c>
      <c r="B287" s="985"/>
      <c r="C287" s="1010" t="s">
        <v>1660</v>
      </c>
      <c r="D287" s="998" t="s">
        <v>188</v>
      </c>
      <c r="E287" s="64"/>
      <c r="F287" s="987">
        <f>+ROUND(Materiales[[#This Row],[PRECIO BASE]]*(1+Materiales[[#This Row],[AJUSTE POSITIVO]]),0)</f>
        <v>0</v>
      </c>
      <c r="G287" s="994"/>
      <c r="H287" s="1011">
        <f t="shared" si="9"/>
        <v>0.15</v>
      </c>
      <c r="I287" s="293"/>
    </row>
    <row r="288" spans="1:9" ht="14.5">
      <c r="A288" s="985">
        <v>294</v>
      </c>
      <c r="B288" s="985"/>
      <c r="C288" s="1010" t="s">
        <v>1661</v>
      </c>
      <c r="D288" s="998" t="s">
        <v>188</v>
      </c>
      <c r="E288" s="64"/>
      <c r="F288" s="987">
        <f>+ROUND(Materiales[[#This Row],[PRECIO BASE]]*(1+Materiales[[#This Row],[AJUSTE POSITIVO]]),0)</f>
        <v>207911</v>
      </c>
      <c r="G288" s="994">
        <v>180792</v>
      </c>
      <c r="H288" s="1011">
        <f t="shared" si="9"/>
        <v>0.15</v>
      </c>
      <c r="I288" s="293"/>
    </row>
    <row r="289" spans="1:9" ht="14.5">
      <c r="A289" s="985">
        <v>295</v>
      </c>
      <c r="B289" s="985"/>
      <c r="C289" s="1010" t="s">
        <v>1662</v>
      </c>
      <c r="D289" s="998" t="s">
        <v>188</v>
      </c>
      <c r="E289" s="64"/>
      <c r="F289" s="987">
        <f>+ROUND(Materiales[[#This Row],[PRECIO BASE]]*(1+Materiales[[#This Row],[AJUSTE POSITIVO]]),0)</f>
        <v>0</v>
      </c>
      <c r="G289" s="994"/>
      <c r="H289" s="1011">
        <f t="shared" si="9"/>
        <v>0.15</v>
      </c>
      <c r="I289" s="293"/>
    </row>
    <row r="290" spans="1:9" ht="14.5">
      <c r="A290" s="985">
        <v>296</v>
      </c>
      <c r="B290" s="985"/>
      <c r="C290" s="1010" t="s">
        <v>1663</v>
      </c>
      <c r="D290" s="998" t="s">
        <v>188</v>
      </c>
      <c r="E290" s="64"/>
      <c r="F290" s="987">
        <f>+ROUND(Materiales[[#This Row],[PRECIO BASE]]*(1+Materiales[[#This Row],[AJUSTE POSITIVO]]),0)</f>
        <v>4509</v>
      </c>
      <c r="G290" s="994">
        <v>3921</v>
      </c>
      <c r="H290" s="1011">
        <f t="shared" si="9"/>
        <v>0.15</v>
      </c>
      <c r="I290" s="293"/>
    </row>
    <row r="291" spans="1:9" ht="14.5">
      <c r="A291" s="985">
        <v>297</v>
      </c>
      <c r="B291" s="985"/>
      <c r="C291" s="1010" t="s">
        <v>1664</v>
      </c>
      <c r="D291" s="998" t="s">
        <v>188</v>
      </c>
      <c r="E291" s="64"/>
      <c r="F291" s="987">
        <f>+ROUND(Materiales[[#This Row],[PRECIO BASE]]*(1+Materiales[[#This Row],[AJUSTE POSITIVO]]),0)</f>
        <v>0</v>
      </c>
      <c r="G291" s="994"/>
      <c r="H291" s="1011">
        <f t="shared" si="9"/>
        <v>0.15</v>
      </c>
      <c r="I291" s="293"/>
    </row>
    <row r="292" spans="1:9" ht="14.5">
      <c r="A292" s="985">
        <v>298</v>
      </c>
      <c r="B292" s="985"/>
      <c r="C292" s="1010" t="s">
        <v>1665</v>
      </c>
      <c r="D292" s="998" t="s">
        <v>188</v>
      </c>
      <c r="E292" s="64"/>
      <c r="F292" s="987">
        <f>+ROUND(Materiales[[#This Row],[PRECIO BASE]]*(1+Materiales[[#This Row],[AJUSTE POSITIVO]]),0)</f>
        <v>136665</v>
      </c>
      <c r="G292" s="994">
        <v>118839</v>
      </c>
      <c r="H292" s="1011">
        <f t="shared" si="9"/>
        <v>0.15</v>
      </c>
      <c r="I292" s="293"/>
    </row>
    <row r="293" spans="1:9" ht="14.5">
      <c r="A293" s="985">
        <v>299</v>
      </c>
      <c r="B293" s="985"/>
      <c r="C293" s="1010" t="s">
        <v>1666</v>
      </c>
      <c r="D293" s="998" t="s">
        <v>188</v>
      </c>
      <c r="E293" s="64"/>
      <c r="F293" s="987">
        <f>+ROUND(Materiales[[#This Row],[PRECIO BASE]]*(1+Materiales[[#This Row],[AJUSTE POSITIVO]]),0)</f>
        <v>45266</v>
      </c>
      <c r="G293" s="994">
        <v>39362</v>
      </c>
      <c r="H293" s="1011">
        <f t="shared" si="9"/>
        <v>0.15</v>
      </c>
      <c r="I293" s="293"/>
    </row>
    <row r="294" spans="1:9" ht="14.5">
      <c r="A294" s="985">
        <v>300</v>
      </c>
      <c r="B294" s="985"/>
      <c r="C294" s="1013" t="s">
        <v>1667</v>
      </c>
      <c r="D294" s="998" t="s">
        <v>1668</v>
      </c>
      <c r="E294" s="64"/>
      <c r="F294" s="987">
        <f>+ROUND(Materiales[[#This Row],[PRECIO BASE]]*(1+Materiales[[#This Row],[AJUSTE POSITIVO]]),0)</f>
        <v>5017</v>
      </c>
      <c r="G294" s="994">
        <v>4363</v>
      </c>
      <c r="H294" s="1011">
        <f t="shared" si="9"/>
        <v>0.15</v>
      </c>
      <c r="I294" s="293"/>
    </row>
    <row r="295" spans="1:9" ht="14.5">
      <c r="A295" s="985">
        <v>301</v>
      </c>
      <c r="B295" s="985"/>
      <c r="C295" s="1010" t="s">
        <v>1669</v>
      </c>
      <c r="D295" s="998" t="s">
        <v>188</v>
      </c>
      <c r="E295" s="64">
        <v>0.25</v>
      </c>
      <c r="F295" s="987">
        <f>+ROUND(Materiales[[#This Row],[PRECIO BASE]]*(1+Materiales[[#This Row],[AJUSTE POSITIVO]]),0)</f>
        <v>10425</v>
      </c>
      <c r="G295" s="994">
        <v>9065</v>
      </c>
      <c r="H295" s="1011">
        <f t="shared" si="9"/>
        <v>0.15</v>
      </c>
      <c r="I295" s="293"/>
    </row>
    <row r="296" spans="1:9" ht="14.5">
      <c r="A296" s="985">
        <v>302</v>
      </c>
      <c r="B296" s="985"/>
      <c r="C296" s="1010" t="s">
        <v>1670</v>
      </c>
      <c r="D296" s="998" t="s">
        <v>188</v>
      </c>
      <c r="E296" s="64">
        <v>0.12</v>
      </c>
      <c r="F296" s="987">
        <f>+ROUND(Materiales[[#This Row],[PRECIO BASE]]*(1+Materiales[[#This Row],[AJUSTE POSITIVO]]),0)</f>
        <v>15143</v>
      </c>
      <c r="G296" s="994">
        <v>13168</v>
      </c>
      <c r="H296" s="1011">
        <f t="shared" si="9"/>
        <v>0.15</v>
      </c>
      <c r="I296" s="293"/>
    </row>
    <row r="297" spans="1:9" ht="14.5">
      <c r="A297" s="985">
        <v>303</v>
      </c>
      <c r="B297" s="985"/>
      <c r="C297" s="1010" t="s">
        <v>1671</v>
      </c>
      <c r="D297" s="998" t="s">
        <v>188</v>
      </c>
      <c r="E297" s="64">
        <v>0.1</v>
      </c>
      <c r="F297" s="987">
        <f>+ROUND(Materiales[[#This Row],[PRECIO BASE]]*(1+Materiales[[#This Row],[AJUSTE POSITIVO]]),0)</f>
        <v>2128</v>
      </c>
      <c r="G297" s="994">
        <v>1850</v>
      </c>
      <c r="H297" s="1011">
        <f t="shared" si="9"/>
        <v>0.15</v>
      </c>
      <c r="I297" s="293"/>
    </row>
    <row r="298" spans="1:9" ht="14.5">
      <c r="A298" s="985">
        <v>304</v>
      </c>
      <c r="B298" s="985"/>
      <c r="C298" s="1010" t="s">
        <v>1672</v>
      </c>
      <c r="D298" s="998" t="s">
        <v>188</v>
      </c>
      <c r="E298" s="64">
        <v>0.01</v>
      </c>
      <c r="F298" s="987">
        <f>+ROUND(Materiales[[#This Row],[PRECIO BASE]]*(1+Materiales[[#This Row],[AJUSTE POSITIVO]]),0)</f>
        <v>5851</v>
      </c>
      <c r="G298" s="994">
        <v>5088</v>
      </c>
      <c r="H298" s="1011">
        <f t="shared" si="9"/>
        <v>0.15</v>
      </c>
      <c r="I298" s="293"/>
    </row>
    <row r="299" spans="1:9" ht="14.5">
      <c r="A299" s="985">
        <v>305</v>
      </c>
      <c r="B299" s="985"/>
      <c r="C299" s="1010" t="s">
        <v>1673</v>
      </c>
      <c r="D299" s="998" t="s">
        <v>188</v>
      </c>
      <c r="E299" s="64">
        <v>1</v>
      </c>
      <c r="F299" s="987">
        <f>+ROUND(Materiales[[#This Row],[PRECIO BASE]]*(1+Materiales[[#This Row],[AJUSTE POSITIVO]]),0)</f>
        <v>37905</v>
      </c>
      <c r="G299" s="994">
        <v>32961</v>
      </c>
      <c r="H299" s="1011">
        <f t="shared" si="9"/>
        <v>0.15</v>
      </c>
      <c r="I299" s="293"/>
    </row>
    <row r="300" spans="1:9" ht="14.5">
      <c r="A300" s="985">
        <v>306</v>
      </c>
      <c r="B300" s="985"/>
      <c r="C300" s="1010" t="s">
        <v>1674</v>
      </c>
      <c r="D300" s="998" t="s">
        <v>188</v>
      </c>
      <c r="E300" s="64">
        <v>5</v>
      </c>
      <c r="F300" s="987">
        <f>+ROUND(Materiales[[#This Row],[PRECIO BASE]]*(1+Materiales[[#This Row],[AJUSTE POSITIVO]]),0)</f>
        <v>28964</v>
      </c>
      <c r="G300" s="994">
        <v>25186</v>
      </c>
      <c r="H300" s="1011">
        <f t="shared" si="9"/>
        <v>0.15</v>
      </c>
      <c r="I300" s="293"/>
    </row>
    <row r="301" spans="1:9" ht="14.5">
      <c r="A301" s="985">
        <v>307</v>
      </c>
      <c r="B301" s="985"/>
      <c r="C301" s="1010" t="s">
        <v>1675</v>
      </c>
      <c r="D301" s="998" t="s">
        <v>1668</v>
      </c>
      <c r="E301" s="64">
        <v>0.5</v>
      </c>
      <c r="F301" s="987">
        <f>+ROUND(Materiales[[#This Row],[PRECIO BASE]]*(1+Materiales[[#This Row],[AJUSTE POSITIVO]]),0)</f>
        <v>4552</v>
      </c>
      <c r="G301" s="994">
        <v>3958</v>
      </c>
      <c r="H301" s="1011">
        <f t="shared" ref="H301:H332" si="10">+$H$2</f>
        <v>0.15</v>
      </c>
      <c r="I301" s="293"/>
    </row>
    <row r="302" spans="1:9" ht="14.5">
      <c r="A302" s="985">
        <v>308</v>
      </c>
      <c r="B302" s="985"/>
      <c r="C302" s="1014" t="s">
        <v>1676</v>
      </c>
      <c r="D302" s="998" t="s">
        <v>188</v>
      </c>
      <c r="E302" s="64"/>
      <c r="F302" s="987">
        <f>+ROUND(Materiales[[#This Row],[PRECIO BASE]]*(1+Materiales[[#This Row],[AJUSTE POSITIVO]]),0)</f>
        <v>29899</v>
      </c>
      <c r="G302" s="994">
        <v>25999</v>
      </c>
      <c r="H302" s="1011">
        <f t="shared" si="10"/>
        <v>0.15</v>
      </c>
      <c r="I302" s="293"/>
    </row>
    <row r="303" spans="1:9" ht="14.5">
      <c r="A303" s="985">
        <v>309</v>
      </c>
      <c r="B303" s="985"/>
      <c r="C303" s="1010" t="s">
        <v>1677</v>
      </c>
      <c r="D303" s="998" t="s">
        <v>1668</v>
      </c>
      <c r="E303" s="64">
        <v>0.05</v>
      </c>
      <c r="F303" s="987">
        <f>+ROUND(Materiales[[#This Row],[PRECIO BASE]]*(1+Materiales[[#This Row],[AJUSTE POSITIVO]]),0)</f>
        <v>4177</v>
      </c>
      <c r="G303" s="994">
        <v>3632</v>
      </c>
      <c r="H303" s="1011">
        <f t="shared" si="10"/>
        <v>0.15</v>
      </c>
      <c r="I303" s="293"/>
    </row>
    <row r="304" spans="1:9">
      <c r="A304" s="985">
        <v>310</v>
      </c>
      <c r="B304" s="985"/>
      <c r="C304" s="1010" t="s">
        <v>1678</v>
      </c>
      <c r="D304" s="998" t="s">
        <v>188</v>
      </c>
      <c r="E304" s="64">
        <v>0.05</v>
      </c>
      <c r="F304" s="987">
        <f>+ROUND(Materiales[[#This Row],[PRECIO BASE]]*(1+Materiales[[#This Row],[AJUSTE POSITIVO]]),0)</f>
        <v>930</v>
      </c>
      <c r="G304" s="994">
        <v>809</v>
      </c>
      <c r="H304" s="1011">
        <f t="shared" si="10"/>
        <v>0.15</v>
      </c>
      <c r="I304" s="1012" t="s">
        <v>1679</v>
      </c>
    </row>
    <row r="305" spans="1:9" ht="14.5">
      <c r="A305" s="985">
        <v>311</v>
      </c>
      <c r="B305" s="985"/>
      <c r="C305" s="1010" t="s">
        <v>1680</v>
      </c>
      <c r="D305" s="998" t="s">
        <v>188</v>
      </c>
      <c r="E305" s="64">
        <v>1</v>
      </c>
      <c r="F305" s="987">
        <f>+ROUND(Materiales[[#This Row],[PRECIO BASE]]*(1+Materiales[[#This Row],[AJUSTE POSITIVO]]),0)</f>
        <v>22770</v>
      </c>
      <c r="G305" s="994">
        <v>19800</v>
      </c>
      <c r="H305" s="1011">
        <f t="shared" si="10"/>
        <v>0.15</v>
      </c>
      <c r="I305" s="293"/>
    </row>
    <row r="306" spans="1:9" ht="14.5">
      <c r="A306" s="985">
        <v>312</v>
      </c>
      <c r="B306" s="985"/>
      <c r="C306" s="1014" t="s">
        <v>1681</v>
      </c>
      <c r="D306" s="998" t="s">
        <v>188</v>
      </c>
      <c r="E306" s="64"/>
      <c r="F306" s="987">
        <f>+ROUND(Materiales[[#This Row],[PRECIO BASE]]*(1+Materiales[[#This Row],[AJUSTE POSITIVO]]),0)</f>
        <v>173920</v>
      </c>
      <c r="G306" s="994">
        <v>151235</v>
      </c>
      <c r="H306" s="1011">
        <f t="shared" si="10"/>
        <v>0.15</v>
      </c>
      <c r="I306" s="293"/>
    </row>
    <row r="307" spans="1:9" ht="14.5">
      <c r="A307" s="985">
        <v>313</v>
      </c>
      <c r="B307" s="985"/>
      <c r="C307" s="1010" t="s">
        <v>1682</v>
      </c>
      <c r="D307" s="998" t="s">
        <v>188</v>
      </c>
      <c r="E307" s="64">
        <v>1</v>
      </c>
      <c r="F307" s="987">
        <f>+ROUND(Materiales[[#This Row],[PRECIO BASE]]*(1+Materiales[[#This Row],[AJUSTE POSITIVO]]),0)</f>
        <v>4515</v>
      </c>
      <c r="G307" s="994">
        <v>3926</v>
      </c>
      <c r="H307" s="1011">
        <f t="shared" si="10"/>
        <v>0.15</v>
      </c>
      <c r="I307" s="293"/>
    </row>
    <row r="308" spans="1:9" ht="14.5">
      <c r="A308" s="985">
        <v>314</v>
      </c>
      <c r="B308" s="985"/>
      <c r="C308" s="1014" t="s">
        <v>1683</v>
      </c>
      <c r="D308" s="998" t="s">
        <v>188</v>
      </c>
      <c r="E308" s="64">
        <v>0.1</v>
      </c>
      <c r="F308" s="987">
        <f>+ROUND(Materiales[[#This Row],[PRECIO BASE]]*(1+Materiales[[#This Row],[AJUSTE POSITIVO]]),0)</f>
        <v>22195</v>
      </c>
      <c r="G308" s="994">
        <v>19300</v>
      </c>
      <c r="H308" s="1011">
        <f t="shared" si="10"/>
        <v>0.15</v>
      </c>
      <c r="I308" s="293"/>
    </row>
    <row r="309" spans="1:9" ht="14.5">
      <c r="A309" s="985">
        <v>315</v>
      </c>
      <c r="B309" s="985"/>
      <c r="C309" s="1010" t="s">
        <v>1684</v>
      </c>
      <c r="D309" s="998" t="s">
        <v>188</v>
      </c>
      <c r="E309" s="64">
        <v>1</v>
      </c>
      <c r="F309" s="987">
        <f>+ROUND(Materiales[[#This Row],[PRECIO BASE]]*(1+Materiales[[#This Row],[AJUSTE POSITIVO]]),0)</f>
        <v>10180</v>
      </c>
      <c r="G309" s="994">
        <v>8852</v>
      </c>
      <c r="H309" s="1011">
        <f t="shared" si="10"/>
        <v>0.15</v>
      </c>
      <c r="I309" s="293"/>
    </row>
    <row r="310" spans="1:9">
      <c r="A310" s="985">
        <v>316</v>
      </c>
      <c r="B310" s="985"/>
      <c r="C310" s="1013" t="s">
        <v>1685</v>
      </c>
      <c r="D310" s="998" t="s">
        <v>1668</v>
      </c>
      <c r="E310" s="64">
        <v>1.034</v>
      </c>
      <c r="F310" s="987">
        <f>+ROUND(Materiales[[#This Row],[PRECIO BASE]]*(1+Materiales[[#This Row],[AJUSTE POSITIVO]]),0)</f>
        <v>44743</v>
      </c>
      <c r="G310" s="994">
        <v>38907</v>
      </c>
      <c r="H310" s="1011">
        <f t="shared" si="10"/>
        <v>0.15</v>
      </c>
      <c r="I310" s="1012" t="s">
        <v>1686</v>
      </c>
    </row>
    <row r="311" spans="1:9">
      <c r="A311" s="985">
        <v>317</v>
      </c>
      <c r="B311" s="985"/>
      <c r="C311" s="1013" t="s">
        <v>1687</v>
      </c>
      <c r="D311" s="998" t="s">
        <v>1668</v>
      </c>
      <c r="E311" s="64"/>
      <c r="F311" s="987">
        <f>+ROUND(Materiales[[#This Row],[PRECIO BASE]]*(1+Materiales[[#This Row],[AJUSTE POSITIVO]]),0)</f>
        <v>10235</v>
      </c>
      <c r="G311" s="994">
        <v>8900</v>
      </c>
      <c r="H311" s="1011">
        <f t="shared" si="10"/>
        <v>0.15</v>
      </c>
      <c r="I311" s="1012" t="s">
        <v>1688</v>
      </c>
    </row>
    <row r="312" spans="1:9">
      <c r="A312" s="985">
        <v>318</v>
      </c>
      <c r="B312" s="985"/>
      <c r="C312" s="1013" t="s">
        <v>1689</v>
      </c>
      <c r="D312" s="998" t="s">
        <v>1668</v>
      </c>
      <c r="E312" s="64"/>
      <c r="F312" s="987">
        <f>+ROUND(Materiales[[#This Row],[PRECIO BASE]]*(1+Materiales[[#This Row],[AJUSTE POSITIVO]]),0)</f>
        <v>15985</v>
      </c>
      <c r="G312" s="994">
        <v>13900</v>
      </c>
      <c r="H312" s="1011">
        <f t="shared" si="10"/>
        <v>0.15</v>
      </c>
      <c r="I312" s="1012" t="s">
        <v>1690</v>
      </c>
    </row>
    <row r="313" spans="1:9" ht="14.5">
      <c r="A313" s="985">
        <v>319</v>
      </c>
      <c r="B313" s="985"/>
      <c r="C313" s="1010" t="s">
        <v>1691</v>
      </c>
      <c r="D313" s="998" t="s">
        <v>188</v>
      </c>
      <c r="E313" s="64"/>
      <c r="F313" s="987">
        <f>+ROUND(Materiales[[#This Row],[PRECIO BASE]]*(1+Materiales[[#This Row],[AJUSTE POSITIVO]]),0)</f>
        <v>1610</v>
      </c>
      <c r="G313" s="994">
        <v>1400</v>
      </c>
      <c r="H313" s="1011">
        <f t="shared" si="10"/>
        <v>0.15</v>
      </c>
      <c r="I313" s="293"/>
    </row>
    <row r="314" spans="1:9">
      <c r="A314" s="985">
        <v>320</v>
      </c>
      <c r="B314" s="985"/>
      <c r="C314" s="1010" t="s">
        <v>1692</v>
      </c>
      <c r="D314" s="998" t="s">
        <v>188</v>
      </c>
      <c r="E314" s="64"/>
      <c r="F314" s="987">
        <f>+ROUND(Materiales[[#This Row],[PRECIO BASE]]*(1+Materiales[[#This Row],[AJUSTE POSITIVO]]),0)</f>
        <v>1093</v>
      </c>
      <c r="G314" s="994">
        <v>950</v>
      </c>
      <c r="H314" s="1011">
        <f t="shared" si="10"/>
        <v>0.15</v>
      </c>
      <c r="I314" s="1012" t="s">
        <v>1693</v>
      </c>
    </row>
    <row r="315" spans="1:9">
      <c r="A315" s="985">
        <v>321</v>
      </c>
      <c r="B315" s="985"/>
      <c r="C315" s="1010" t="s">
        <v>1694</v>
      </c>
      <c r="D315" s="998" t="s">
        <v>188</v>
      </c>
      <c r="E315" s="64"/>
      <c r="F315" s="987">
        <f>+ROUND(Materiales[[#This Row],[PRECIO BASE]]*(1+Materiales[[#This Row],[AJUSTE POSITIVO]]),0)</f>
        <v>1898</v>
      </c>
      <c r="G315" s="994">
        <v>1650</v>
      </c>
      <c r="H315" s="1011">
        <f t="shared" si="10"/>
        <v>0.15</v>
      </c>
      <c r="I315" s="1012" t="s">
        <v>1695</v>
      </c>
    </row>
    <row r="316" spans="1:9">
      <c r="A316" s="985">
        <v>322</v>
      </c>
      <c r="B316" s="985"/>
      <c r="C316" s="1010" t="s">
        <v>1696</v>
      </c>
      <c r="D316" s="998" t="s">
        <v>188</v>
      </c>
      <c r="E316" s="64"/>
      <c r="F316" s="987">
        <f>+ROUND(Materiales[[#This Row],[PRECIO BASE]]*(1+Materiales[[#This Row],[AJUSTE POSITIVO]]),0)</f>
        <v>19640850</v>
      </c>
      <c r="G316" s="994">
        <v>17079000</v>
      </c>
      <c r="H316" s="1011">
        <f t="shared" si="10"/>
        <v>0.15</v>
      </c>
      <c r="I316" s="1012" t="s">
        <v>1697</v>
      </c>
    </row>
    <row r="317" spans="1:9">
      <c r="A317" s="985">
        <v>323</v>
      </c>
      <c r="B317" s="985"/>
      <c r="C317" s="1010" t="s">
        <v>1698</v>
      </c>
      <c r="D317" s="998" t="s">
        <v>188</v>
      </c>
      <c r="E317" s="64"/>
      <c r="F317" s="987">
        <f>+ROUND(Materiales[[#This Row],[PRECIO BASE]]*(1+Materiales[[#This Row],[AJUSTE POSITIVO]]),0)</f>
        <v>35754650</v>
      </c>
      <c r="G317" s="994">
        <v>31091000</v>
      </c>
      <c r="H317" s="1011">
        <f t="shared" si="10"/>
        <v>0.15</v>
      </c>
      <c r="I317" s="1012" t="s">
        <v>1699</v>
      </c>
    </row>
    <row r="318" spans="1:9">
      <c r="A318" s="985">
        <v>324</v>
      </c>
      <c r="B318" s="985"/>
      <c r="C318" s="1010" t="s">
        <v>1700</v>
      </c>
      <c r="D318" s="998" t="s">
        <v>188</v>
      </c>
      <c r="E318" s="64"/>
      <c r="F318" s="987">
        <f>+ROUND(Materiales[[#This Row],[PRECIO BASE]]*(1+Materiales[[#This Row],[AJUSTE POSITIVO]]),0)</f>
        <v>45881550</v>
      </c>
      <c r="G318" s="994">
        <v>39897000</v>
      </c>
      <c r="H318" s="1011">
        <f t="shared" si="10"/>
        <v>0.15</v>
      </c>
      <c r="I318" s="1012" t="s">
        <v>1701</v>
      </c>
    </row>
    <row r="319" spans="1:9" ht="14.5">
      <c r="A319" s="985">
        <v>325</v>
      </c>
      <c r="B319" s="985"/>
      <c r="C319" s="1010" t="s">
        <v>1702</v>
      </c>
      <c r="D319" s="998" t="s">
        <v>188</v>
      </c>
      <c r="E319" s="64"/>
      <c r="F319" s="987">
        <f>+ROUND(Materiales[[#This Row],[PRECIO BASE]]*(1+Materiales[[#This Row],[AJUSTE POSITIVO]]),0)</f>
        <v>32205750</v>
      </c>
      <c r="G319" s="994">
        <v>28005000</v>
      </c>
      <c r="H319" s="1011">
        <f t="shared" si="10"/>
        <v>0.15</v>
      </c>
      <c r="I319" s="293"/>
    </row>
    <row r="320" spans="1:9" ht="37.5">
      <c r="A320" s="985">
        <v>326</v>
      </c>
      <c r="B320" s="985"/>
      <c r="C320" s="1010" t="s">
        <v>1703</v>
      </c>
      <c r="D320" s="998" t="s">
        <v>188</v>
      </c>
      <c r="E320" s="64"/>
      <c r="F320" s="987">
        <f>+ROUND(Materiales[[#This Row],[PRECIO BASE]]*(1+Materiales[[#This Row],[AJUSTE POSITIVO]]),0)</f>
        <v>5152403</v>
      </c>
      <c r="G320" s="994">
        <v>4480350</v>
      </c>
      <c r="H320" s="1011">
        <f t="shared" si="10"/>
        <v>0.15</v>
      </c>
      <c r="I320" s="1012" t="s">
        <v>1704</v>
      </c>
    </row>
    <row r="321" spans="1:9" ht="14.5">
      <c r="A321" s="985">
        <v>327</v>
      </c>
      <c r="B321" s="985"/>
      <c r="C321" s="1010" t="s">
        <v>1705</v>
      </c>
      <c r="D321" s="998" t="s">
        <v>188</v>
      </c>
      <c r="E321" s="64">
        <v>3</v>
      </c>
      <c r="F321" s="987">
        <f>+ROUND(Materiales[[#This Row],[PRECIO BASE]]*(1+Materiales[[#This Row],[AJUSTE POSITIVO]]),0)</f>
        <v>279278</v>
      </c>
      <c r="G321" s="994">
        <v>242850</v>
      </c>
      <c r="H321" s="1011">
        <f t="shared" si="10"/>
        <v>0.15</v>
      </c>
      <c r="I321" s="293"/>
    </row>
    <row r="322" spans="1:9">
      <c r="A322" s="985">
        <v>328</v>
      </c>
      <c r="B322" s="985"/>
      <c r="C322" s="1010" t="s">
        <v>1706</v>
      </c>
      <c r="D322" s="998" t="s">
        <v>188</v>
      </c>
      <c r="E322" s="64"/>
      <c r="F322" s="987">
        <f>+ROUND(Materiales[[#This Row],[PRECIO BASE]]*(1+Materiales[[#This Row],[AJUSTE POSITIVO]]),0)</f>
        <v>158700</v>
      </c>
      <c r="G322" s="994">
        <v>138000</v>
      </c>
      <c r="H322" s="1011">
        <f t="shared" si="10"/>
        <v>0.15</v>
      </c>
      <c r="I322" s="1012" t="s">
        <v>1707</v>
      </c>
    </row>
    <row r="323" spans="1:9">
      <c r="A323" s="985">
        <v>329</v>
      </c>
      <c r="B323" s="985"/>
      <c r="C323" s="1014" t="s">
        <v>1708</v>
      </c>
      <c r="D323" s="998" t="s">
        <v>188</v>
      </c>
      <c r="E323" s="64"/>
      <c r="F323" s="987">
        <f>+ROUND(Materiales[[#This Row],[PRECIO BASE]]*(1+Materiales[[#This Row],[AJUSTE POSITIVO]]),0)</f>
        <v>296528</v>
      </c>
      <c r="G323" s="994">
        <v>257850</v>
      </c>
      <c r="H323" s="1011">
        <f t="shared" si="10"/>
        <v>0.15</v>
      </c>
      <c r="I323" s="1012" t="s">
        <v>1709</v>
      </c>
    </row>
    <row r="324" spans="1:9" ht="14.5">
      <c r="A324" s="985">
        <v>330</v>
      </c>
      <c r="B324" s="985"/>
      <c r="C324" s="1010" t="s">
        <v>1710</v>
      </c>
      <c r="D324" s="998" t="s">
        <v>188</v>
      </c>
      <c r="E324" s="64"/>
      <c r="F324" s="987">
        <f>+ROUND(Materiales[[#This Row],[PRECIO BASE]]*(1+Materiales[[#This Row],[AJUSTE POSITIVO]]),0)</f>
        <v>31683</v>
      </c>
      <c r="G324" s="994">
        <v>27550</v>
      </c>
      <c r="H324" s="1011">
        <f t="shared" si="10"/>
        <v>0.15</v>
      </c>
      <c r="I324" s="293"/>
    </row>
    <row r="325" spans="1:9" ht="14.5">
      <c r="A325" s="985">
        <v>331</v>
      </c>
      <c r="B325" s="985"/>
      <c r="C325" s="1015" t="s">
        <v>1711</v>
      </c>
      <c r="D325" s="998" t="s">
        <v>188</v>
      </c>
      <c r="E325" s="64"/>
      <c r="F325" s="987">
        <f>+ROUND(Materiales[[#This Row],[PRECIO BASE]]*(1+Materiales[[#This Row],[AJUSTE POSITIVO]]),0)</f>
        <v>31165</v>
      </c>
      <c r="G325" s="994">
        <v>27100</v>
      </c>
      <c r="H325" s="1011">
        <f t="shared" si="10"/>
        <v>0.15</v>
      </c>
      <c r="I325" s="293"/>
    </row>
    <row r="326" spans="1:9">
      <c r="A326" s="985">
        <v>332</v>
      </c>
      <c r="B326" s="985"/>
      <c r="C326" s="1010" t="s">
        <v>1712</v>
      </c>
      <c r="D326" s="998" t="s">
        <v>188</v>
      </c>
      <c r="E326" s="64"/>
      <c r="F326" s="987">
        <f>+ROUND(Materiales[[#This Row],[PRECIO BASE]]*(1+Materiales[[#This Row],[AJUSTE POSITIVO]]),0)</f>
        <v>0</v>
      </c>
      <c r="G326" s="994"/>
      <c r="H326" s="1011">
        <f t="shared" si="10"/>
        <v>0.15</v>
      </c>
      <c r="I326" s="1012" t="s">
        <v>1654</v>
      </c>
    </row>
    <row r="327" spans="1:9">
      <c r="A327" s="985">
        <v>333</v>
      </c>
      <c r="B327" s="985"/>
      <c r="C327" s="1010" t="s">
        <v>1713</v>
      </c>
      <c r="D327" s="998" t="s">
        <v>188</v>
      </c>
      <c r="E327" s="64">
        <v>0.1</v>
      </c>
      <c r="F327" s="987">
        <f>+ROUND(Materiales[[#This Row],[PRECIO BASE]]*(1+Materiales[[#This Row],[AJUSTE POSITIVO]]),0)</f>
        <v>4773</v>
      </c>
      <c r="G327" s="994">
        <v>4150</v>
      </c>
      <c r="H327" s="1011">
        <f t="shared" si="10"/>
        <v>0.15</v>
      </c>
      <c r="I327" s="1012" t="s">
        <v>1652</v>
      </c>
    </row>
    <row r="328" spans="1:9">
      <c r="A328" s="985">
        <v>334</v>
      </c>
      <c r="B328" s="985"/>
      <c r="C328" s="1010" t="s">
        <v>1714</v>
      </c>
      <c r="D328" s="998" t="s">
        <v>188</v>
      </c>
      <c r="E328" s="64">
        <v>1</v>
      </c>
      <c r="F328" s="987">
        <f>+ROUND(Materiales[[#This Row],[PRECIO BASE]]*(1+Materiales[[#This Row],[AJUSTE POSITIVO]]),0)</f>
        <v>79523</v>
      </c>
      <c r="G328" s="994">
        <v>69150</v>
      </c>
      <c r="H328" s="1011">
        <f t="shared" si="10"/>
        <v>0.15</v>
      </c>
      <c r="I328" s="34"/>
    </row>
    <row r="329" spans="1:9">
      <c r="A329" s="985">
        <v>335</v>
      </c>
      <c r="B329" s="985"/>
      <c r="C329" s="103" t="s">
        <v>1715</v>
      </c>
      <c r="D329" s="998" t="s">
        <v>188</v>
      </c>
      <c r="E329" s="64">
        <v>199</v>
      </c>
      <c r="F329" s="987">
        <f>+ROUND(Materiales[[#This Row],[PRECIO BASE]]*(1+Materiales[[#This Row],[AJUSTE POSITIVO]]),0)</f>
        <v>1160448</v>
      </c>
      <c r="G329" s="994">
        <v>1009085</v>
      </c>
      <c r="H329" s="1011">
        <f t="shared" si="10"/>
        <v>0.15</v>
      </c>
      <c r="I329" s="34"/>
    </row>
    <row r="330" spans="1:9">
      <c r="A330" s="985">
        <v>336</v>
      </c>
      <c r="B330" s="985" t="s">
        <v>1449</v>
      </c>
      <c r="C330" s="103" t="s">
        <v>1716</v>
      </c>
      <c r="D330" s="998" t="s">
        <v>188</v>
      </c>
      <c r="E330" s="64">
        <v>21</v>
      </c>
      <c r="F330" s="987">
        <f>+ROUND(Materiales[[#This Row],[PRECIO BASE]]*(1+Materiales[[#This Row],[AJUSTE POSITIVO]]),0)</f>
        <v>501145</v>
      </c>
      <c r="G330" s="994">
        <v>435778</v>
      </c>
      <c r="H330" s="1011">
        <f t="shared" si="10"/>
        <v>0.15</v>
      </c>
      <c r="I330" s="34" t="s">
        <v>1717</v>
      </c>
    </row>
    <row r="331" spans="1:9">
      <c r="A331" s="985">
        <v>337</v>
      </c>
      <c r="B331" s="985"/>
      <c r="C331" s="966" t="s">
        <v>1718</v>
      </c>
      <c r="D331" s="997" t="s">
        <v>188</v>
      </c>
      <c r="E331" s="64">
        <v>57</v>
      </c>
      <c r="F331" s="987">
        <f>+ROUND(Materiales[[#This Row],[PRECIO BASE]]*(1+Materiales[[#This Row],[AJUSTE POSITIVO]]),0)</f>
        <v>10512974</v>
      </c>
      <c r="G331" s="994">
        <v>9141716.8499999996</v>
      </c>
      <c r="H331" s="1017">
        <f t="shared" si="10"/>
        <v>0.15</v>
      </c>
      <c r="I331" s="34"/>
    </row>
    <row r="332" spans="1:9" ht="37.5">
      <c r="A332" s="985">
        <v>340</v>
      </c>
      <c r="B332" s="985" t="s">
        <v>1449</v>
      </c>
      <c r="C332" s="1010" t="s">
        <v>1719</v>
      </c>
      <c r="D332" s="998" t="s">
        <v>188</v>
      </c>
      <c r="E332" s="64">
        <v>33.200000000000003</v>
      </c>
      <c r="F332" s="987">
        <f>+ROUND(Materiales[[#This Row],[PRECIO BASE]]*(1+Materiales[[#This Row],[AJUSTE POSITIVO]]),0)</f>
        <v>863650</v>
      </c>
      <c r="G332" s="994">
        <v>751000</v>
      </c>
      <c r="H332" s="1017">
        <f t="shared" si="10"/>
        <v>0.15</v>
      </c>
      <c r="I332" s="34"/>
    </row>
    <row r="333" spans="1:9">
      <c r="A333" s="985">
        <v>341</v>
      </c>
      <c r="B333" s="985" t="s">
        <v>1329</v>
      </c>
      <c r="C333" s="103" t="s">
        <v>1720</v>
      </c>
      <c r="D333" s="998" t="s">
        <v>188</v>
      </c>
      <c r="E333" s="64">
        <v>0.24</v>
      </c>
      <c r="F333" s="987">
        <f>+ROUND(Materiales[[#This Row],[PRECIO BASE]]*(1+Materiales[[#This Row],[AJUSTE POSITIVO]]),0)</f>
        <v>95450</v>
      </c>
      <c r="G333" s="994">
        <v>83000</v>
      </c>
      <c r="H333" s="1017">
        <f t="shared" ref="H333:H343" si="11">+$H$2</f>
        <v>0.15</v>
      </c>
      <c r="I333" s="737"/>
    </row>
    <row r="334" spans="1:9" ht="13">
      <c r="A334" s="985">
        <v>342</v>
      </c>
      <c r="B334" s="985" t="s">
        <v>1721</v>
      </c>
      <c r="C334" s="1123" t="s">
        <v>1722</v>
      </c>
      <c r="D334" s="998" t="s">
        <v>188</v>
      </c>
      <c r="E334" s="64">
        <v>1</v>
      </c>
      <c r="F334" s="987">
        <f>+ROUND(Materiales[[#This Row],[PRECIO BASE]]*(1+Materiales[[#This Row],[AJUSTE POSITIVO]]),0)</f>
        <v>399602</v>
      </c>
      <c r="G334" s="994">
        <v>347480</v>
      </c>
      <c r="H334" s="1017">
        <f t="shared" si="11"/>
        <v>0.15</v>
      </c>
      <c r="I334" s="34"/>
    </row>
    <row r="335" spans="1:9" ht="13">
      <c r="A335" s="985">
        <v>343</v>
      </c>
      <c r="B335" s="985" t="s">
        <v>1721</v>
      </c>
      <c r="C335" s="1123" t="s">
        <v>1723</v>
      </c>
      <c r="D335" s="998" t="s">
        <v>188</v>
      </c>
      <c r="E335" s="64">
        <v>1</v>
      </c>
      <c r="F335" s="987">
        <f>+ROUND(Materiales[[#This Row],[PRECIO BASE]]*(1+Materiales[[#This Row],[AJUSTE POSITIVO]]),0)</f>
        <v>112217</v>
      </c>
      <c r="G335" s="994">
        <v>97580</v>
      </c>
      <c r="H335" s="1017">
        <f t="shared" si="11"/>
        <v>0.15</v>
      </c>
      <c r="I335" s="34"/>
    </row>
    <row r="336" spans="1:9" ht="13">
      <c r="A336" s="985">
        <v>344</v>
      </c>
      <c r="B336" s="985" t="s">
        <v>1721</v>
      </c>
      <c r="C336" s="1123" t="s">
        <v>1724</v>
      </c>
      <c r="D336" s="998" t="s">
        <v>188</v>
      </c>
      <c r="E336" s="64">
        <v>0.2</v>
      </c>
      <c r="F336" s="987">
        <f>+ROUND(Materiales[[#This Row],[PRECIO BASE]]*(1+Materiales[[#This Row],[AJUSTE POSITIVO]]),0)</f>
        <v>218960</v>
      </c>
      <c r="G336" s="994">
        <v>190400</v>
      </c>
      <c r="H336" s="1017">
        <f t="shared" si="11"/>
        <v>0.15</v>
      </c>
      <c r="I336" s="34"/>
    </row>
    <row r="337" spans="1:9" ht="13">
      <c r="A337" s="1092">
        <v>345</v>
      </c>
      <c r="B337" s="1092" t="s">
        <v>1721</v>
      </c>
      <c r="C337" s="1134" t="s">
        <v>1725</v>
      </c>
      <c r="D337" s="1093" t="s">
        <v>188</v>
      </c>
      <c r="E337" s="1094"/>
      <c r="F337" s="1095">
        <f>+ROUND(Materiales[[#This Row],[PRECIO BASE]]*(1+Materiales[[#This Row],[AJUSTE POSITIVO]]),0)</f>
        <v>20527500</v>
      </c>
      <c r="G337" s="1096">
        <v>17850000</v>
      </c>
      <c r="H337" s="1145">
        <f t="shared" si="11"/>
        <v>0.15</v>
      </c>
      <c r="I337" s="1097"/>
    </row>
    <row r="338" spans="1:9" ht="44.15" customHeight="1">
      <c r="A338" s="997">
        <v>346</v>
      </c>
      <c r="B338" s="997" t="s">
        <v>1721</v>
      </c>
      <c r="C338" s="1123" t="s">
        <v>1726</v>
      </c>
      <c r="D338" s="998" t="s">
        <v>188</v>
      </c>
      <c r="E338" s="999"/>
      <c r="F338" s="987">
        <f>+ROUND(Materiales[[#This Row],[PRECIO BASE]]*(1+Materiales[[#This Row],[AJUSTE POSITIVO]]),0)</f>
        <v>13685000</v>
      </c>
      <c r="G338" s="994">
        <v>11900000</v>
      </c>
      <c r="H338" s="995">
        <f t="shared" si="11"/>
        <v>0.15</v>
      </c>
      <c r="I338" s="34"/>
    </row>
    <row r="339" spans="1:9" ht="13">
      <c r="A339" s="997">
        <v>347</v>
      </c>
      <c r="B339" s="985" t="s">
        <v>1721</v>
      </c>
      <c r="C339" s="1016" t="s">
        <v>1727</v>
      </c>
      <c r="D339" s="998" t="s">
        <v>188</v>
      </c>
      <c r="E339" s="64"/>
      <c r="F339" s="987">
        <f>+ROUND(Materiales[[#This Row],[PRECIO BASE]]*(1+Materiales[[#This Row],[AJUSTE POSITIVO]]),0)</f>
        <v>13685000</v>
      </c>
      <c r="G339" s="994">
        <v>11900000</v>
      </c>
      <c r="H339" s="995">
        <f t="shared" si="11"/>
        <v>0.15</v>
      </c>
      <c r="I339" s="34"/>
    </row>
    <row r="340" spans="1:9" ht="13">
      <c r="A340" s="997">
        <v>348</v>
      </c>
      <c r="B340" s="985" t="s">
        <v>1721</v>
      </c>
      <c r="C340" s="1016" t="s">
        <v>1728</v>
      </c>
      <c r="D340" s="998" t="s">
        <v>188</v>
      </c>
      <c r="E340" s="64"/>
      <c r="F340" s="987">
        <f>+ROUND(Materiales[[#This Row],[PRECIO BASE]]*(1+Materiales[[#This Row],[AJUSTE POSITIVO]]),0)</f>
        <v>7499380</v>
      </c>
      <c r="G340" s="994">
        <v>6521200</v>
      </c>
      <c r="H340" s="995">
        <f t="shared" si="11"/>
        <v>0.15</v>
      </c>
      <c r="I340" s="34"/>
    </row>
    <row r="341" spans="1:9" ht="13">
      <c r="A341" s="997">
        <v>349</v>
      </c>
      <c r="B341" s="985" t="s">
        <v>1721</v>
      </c>
      <c r="C341" s="1016" t="s">
        <v>1729</v>
      </c>
      <c r="D341" s="998" t="s">
        <v>188</v>
      </c>
      <c r="E341" s="64"/>
      <c r="F341" s="987">
        <f>+ROUND(Materiales[[#This Row],[PRECIO BASE]]*(1+Materiales[[#This Row],[AJUSTE POSITIVO]]),0)</f>
        <v>3010700</v>
      </c>
      <c r="G341" s="994">
        <v>2618000</v>
      </c>
      <c r="H341" s="995">
        <f t="shared" si="11"/>
        <v>0.15</v>
      </c>
      <c r="I341" s="34"/>
    </row>
    <row r="342" spans="1:9" s="1098" customFormat="1" ht="13">
      <c r="A342" s="997">
        <v>350</v>
      </c>
      <c r="B342" s="985" t="s">
        <v>1721</v>
      </c>
      <c r="C342" s="1016" t="s">
        <v>1730</v>
      </c>
      <c r="D342" s="998" t="s">
        <v>188</v>
      </c>
      <c r="E342" s="64"/>
      <c r="F342" s="987">
        <f>+ROUND(Materiales[[#This Row],[PRECIO BASE]]*(1+Materiales[[#This Row],[AJUSTE POSITIVO]]),0)</f>
        <v>10181640</v>
      </c>
      <c r="G342" s="994">
        <v>8853600</v>
      </c>
      <c r="H342" s="995">
        <f t="shared" si="11"/>
        <v>0.15</v>
      </c>
      <c r="I342" s="34"/>
    </row>
    <row r="343" spans="1:9" ht="13">
      <c r="A343" s="997">
        <v>351</v>
      </c>
      <c r="B343" s="985" t="s">
        <v>1721</v>
      </c>
      <c r="C343" s="1016" t="s">
        <v>1731</v>
      </c>
      <c r="D343" s="998" t="s">
        <v>188</v>
      </c>
      <c r="E343" s="64">
        <v>0.2</v>
      </c>
      <c r="F343" s="987">
        <f>+ROUND(Materiales[[#This Row],[PRECIO BASE]]*(1+Materiales[[#This Row],[AJUSTE POSITIVO]]),0)</f>
        <v>3010700</v>
      </c>
      <c r="G343" s="994">
        <v>2618000</v>
      </c>
      <c r="H343" s="995">
        <f t="shared" si="11"/>
        <v>0.15</v>
      </c>
      <c r="I343" s="34"/>
    </row>
    <row r="344" spans="1:9">
      <c r="A344" s="997">
        <v>352</v>
      </c>
      <c r="B344" s="985" t="s">
        <v>1721</v>
      </c>
      <c r="C344" s="1124" t="s">
        <v>1732</v>
      </c>
      <c r="D344" s="998" t="s">
        <v>188</v>
      </c>
      <c r="E344" s="64">
        <v>1</v>
      </c>
      <c r="F344" s="987">
        <f>+ROUND(Materiales[[#This Row],[PRECIO BASE]]*(1+Materiales[[#This Row],[AJUSTE POSITIVO]]),0)</f>
        <v>416500</v>
      </c>
      <c r="G344" s="994">
        <v>416500</v>
      </c>
      <c r="H344" s="1143">
        <v>0</v>
      </c>
      <c r="I344" s="34"/>
    </row>
    <row r="345" spans="1:9" ht="30" customHeight="1">
      <c r="A345" s="997">
        <v>353</v>
      </c>
      <c r="B345" s="985" t="s">
        <v>1721</v>
      </c>
      <c r="C345" s="1124" t="s">
        <v>1733</v>
      </c>
      <c r="D345" s="998" t="s">
        <v>188</v>
      </c>
      <c r="E345" s="64">
        <v>0.2</v>
      </c>
      <c r="F345" s="987">
        <f>+ROUND(Materiales[[#This Row],[PRECIO BASE]]*(1+Materiales[[#This Row],[AJUSTE POSITIVO]]),0)</f>
        <v>13685000</v>
      </c>
      <c r="G345" s="994">
        <v>13685000</v>
      </c>
      <c r="H345" s="1143">
        <v>0</v>
      </c>
      <c r="I345" s="34"/>
    </row>
    <row r="346" spans="1:9">
      <c r="A346" s="997">
        <v>354</v>
      </c>
      <c r="B346" s="985" t="s">
        <v>1721</v>
      </c>
      <c r="C346" s="1124" t="s">
        <v>1734</v>
      </c>
      <c r="D346" s="998" t="s">
        <v>188</v>
      </c>
      <c r="E346" s="64">
        <v>0.2</v>
      </c>
      <c r="F346" s="987">
        <f>+ROUND(Materiales[[#This Row],[PRECIO BASE]]*(1+Materiales[[#This Row],[AJUSTE POSITIVO]]),0)</f>
        <v>3694950</v>
      </c>
      <c r="G346" s="994">
        <v>3694949.9999999991</v>
      </c>
      <c r="H346" s="1143">
        <v>0</v>
      </c>
      <c r="I346" s="34"/>
    </row>
    <row r="347" spans="1:9">
      <c r="A347" s="997">
        <v>355</v>
      </c>
      <c r="B347" s="985" t="s">
        <v>1721</v>
      </c>
      <c r="C347" s="1124" t="s">
        <v>1735</v>
      </c>
      <c r="D347" s="998" t="s">
        <v>188</v>
      </c>
      <c r="E347" s="64">
        <v>0.2</v>
      </c>
      <c r="F347" s="987">
        <f>+ROUND(Materiales[[#This Row],[PRECIO BASE]]*(1+Materiales[[#This Row],[AJUSTE POSITIVO]]),0)</f>
        <v>410550</v>
      </c>
      <c r="G347" s="994">
        <v>410550</v>
      </c>
      <c r="H347" s="1143">
        <v>0</v>
      </c>
      <c r="I347" s="34"/>
    </row>
    <row r="348" spans="1:9" ht="32.15" customHeight="1">
      <c r="A348" s="997">
        <v>356</v>
      </c>
      <c r="B348" s="985" t="s">
        <v>1721</v>
      </c>
      <c r="C348" s="1124" t="s">
        <v>1736</v>
      </c>
      <c r="D348" s="998" t="s">
        <v>188</v>
      </c>
      <c r="E348" s="64">
        <v>0.2</v>
      </c>
      <c r="F348" s="987">
        <f>+ROUND(Materiales[[#This Row],[PRECIO BASE]]*(1+Materiales[[#This Row],[AJUSTE POSITIVO]]),0)</f>
        <v>4885545</v>
      </c>
      <c r="G348" s="994">
        <v>4885544.9999999991</v>
      </c>
      <c r="H348" s="1143">
        <v>0</v>
      </c>
      <c r="I348" s="34"/>
    </row>
    <row r="349" spans="1:9" ht="32.15" customHeight="1">
      <c r="A349" s="985">
        <v>357</v>
      </c>
      <c r="B349" s="985" t="s">
        <v>1721</v>
      </c>
      <c r="C349" s="1124" t="s">
        <v>1737</v>
      </c>
      <c r="D349" s="998" t="s">
        <v>188</v>
      </c>
      <c r="E349" s="64">
        <v>0.2</v>
      </c>
      <c r="F349" s="987">
        <f>+ROUND(Materiales[[#This Row],[PRECIO BASE]]*(1+Materiales[[#This Row],[AJUSTE POSITIVO]]),0)</f>
        <v>4563948</v>
      </c>
      <c r="G349" s="994">
        <v>4563947.4999999991</v>
      </c>
      <c r="H349" s="1001"/>
      <c r="I349" s="34"/>
    </row>
    <row r="350" spans="1:9" ht="32.15" customHeight="1">
      <c r="A350" s="985">
        <v>358</v>
      </c>
      <c r="B350" s="985" t="s">
        <v>1449</v>
      </c>
      <c r="C350" s="1128" t="s">
        <v>1738</v>
      </c>
      <c r="D350" s="1140" t="s">
        <v>990</v>
      </c>
      <c r="E350" s="64">
        <v>29.26</v>
      </c>
      <c r="F350" s="987">
        <f>+ROUND(Materiales[[#This Row],[PRECIO BASE]]*(1+Materiales[[#This Row],[AJUSTE POSITIVO]]),0)</f>
        <v>294529</v>
      </c>
      <c r="G350" s="994">
        <v>256112</v>
      </c>
      <c r="H350" s="1018">
        <f t="shared" ref="H350:H397" si="12">+$H$2</f>
        <v>0.15</v>
      </c>
      <c r="I350" s="34"/>
    </row>
    <row r="351" spans="1:9" ht="32.15" customHeight="1">
      <c r="A351" s="985">
        <v>359</v>
      </c>
      <c r="B351" s="985" t="s">
        <v>1449</v>
      </c>
      <c r="C351" s="1128" t="s">
        <v>1739</v>
      </c>
      <c r="D351" s="1140" t="s">
        <v>1130</v>
      </c>
      <c r="E351" s="64">
        <v>2</v>
      </c>
      <c r="F351" s="987">
        <f>+ROUND(Materiales[[#This Row],[PRECIO BASE]]*(1+Materiales[[#This Row],[AJUSTE POSITIVO]]),0)</f>
        <v>35075</v>
      </c>
      <c r="G351" s="994">
        <v>30500</v>
      </c>
      <c r="H351" s="1018">
        <f t="shared" si="12"/>
        <v>0.15</v>
      </c>
      <c r="I351" s="34"/>
    </row>
    <row r="352" spans="1:9" ht="32.15" customHeight="1">
      <c r="A352" s="985">
        <v>360</v>
      </c>
      <c r="B352" s="985" t="s">
        <v>1311</v>
      </c>
      <c r="C352" s="1124" t="s">
        <v>1740</v>
      </c>
      <c r="D352" s="997" t="s">
        <v>188</v>
      </c>
      <c r="E352" s="64">
        <v>38.5</v>
      </c>
      <c r="F352" s="987">
        <f>+ROUND(Materiales[[#This Row],[PRECIO BASE]]*(1+Materiales[[#This Row],[AJUSTE POSITIVO]]),0)</f>
        <v>867147</v>
      </c>
      <c r="G352" s="994">
        <v>754041</v>
      </c>
      <c r="H352" s="995">
        <f t="shared" si="12"/>
        <v>0.15</v>
      </c>
      <c r="I352" s="34"/>
    </row>
    <row r="353" spans="1:9" ht="32.15" customHeight="1">
      <c r="A353" s="985">
        <v>361</v>
      </c>
      <c r="B353" s="985"/>
      <c r="C353" s="1135" t="s">
        <v>1741</v>
      </c>
      <c r="D353" s="997" t="s">
        <v>188</v>
      </c>
      <c r="E353" s="64">
        <v>80</v>
      </c>
      <c r="F353" s="987">
        <f>+ROUND(Materiales[[#This Row],[PRECIO BASE]]*(1+Materiales[[#This Row],[AJUSTE POSITIVO]]),0)</f>
        <v>11165150</v>
      </c>
      <c r="G353" s="994">
        <v>9708826</v>
      </c>
      <c r="H353" s="995">
        <f t="shared" si="12"/>
        <v>0.15</v>
      </c>
      <c r="I353" s="34"/>
    </row>
    <row r="354" spans="1:9" ht="32.15" customHeight="1">
      <c r="A354" s="985">
        <v>370</v>
      </c>
      <c r="B354" s="985" t="s">
        <v>1449</v>
      </c>
      <c r="C354" s="1131" t="s">
        <v>1742</v>
      </c>
      <c r="D354" s="1138" t="s">
        <v>760</v>
      </c>
      <c r="E354" s="64">
        <v>1</v>
      </c>
      <c r="F354" s="987">
        <f>+ROUND(Materiales[[#This Row],[PRECIO BASE]]*(1+Materiales[[#This Row],[AJUSTE POSITIVO]]),0)</f>
        <v>97165</v>
      </c>
      <c r="G354" s="994">
        <v>84491</v>
      </c>
      <c r="H354" s="1018">
        <f t="shared" si="12"/>
        <v>0.15</v>
      </c>
      <c r="I354" s="34"/>
    </row>
    <row r="355" spans="1:9" ht="14.5">
      <c r="A355" s="997">
        <v>371</v>
      </c>
      <c r="B355" s="985" t="s">
        <v>1449</v>
      </c>
      <c r="C355" s="1125" t="s">
        <v>1743</v>
      </c>
      <c r="D355" s="1138" t="s">
        <v>760</v>
      </c>
      <c r="E355" s="64">
        <f>1.83*6</f>
        <v>10.98</v>
      </c>
      <c r="F355" s="987">
        <f>+ROUND(Materiales[[#This Row],[PRECIO BASE]]*(1+Materiales[[#This Row],[AJUSTE POSITIVO]]),0)</f>
        <v>72890</v>
      </c>
      <c r="G355" s="994">
        <v>63383</v>
      </c>
      <c r="H355" s="1144">
        <f t="shared" si="12"/>
        <v>0.15</v>
      </c>
      <c r="I355" s="34" t="s">
        <v>1744</v>
      </c>
    </row>
    <row r="356" spans="1:9" ht="14.5">
      <c r="A356" s="997">
        <v>372</v>
      </c>
      <c r="B356" s="985" t="s">
        <v>1449</v>
      </c>
      <c r="C356" s="1125" t="s">
        <v>1745</v>
      </c>
      <c r="D356" s="1138" t="s">
        <v>760</v>
      </c>
      <c r="E356" s="64">
        <f>7.29*6</f>
        <v>43.74</v>
      </c>
      <c r="F356" s="987">
        <f>+ROUND(Materiales[[#This Row],[PRECIO BASE]]*(1+Materiales[[#This Row],[AJUSTE POSITIVO]]),0)</f>
        <v>303462</v>
      </c>
      <c r="G356" s="994">
        <v>263880</v>
      </c>
      <c r="H356" s="1144">
        <f t="shared" si="12"/>
        <v>0.15</v>
      </c>
      <c r="I356" s="34" t="s">
        <v>1744</v>
      </c>
    </row>
    <row r="357" spans="1:9" ht="14.5">
      <c r="A357" s="997">
        <v>373</v>
      </c>
      <c r="B357" s="985" t="s">
        <v>1449</v>
      </c>
      <c r="C357" s="1125" t="s">
        <v>1746</v>
      </c>
      <c r="D357" s="1138" t="s">
        <v>1130</v>
      </c>
      <c r="E357" s="64">
        <v>74.849999999999994</v>
      </c>
      <c r="F357" s="987">
        <f>+ROUND(Materiales[[#This Row],[PRECIO BASE]]*(1+Materiales[[#This Row],[AJUSTE POSITIVO]]),0)</f>
        <v>992163</v>
      </c>
      <c r="G357" s="994">
        <v>862750</v>
      </c>
      <c r="H357" s="1144">
        <f t="shared" si="12"/>
        <v>0.15</v>
      </c>
      <c r="I357" s="34" t="s">
        <v>1747</v>
      </c>
    </row>
    <row r="358" spans="1:9" ht="14.5">
      <c r="A358" s="997">
        <v>374</v>
      </c>
      <c r="B358" s="985" t="s">
        <v>1449</v>
      </c>
      <c r="C358" s="1125" t="s">
        <v>1748</v>
      </c>
      <c r="D358" s="1138" t="s">
        <v>1130</v>
      </c>
      <c r="E358" s="64">
        <v>49.87</v>
      </c>
      <c r="F358" s="987">
        <f>+ROUND(Materiales[[#This Row],[PRECIO BASE]]*(1+Materiales[[#This Row],[AJUSTE POSITIVO]]),0)</f>
        <v>1344973</v>
      </c>
      <c r="G358" s="994">
        <v>1169541.6666666667</v>
      </c>
      <c r="H358" s="1144">
        <f t="shared" si="12"/>
        <v>0.15</v>
      </c>
      <c r="I358" s="34" t="s">
        <v>1747</v>
      </c>
    </row>
    <row r="359" spans="1:9" ht="14.5">
      <c r="A359" s="997">
        <v>375</v>
      </c>
      <c r="B359" s="985" t="s">
        <v>1449</v>
      </c>
      <c r="C359" s="1125" t="s">
        <v>1749</v>
      </c>
      <c r="D359" s="1138" t="s">
        <v>1147</v>
      </c>
      <c r="E359" s="64">
        <v>1</v>
      </c>
      <c r="F359" s="987">
        <f>+ROUND(Materiales[[#This Row],[PRECIO BASE]]*(1+Materiales[[#This Row],[AJUSTE POSITIVO]]),0)</f>
        <v>32085</v>
      </c>
      <c r="G359" s="994">
        <v>27900</v>
      </c>
      <c r="H359" s="1144">
        <f t="shared" si="12"/>
        <v>0.15</v>
      </c>
      <c r="I359" s="34"/>
    </row>
    <row r="360" spans="1:9" ht="14.5">
      <c r="A360" s="997">
        <v>376</v>
      </c>
      <c r="B360" s="985" t="s">
        <v>1449</v>
      </c>
      <c r="C360" s="1125" t="s">
        <v>1750</v>
      </c>
      <c r="D360" s="1138" t="s">
        <v>990</v>
      </c>
      <c r="E360" s="64">
        <v>0.5</v>
      </c>
      <c r="F360" s="987">
        <f>+ROUND(Materiales[[#This Row],[PRECIO BASE]]*(1+Materiales[[#This Row],[AJUSTE POSITIVO]]),0)</f>
        <v>12712</v>
      </c>
      <c r="G360" s="994">
        <v>11054</v>
      </c>
      <c r="H360" s="1144">
        <f t="shared" si="12"/>
        <v>0.15</v>
      </c>
      <c r="I360" s="34" t="s">
        <v>1751</v>
      </c>
    </row>
    <row r="361" spans="1:9" ht="14.5">
      <c r="A361" s="997">
        <v>377</v>
      </c>
      <c r="B361" s="997" t="s">
        <v>1449</v>
      </c>
      <c r="C361" s="1125" t="s">
        <v>1752</v>
      </c>
      <c r="D361" s="1141" t="s">
        <v>990</v>
      </c>
      <c r="E361" s="1022">
        <v>0.1</v>
      </c>
      <c r="F361" s="987">
        <f>+ROUND(Materiales[[#This Row],[PRECIO BASE]]*(1+Materiales[[#This Row],[AJUSTE POSITIVO]]),0)</f>
        <v>1170</v>
      </c>
      <c r="G361" s="994">
        <v>1017</v>
      </c>
      <c r="H361" s="1018">
        <f t="shared" si="12"/>
        <v>0.15</v>
      </c>
      <c r="I361" s="34" t="s">
        <v>1751</v>
      </c>
    </row>
    <row r="362" spans="1:9" ht="14.5">
      <c r="A362" s="997">
        <v>378</v>
      </c>
      <c r="B362" s="997" t="s">
        <v>1449</v>
      </c>
      <c r="C362" s="1125" t="s">
        <v>1753</v>
      </c>
      <c r="D362" s="1141" t="s">
        <v>760</v>
      </c>
      <c r="E362" s="64">
        <f>4.61*6</f>
        <v>27.660000000000004</v>
      </c>
      <c r="F362" s="987">
        <f>+ROUND(Materiales[[#This Row],[PRECIO BASE]]*(1+Materiales[[#This Row],[AJUSTE POSITIVO]]),0)</f>
        <v>193887</v>
      </c>
      <c r="G362" s="994">
        <v>168597</v>
      </c>
      <c r="H362" s="1018">
        <f t="shared" si="12"/>
        <v>0.15</v>
      </c>
      <c r="I362" s="34" t="s">
        <v>1744</v>
      </c>
    </row>
    <row r="363" spans="1:9" ht="14.5">
      <c r="A363" s="997">
        <v>379</v>
      </c>
      <c r="B363" s="997" t="s">
        <v>1449</v>
      </c>
      <c r="C363" s="1019" t="s">
        <v>1754</v>
      </c>
      <c r="D363" s="1020" t="s">
        <v>760</v>
      </c>
      <c r="E363" s="64">
        <f>3.63*6</f>
        <v>21.78</v>
      </c>
      <c r="F363" s="987">
        <f>+ROUND(Materiales[[#This Row],[PRECIO BASE]]*(1+Materiales[[#This Row],[AJUSTE POSITIVO]]),0)</f>
        <v>145781</v>
      </c>
      <c r="G363" s="994">
        <v>126766</v>
      </c>
      <c r="H363" s="1018">
        <f t="shared" si="12"/>
        <v>0.15</v>
      </c>
      <c r="I363" s="34" t="s">
        <v>1744</v>
      </c>
    </row>
    <row r="364" spans="1:9" ht="15.5">
      <c r="A364" s="997">
        <v>380</v>
      </c>
      <c r="B364" s="997" t="s">
        <v>1313</v>
      </c>
      <c r="C364" s="1136" t="s">
        <v>1755</v>
      </c>
      <c r="D364" s="1020" t="s">
        <v>760</v>
      </c>
      <c r="E364" s="64">
        <v>0.5</v>
      </c>
      <c r="F364" s="987">
        <f>+ROUND(Materiales[[#This Row],[PRECIO BASE]]*(1+Materiales[[#This Row],[AJUSTE POSITIVO]]),0)</f>
        <v>84557</v>
      </c>
      <c r="G364" s="994">
        <v>73528</v>
      </c>
      <c r="H364" s="1018">
        <f t="shared" si="12"/>
        <v>0.15</v>
      </c>
      <c r="I364" s="34"/>
    </row>
    <row r="365" spans="1:9" ht="15.5">
      <c r="A365" s="997">
        <v>381</v>
      </c>
      <c r="B365" s="997" t="s">
        <v>1313</v>
      </c>
      <c r="C365" s="1126" t="s">
        <v>1756</v>
      </c>
      <c r="D365" s="1020" t="s">
        <v>760</v>
      </c>
      <c r="E365" s="64"/>
      <c r="F365" s="987">
        <f>+ROUND(Materiales[[#This Row],[PRECIO BASE]]*(1+Materiales[[#This Row],[AJUSTE POSITIVO]]),0)</f>
        <v>1427</v>
      </c>
      <c r="G365" s="994">
        <v>1241</v>
      </c>
      <c r="H365" s="1018">
        <f t="shared" si="12"/>
        <v>0.15</v>
      </c>
      <c r="I365" s="34"/>
    </row>
    <row r="366" spans="1:9" ht="15.5">
      <c r="A366" s="997">
        <v>382</v>
      </c>
      <c r="B366" s="997" t="s">
        <v>1313</v>
      </c>
      <c r="C366" s="1126" t="s">
        <v>1757</v>
      </c>
      <c r="D366" s="1021" t="s">
        <v>760</v>
      </c>
      <c r="E366" s="64"/>
      <c r="F366" s="987">
        <f>+ROUND(Materiales[[#This Row],[PRECIO BASE]]*(1+Materiales[[#This Row],[AJUSTE POSITIVO]]),0)</f>
        <v>309</v>
      </c>
      <c r="G366" s="994">
        <v>269</v>
      </c>
      <c r="H366" s="1018">
        <f t="shared" si="12"/>
        <v>0.15</v>
      </c>
      <c r="I366" s="34"/>
    </row>
    <row r="367" spans="1:9">
      <c r="A367" s="997">
        <v>383</v>
      </c>
      <c r="B367" s="997" t="s">
        <v>1329</v>
      </c>
      <c r="C367" s="1129" t="s">
        <v>1758</v>
      </c>
      <c r="D367" s="1142" t="s">
        <v>188</v>
      </c>
      <c r="E367" s="64">
        <v>0.24</v>
      </c>
      <c r="F367" s="987">
        <f>+ROUND(Materiales[[#This Row],[PRECIO BASE]]*(1+Materiales[[#This Row],[AJUSTE POSITIVO]]),0)</f>
        <v>115000</v>
      </c>
      <c r="G367" s="994">
        <v>100000</v>
      </c>
      <c r="H367" s="1018">
        <f t="shared" si="12"/>
        <v>0.15</v>
      </c>
      <c r="I367" s="737"/>
    </row>
    <row r="368" spans="1:9">
      <c r="A368" s="997">
        <v>384</v>
      </c>
      <c r="B368" s="997" t="s">
        <v>1329</v>
      </c>
      <c r="C368" s="1129" t="s">
        <v>1759</v>
      </c>
      <c r="D368" s="1142" t="s">
        <v>188</v>
      </c>
      <c r="E368" s="64">
        <v>0.3</v>
      </c>
      <c r="F368" s="987">
        <f>+ROUND(Materiales[[#This Row],[PRECIO BASE]]*(1+Materiales[[#This Row],[AJUSTE POSITIVO]]),0)</f>
        <v>207000</v>
      </c>
      <c r="G368" s="994">
        <v>180000</v>
      </c>
      <c r="H368" s="995">
        <f t="shared" si="12"/>
        <v>0.15</v>
      </c>
      <c r="I368" s="34"/>
    </row>
    <row r="369" spans="1:16384">
      <c r="A369" s="997">
        <v>385</v>
      </c>
      <c r="B369" s="997" t="s">
        <v>1313</v>
      </c>
      <c r="C369" s="1129" t="s">
        <v>1760</v>
      </c>
      <c r="D369" s="1142" t="s">
        <v>1164</v>
      </c>
      <c r="E369" s="64">
        <f>2.95/50</f>
        <v>5.9000000000000004E-2</v>
      </c>
      <c r="F369" s="987">
        <f>+ROUND(Materiales[[#This Row],[PRECIO BASE]]*(1+Materiales[[#This Row],[AJUSTE POSITIVO]]),0)</f>
        <v>4633</v>
      </c>
      <c r="G369" s="994">
        <v>4029</v>
      </c>
      <c r="H369" s="995">
        <f t="shared" si="12"/>
        <v>0.15</v>
      </c>
      <c r="I369" s="34"/>
    </row>
    <row r="370" spans="1:16384">
      <c r="A370" s="997">
        <v>386</v>
      </c>
      <c r="B370" s="997" t="s">
        <v>1313</v>
      </c>
      <c r="C370" s="1129" t="s">
        <v>1761</v>
      </c>
      <c r="D370" s="1142" t="s">
        <v>1164</v>
      </c>
      <c r="E370" s="64">
        <v>3.4000000000000002E-2</v>
      </c>
      <c r="F370" s="987">
        <f>+ROUND(Materiales[[#This Row],[PRECIO BASE]]*(1+Materiales[[#This Row],[AJUSTE POSITIVO]]),0)</f>
        <v>3260</v>
      </c>
      <c r="G370" s="994">
        <v>2835</v>
      </c>
      <c r="H370" s="995">
        <f t="shared" si="12"/>
        <v>0.15</v>
      </c>
      <c r="I370" s="34"/>
    </row>
    <row r="371" spans="1:16384">
      <c r="A371" s="997">
        <v>387</v>
      </c>
      <c r="B371" s="997" t="s">
        <v>1313</v>
      </c>
      <c r="C371" s="1129" t="s">
        <v>1762</v>
      </c>
      <c r="D371" s="1139" t="s">
        <v>1164</v>
      </c>
      <c r="E371" s="64">
        <v>0.35</v>
      </c>
      <c r="F371" s="987">
        <f>+ROUND(Materiales[[#This Row],[PRECIO BASE]]*(1+Materiales[[#This Row],[AJUSTE POSITIVO]]),0)</f>
        <v>10868</v>
      </c>
      <c r="G371" s="994">
        <v>9450</v>
      </c>
      <c r="H371" s="995">
        <f t="shared" si="12"/>
        <v>0.15</v>
      </c>
      <c r="I371" s="34"/>
    </row>
    <row r="372" spans="1:16384">
      <c r="A372" s="997">
        <v>388</v>
      </c>
      <c r="B372" s="997" t="s">
        <v>1763</v>
      </c>
      <c r="C372" s="1129" t="s">
        <v>1764</v>
      </c>
      <c r="D372" s="1139" t="s">
        <v>188</v>
      </c>
      <c r="E372" s="64">
        <v>0.1</v>
      </c>
      <c r="F372" s="987">
        <f>+ROUND(Materiales[[#This Row],[PRECIO BASE]]*(1+Materiales[[#This Row],[AJUSTE POSITIVO]]),0)</f>
        <v>15619</v>
      </c>
      <c r="G372" s="994">
        <v>13582</v>
      </c>
      <c r="H372" s="995">
        <f t="shared" si="12"/>
        <v>0.15</v>
      </c>
      <c r="I372" s="34"/>
    </row>
    <row r="373" spans="1:16384">
      <c r="A373" s="997">
        <v>389</v>
      </c>
      <c r="B373" s="997" t="s">
        <v>1313</v>
      </c>
      <c r="C373" s="103" t="s">
        <v>1765</v>
      </c>
      <c r="D373" s="1139" t="s">
        <v>1164</v>
      </c>
      <c r="E373" s="64">
        <v>1.04</v>
      </c>
      <c r="F373" s="987">
        <f>+ROUND(Materiales[[#This Row],[PRECIO BASE]]*(1+Materiales[[#This Row],[AJUSTE POSITIVO]]),0)</f>
        <v>82915</v>
      </c>
      <c r="G373" s="994">
        <v>72100</v>
      </c>
      <c r="H373" s="1001">
        <f t="shared" si="12"/>
        <v>0.15</v>
      </c>
      <c r="I373" s="34"/>
    </row>
    <row r="374" spans="1:16384" ht="13">
      <c r="A374" s="997">
        <v>390</v>
      </c>
      <c r="B374" s="997" t="s">
        <v>1721</v>
      </c>
      <c r="C374" s="1127" t="s">
        <v>1565</v>
      </c>
      <c r="D374" s="1139" t="s">
        <v>188</v>
      </c>
      <c r="E374" s="64"/>
      <c r="F374" s="987">
        <f>+ROUND(Materiales[[#This Row],[PRECIO BASE]]*(1+Materiales[[#This Row],[AJUSTE POSITIVO]]),0)</f>
        <v>13685000</v>
      </c>
      <c r="G374" s="994">
        <v>11900000</v>
      </c>
      <c r="H374" s="995">
        <f t="shared" si="12"/>
        <v>0.15</v>
      </c>
      <c r="I374" s="34"/>
    </row>
    <row r="375" spans="1:16384" ht="13">
      <c r="A375" s="997">
        <v>391</v>
      </c>
      <c r="B375" s="997" t="s">
        <v>1721</v>
      </c>
      <c r="C375" s="1127" t="s">
        <v>1566</v>
      </c>
      <c r="D375" s="1139" t="s">
        <v>188</v>
      </c>
      <c r="E375" s="64">
        <v>10</v>
      </c>
      <c r="F375" s="987">
        <f>+ROUND(Materiales[[#This Row],[PRECIO BASE]]*(1+Materiales[[#This Row],[AJUSTE POSITIVO]]),0)</f>
        <v>1368500</v>
      </c>
      <c r="G375" s="994">
        <v>1190000</v>
      </c>
      <c r="H375" s="995">
        <f t="shared" si="12"/>
        <v>0.15</v>
      </c>
      <c r="I375" s="34"/>
    </row>
    <row r="376" spans="1:16384" s="421" customFormat="1" ht="13">
      <c r="A376" s="985">
        <v>392</v>
      </c>
      <c r="B376" s="997" t="s">
        <v>1721</v>
      </c>
      <c r="C376" s="1130" t="s">
        <v>1766</v>
      </c>
      <c r="D376" s="998" t="s">
        <v>188</v>
      </c>
      <c r="E376" s="999"/>
      <c r="F376" s="987">
        <f>+ROUND(Materiales[[#This Row],[PRECIO BASE]]*(1+Materiales[[#This Row],[AJUSTE POSITIVO]]),0)</f>
        <v>1231650</v>
      </c>
      <c r="G376" s="994">
        <v>1071000</v>
      </c>
      <c r="H376" s="995">
        <f t="shared" si="12"/>
        <v>0.15</v>
      </c>
      <c r="I376" s="34"/>
    </row>
    <row r="377" spans="1:16384" s="421" customFormat="1" ht="13">
      <c r="A377" s="997">
        <v>393</v>
      </c>
      <c r="B377" s="997" t="s">
        <v>1721</v>
      </c>
      <c r="C377" s="1130" t="s">
        <v>1767</v>
      </c>
      <c r="D377" s="998" t="s">
        <v>188</v>
      </c>
      <c r="E377" s="999"/>
      <c r="F377" s="987">
        <f>+ROUND(Materiales[[#This Row],[PRECIO BASE]]*(1+Materiales[[#This Row],[AJUSTE POSITIVO]]),0)</f>
        <v>0</v>
      </c>
      <c r="G377" s="994"/>
      <c r="H377" s="995">
        <f t="shared" si="12"/>
        <v>0.15</v>
      </c>
      <c r="I377" s="34"/>
    </row>
    <row r="378" spans="1:16384" s="421" customFormat="1" ht="13">
      <c r="A378" s="985">
        <v>394</v>
      </c>
      <c r="B378" s="997" t="s">
        <v>1721</v>
      </c>
      <c r="C378" s="1130" t="s">
        <v>1768</v>
      </c>
      <c r="D378" s="998" t="s">
        <v>188</v>
      </c>
      <c r="E378" s="999"/>
      <c r="F378" s="987">
        <f>+ROUND(Materiales[[#This Row],[PRECIO BASE]]*(1+Materiales[[#This Row],[AJUSTE POSITIVO]]),0)</f>
        <v>1231650</v>
      </c>
      <c r="G378" s="994">
        <v>1071000</v>
      </c>
      <c r="H378" s="995">
        <f t="shared" si="12"/>
        <v>0.15</v>
      </c>
      <c r="I378" s="34"/>
    </row>
    <row r="379" spans="1:16384" s="421" customFormat="1" ht="13">
      <c r="A379" s="997">
        <v>395</v>
      </c>
      <c r="B379" s="997" t="s">
        <v>1721</v>
      </c>
      <c r="C379" s="1130" t="s">
        <v>1769</v>
      </c>
      <c r="D379" s="998" t="s">
        <v>188</v>
      </c>
      <c r="E379" s="999"/>
      <c r="F379" s="987">
        <f>+ROUND(Materiales[[#This Row],[PRECIO BASE]]*(1+Materiales[[#This Row],[AJUSTE POSITIVO]]),0)</f>
        <v>6612500</v>
      </c>
      <c r="G379" s="994">
        <v>5750000</v>
      </c>
      <c r="H379" s="995">
        <f t="shared" si="12"/>
        <v>0.15</v>
      </c>
      <c r="I379" s="34"/>
    </row>
    <row r="380" spans="1:16384" s="421" customFormat="1">
      <c r="A380" s="997">
        <v>396</v>
      </c>
      <c r="B380" s="997" t="s">
        <v>1313</v>
      </c>
      <c r="C380" s="330" t="s">
        <v>1770</v>
      </c>
      <c r="D380" s="998" t="s">
        <v>1164</v>
      </c>
      <c r="E380" s="999">
        <v>0.23499999999999999</v>
      </c>
      <c r="F380" s="987">
        <f>+ROUND(Materiales[[#This Row],[PRECIO BASE]]*(1+Materiales[[#This Row],[AJUSTE POSITIVO]]),0)</f>
        <v>18272</v>
      </c>
      <c r="G380" s="994">
        <v>15889</v>
      </c>
      <c r="H380" s="1001">
        <f t="shared" si="12"/>
        <v>0.15</v>
      </c>
      <c r="I380"/>
    </row>
    <row r="381" spans="1:16384" s="421" customFormat="1">
      <c r="A381" s="997">
        <v>397</v>
      </c>
      <c r="B381" s="997" t="s">
        <v>1313</v>
      </c>
      <c r="C381" s="330" t="s">
        <v>1771</v>
      </c>
      <c r="D381" s="998" t="s">
        <v>1164</v>
      </c>
      <c r="E381" s="999">
        <v>0.35</v>
      </c>
      <c r="F381" s="987">
        <f>+ROUND(Materiales[[#This Row],[PRECIO BASE]]*(1+Materiales[[#This Row],[AJUSTE POSITIVO]]),0)</f>
        <v>7081</v>
      </c>
      <c r="G381" s="994">
        <v>6157</v>
      </c>
      <c r="H381" s="1001">
        <f t="shared" si="12"/>
        <v>0.15</v>
      </c>
      <c r="I381" s="34" t="s">
        <v>1603</v>
      </c>
      <c r="J381" s="774"/>
      <c r="K381" s="422"/>
      <c r="L381" s="775"/>
      <c r="M381" s="774"/>
      <c r="N381" s="776"/>
      <c r="O381" s="430"/>
      <c r="P381" s="717"/>
      <c r="Q381" s="774"/>
      <c r="R381" s="774"/>
      <c r="S381" s="422"/>
      <c r="T381" s="775"/>
      <c r="U381" s="774"/>
      <c r="V381" s="776"/>
      <c r="W381" s="430"/>
      <c r="X381" s="717"/>
      <c r="Y381" s="774"/>
      <c r="Z381" s="774"/>
      <c r="AA381" s="422"/>
      <c r="AB381" s="775"/>
      <c r="AC381" s="774"/>
      <c r="AD381" s="776"/>
      <c r="AE381" s="430"/>
      <c r="AF381" s="717"/>
      <c r="AG381" s="774"/>
      <c r="AH381" s="774"/>
      <c r="AI381" s="422"/>
      <c r="AJ381" s="775"/>
      <c r="AK381" s="774"/>
      <c r="AL381" s="776"/>
      <c r="AM381" s="430"/>
      <c r="AN381" s="717"/>
      <c r="AO381" s="774"/>
      <c r="AP381" s="774"/>
      <c r="AQ381" s="422"/>
      <c r="AR381" s="775"/>
      <c r="AS381" s="774"/>
      <c r="AT381" s="776"/>
      <c r="AU381" s="430"/>
      <c r="AV381" s="717"/>
      <c r="AW381" s="774"/>
      <c r="AX381" s="774"/>
      <c r="AY381" s="422"/>
      <c r="AZ381" s="775"/>
      <c r="BA381" s="774"/>
      <c r="BB381" s="776"/>
      <c r="BC381" s="430"/>
      <c r="BD381" s="717"/>
      <c r="BE381" s="774"/>
      <c r="BF381" s="774"/>
      <c r="BG381" s="422"/>
      <c r="BH381" s="775"/>
      <c r="BI381" s="774"/>
      <c r="BJ381" s="776"/>
      <c r="BK381" s="430"/>
      <c r="BL381" s="717"/>
      <c r="BM381" s="774"/>
      <c r="BN381" s="774"/>
      <c r="BO381" s="422"/>
      <c r="BP381" s="775"/>
      <c r="BQ381" s="774"/>
      <c r="BR381" s="776"/>
      <c r="BS381" s="430"/>
      <c r="BT381" s="717"/>
      <c r="BU381" s="774"/>
      <c r="BV381" s="774"/>
      <c r="BW381" s="422"/>
      <c r="BX381" s="775"/>
      <c r="BY381" s="774"/>
      <c r="BZ381" s="776"/>
      <c r="CA381" s="430"/>
      <c r="CB381" s="717"/>
      <c r="CC381" s="774"/>
      <c r="CD381" s="774"/>
      <c r="CE381" s="422"/>
      <c r="CF381" s="775"/>
      <c r="CG381" s="774"/>
      <c r="CH381" s="776"/>
      <c r="CI381" s="430"/>
      <c r="CJ381" s="717"/>
      <c r="CK381" s="774"/>
      <c r="CL381" s="774"/>
      <c r="CM381" s="422"/>
      <c r="CN381" s="775"/>
      <c r="CO381" s="774"/>
      <c r="CP381" s="776"/>
      <c r="CQ381" s="430"/>
      <c r="CR381" s="717"/>
      <c r="CS381" s="774"/>
      <c r="CT381" s="774"/>
      <c r="CU381" s="422"/>
      <c r="CV381" s="775"/>
      <c r="CW381" s="774"/>
      <c r="CX381" s="776"/>
      <c r="CY381" s="430"/>
      <c r="CZ381" s="717"/>
      <c r="DA381" s="774"/>
      <c r="DB381" s="774"/>
      <c r="DC381" s="422"/>
      <c r="DD381" s="775"/>
      <c r="DE381" s="774"/>
      <c r="DF381" s="776"/>
      <c r="DG381" s="430"/>
      <c r="DH381" s="717"/>
      <c r="DI381" s="774"/>
      <c r="DJ381" s="774"/>
      <c r="DK381" s="422"/>
      <c r="DL381" s="775"/>
      <c r="DM381" s="774"/>
      <c r="DN381" s="776"/>
      <c r="DO381" s="430"/>
      <c r="DP381" s="717"/>
      <c r="DQ381" s="774"/>
      <c r="DR381" s="774"/>
      <c r="DS381" s="422"/>
      <c r="DT381" s="775"/>
      <c r="DU381" s="774"/>
      <c r="DV381" s="776"/>
      <c r="DW381" s="430"/>
      <c r="DX381" s="717"/>
      <c r="DY381" s="774"/>
      <c r="DZ381" s="774"/>
      <c r="EA381" s="422"/>
      <c r="EB381" s="775"/>
      <c r="EC381" s="774"/>
      <c r="ED381" s="776"/>
      <c r="EE381" s="430"/>
      <c r="EF381" s="717"/>
      <c r="EG381" s="774"/>
      <c r="EH381" s="774"/>
      <c r="EI381" s="422"/>
      <c r="EJ381" s="775"/>
      <c r="EK381" s="774"/>
      <c r="EL381" s="776"/>
      <c r="EM381" s="430"/>
      <c r="EN381" s="717"/>
      <c r="EO381" s="774"/>
      <c r="EP381" s="774"/>
      <c r="EQ381" s="422"/>
      <c r="ER381" s="775"/>
      <c r="ES381" s="774"/>
      <c r="ET381" s="776"/>
      <c r="EU381" s="430"/>
      <c r="EV381" s="717"/>
      <c r="EW381" s="774"/>
      <c r="EX381" s="774"/>
      <c r="EY381" s="422"/>
      <c r="EZ381" s="775"/>
      <c r="FA381" s="774"/>
      <c r="FB381" s="776"/>
      <c r="FC381" s="430"/>
      <c r="FD381" s="717"/>
      <c r="FE381" s="774"/>
      <c r="FF381" s="774"/>
      <c r="FG381" s="422"/>
      <c r="FH381" s="775"/>
      <c r="FI381" s="774"/>
      <c r="FJ381" s="776"/>
      <c r="FK381" s="430"/>
      <c r="FL381" s="717"/>
      <c r="FM381" s="774"/>
      <c r="FN381" s="774"/>
      <c r="FO381" s="422"/>
      <c r="FP381" s="775"/>
      <c r="FQ381" s="774"/>
      <c r="FR381" s="776"/>
      <c r="FS381" s="430"/>
      <c r="FT381" s="717"/>
      <c r="FU381" s="774"/>
      <c r="FV381" s="774"/>
      <c r="FW381" s="422"/>
      <c r="FX381" s="775"/>
      <c r="FY381" s="774"/>
      <c r="FZ381" s="776"/>
      <c r="GA381" s="430"/>
      <c r="GB381" s="717"/>
      <c r="GC381" s="774"/>
      <c r="GD381" s="774"/>
      <c r="GE381" s="422"/>
      <c r="GF381" s="775"/>
      <c r="GG381" s="774"/>
      <c r="GH381" s="776"/>
      <c r="GI381" s="430"/>
      <c r="GJ381" s="717"/>
      <c r="GK381" s="774"/>
      <c r="GL381" s="774"/>
      <c r="GM381" s="422"/>
      <c r="GN381" s="775"/>
      <c r="GO381" s="774"/>
      <c r="GP381" s="776"/>
      <c r="GQ381" s="430"/>
      <c r="GR381" s="717"/>
      <c r="GS381" s="774"/>
      <c r="GT381" s="774"/>
      <c r="GU381" s="422"/>
      <c r="GV381" s="775"/>
      <c r="GW381" s="774"/>
      <c r="GX381" s="776"/>
      <c r="GY381" s="430"/>
      <c r="GZ381" s="717"/>
      <c r="HA381" s="774"/>
      <c r="HB381" s="774"/>
      <c r="HC381" s="422"/>
      <c r="HD381" s="775"/>
      <c r="HE381" s="774"/>
      <c r="HF381" s="776"/>
      <c r="HG381" s="430"/>
      <c r="HH381" s="717"/>
      <c r="HI381" s="774"/>
      <c r="HJ381" s="774"/>
      <c r="HK381" s="422"/>
      <c r="HL381" s="775"/>
      <c r="HM381" s="774"/>
      <c r="HN381" s="776"/>
      <c r="HO381" s="430"/>
      <c r="HP381" s="717"/>
      <c r="HQ381" s="774"/>
      <c r="HR381" s="774"/>
      <c r="HS381" s="422"/>
      <c r="HT381" s="775"/>
      <c r="HU381" s="774"/>
      <c r="HV381" s="776"/>
      <c r="HW381" s="430"/>
      <c r="HX381" s="717"/>
      <c r="HY381" s="774"/>
      <c r="HZ381" s="774"/>
      <c r="IA381" s="422"/>
      <c r="IB381" s="775"/>
      <c r="IC381" s="774"/>
      <c r="ID381" s="776"/>
      <c r="IE381" s="430"/>
      <c r="IF381" s="717"/>
      <c r="IG381" s="774"/>
      <c r="IH381" s="774"/>
      <c r="II381" s="422"/>
      <c r="IJ381" s="775"/>
      <c r="IK381" s="774"/>
      <c r="IL381" s="776"/>
      <c r="IM381" s="430"/>
      <c r="IN381" s="717"/>
      <c r="IO381" s="774"/>
      <c r="IP381" s="774"/>
      <c r="IQ381" s="422"/>
      <c r="IR381" s="775"/>
      <c r="IS381" s="774"/>
      <c r="IT381" s="776"/>
      <c r="IU381" s="430"/>
      <c r="IV381" s="717"/>
      <c r="IW381" s="774"/>
      <c r="IX381" s="774"/>
      <c r="IY381" s="422"/>
      <c r="IZ381" s="775"/>
      <c r="JA381" s="774"/>
      <c r="JB381" s="776"/>
      <c r="JC381" s="430"/>
      <c r="JD381" s="717"/>
      <c r="JE381" s="774"/>
      <c r="JF381" s="774"/>
      <c r="JG381" s="422"/>
      <c r="JH381" s="775"/>
      <c r="JI381" s="774"/>
      <c r="JJ381" s="776"/>
      <c r="JK381" s="430"/>
      <c r="JL381" s="717"/>
      <c r="JM381" s="774"/>
      <c r="JN381" s="774"/>
      <c r="JO381" s="422"/>
      <c r="JP381" s="775"/>
      <c r="JQ381" s="774"/>
      <c r="JR381" s="776"/>
      <c r="JS381" s="430"/>
      <c r="JT381" s="717"/>
      <c r="JU381" s="774"/>
      <c r="JV381" s="774"/>
      <c r="JW381" s="422"/>
      <c r="JX381" s="775"/>
      <c r="JY381" s="774"/>
      <c r="JZ381" s="776"/>
      <c r="KA381" s="430"/>
      <c r="KB381" s="717"/>
      <c r="KC381" s="774"/>
      <c r="KD381" s="774"/>
      <c r="KE381" s="422"/>
      <c r="KF381" s="775"/>
      <c r="KG381" s="774"/>
      <c r="KH381" s="776"/>
      <c r="KI381" s="430"/>
      <c r="KJ381" s="717"/>
      <c r="KK381" s="774"/>
      <c r="KL381" s="774"/>
      <c r="KM381" s="422"/>
      <c r="KN381" s="775"/>
      <c r="KO381" s="774"/>
      <c r="KP381" s="776"/>
      <c r="KQ381" s="430"/>
      <c r="KR381" s="717"/>
      <c r="KS381" s="774"/>
      <c r="KT381" s="774"/>
      <c r="KU381" s="422"/>
      <c r="KV381" s="775"/>
      <c r="KW381" s="774"/>
      <c r="KX381" s="776"/>
      <c r="KY381" s="430"/>
      <c r="KZ381" s="717"/>
      <c r="LA381" s="774"/>
      <c r="LB381" s="774"/>
      <c r="LC381" s="422"/>
      <c r="LD381" s="775"/>
      <c r="LE381" s="774"/>
      <c r="LF381" s="776"/>
      <c r="LG381" s="430"/>
      <c r="LH381" s="717"/>
      <c r="LI381" s="774"/>
      <c r="LJ381" s="774"/>
      <c r="LK381" s="422"/>
      <c r="LL381" s="775"/>
      <c r="LM381" s="774"/>
      <c r="LN381" s="776"/>
      <c r="LO381" s="430"/>
      <c r="LP381" s="717"/>
      <c r="LQ381" s="774"/>
      <c r="LR381" s="774"/>
      <c r="LS381" s="422"/>
      <c r="LT381" s="775"/>
      <c r="LU381" s="774"/>
      <c r="LV381" s="776"/>
      <c r="LW381" s="430"/>
      <c r="LX381" s="717"/>
      <c r="LY381" s="774"/>
      <c r="LZ381" s="774"/>
      <c r="MA381" s="422"/>
      <c r="MB381" s="775"/>
      <c r="MC381" s="774"/>
      <c r="MD381" s="776"/>
      <c r="ME381" s="430"/>
      <c r="MF381" s="717"/>
      <c r="MG381" s="774"/>
      <c r="MH381" s="774"/>
      <c r="MI381" s="422"/>
      <c r="MJ381" s="775"/>
      <c r="MK381" s="774"/>
      <c r="ML381" s="776"/>
      <c r="MM381" s="430"/>
      <c r="MN381" s="717"/>
      <c r="MO381" s="774"/>
      <c r="MP381" s="774"/>
      <c r="MQ381" s="422"/>
      <c r="MR381" s="775"/>
      <c r="MS381" s="774"/>
      <c r="MT381" s="776"/>
      <c r="MU381" s="430"/>
      <c r="MV381" s="717"/>
      <c r="MW381" s="774"/>
      <c r="MX381" s="774"/>
      <c r="MY381" s="422"/>
      <c r="MZ381" s="775"/>
      <c r="NA381" s="774"/>
      <c r="NB381" s="776"/>
      <c r="NC381" s="430"/>
      <c r="ND381" s="717"/>
      <c r="NE381" s="774"/>
      <c r="NF381" s="774"/>
      <c r="NG381" s="422"/>
      <c r="NH381" s="775"/>
      <c r="NI381" s="774"/>
      <c r="NJ381" s="776"/>
      <c r="NK381" s="430"/>
      <c r="NL381" s="717"/>
      <c r="NM381" s="774"/>
      <c r="NN381" s="774"/>
      <c r="NO381" s="422"/>
      <c r="NP381" s="775"/>
      <c r="NQ381" s="774"/>
      <c r="NR381" s="776"/>
      <c r="NS381" s="430"/>
      <c r="NT381" s="717"/>
      <c r="NU381" s="774"/>
      <c r="NV381" s="774"/>
      <c r="NW381" s="422"/>
      <c r="NX381" s="775"/>
      <c r="NY381" s="774"/>
      <c r="NZ381" s="776"/>
      <c r="OA381" s="430"/>
      <c r="OB381" s="717"/>
      <c r="OC381" s="774"/>
      <c r="OD381" s="774"/>
      <c r="OE381" s="422"/>
      <c r="OF381" s="775"/>
      <c r="OG381" s="774"/>
      <c r="OH381" s="776"/>
      <c r="OI381" s="430"/>
      <c r="OJ381" s="717"/>
      <c r="OK381" s="774"/>
      <c r="OL381" s="774"/>
      <c r="OM381" s="422"/>
      <c r="ON381" s="775"/>
      <c r="OO381" s="774"/>
      <c r="OP381" s="776"/>
      <c r="OQ381" s="430"/>
      <c r="OR381" s="717"/>
      <c r="OS381" s="774"/>
      <c r="OT381" s="774"/>
      <c r="OU381" s="422"/>
      <c r="OV381" s="775"/>
      <c r="OW381" s="774"/>
      <c r="OX381" s="776"/>
      <c r="OY381" s="430"/>
      <c r="OZ381" s="717"/>
      <c r="PA381" s="774"/>
      <c r="PB381" s="774"/>
      <c r="PC381" s="422"/>
      <c r="PD381" s="775"/>
      <c r="PE381" s="774"/>
      <c r="PF381" s="776"/>
      <c r="PG381" s="430"/>
      <c r="PH381" s="717"/>
      <c r="PI381" s="774"/>
      <c r="PJ381" s="774"/>
      <c r="PK381" s="422"/>
      <c r="PL381" s="775"/>
      <c r="PM381" s="774"/>
      <c r="PN381" s="776"/>
      <c r="PO381" s="430"/>
      <c r="PP381" s="717"/>
      <c r="PQ381" s="774"/>
      <c r="PR381" s="774"/>
      <c r="PS381" s="422"/>
      <c r="PT381" s="775"/>
      <c r="PU381" s="774"/>
      <c r="PV381" s="776"/>
      <c r="PW381" s="430"/>
      <c r="PX381" s="717"/>
      <c r="PY381" s="774"/>
      <c r="PZ381" s="774"/>
      <c r="QA381" s="422"/>
      <c r="QB381" s="775"/>
      <c r="QC381" s="774"/>
      <c r="QD381" s="776"/>
      <c r="QE381" s="430"/>
      <c r="QF381" s="717"/>
      <c r="QG381" s="774"/>
      <c r="QH381" s="774"/>
      <c r="QI381" s="422"/>
      <c r="QJ381" s="775"/>
      <c r="QK381" s="774"/>
      <c r="QL381" s="776"/>
      <c r="QM381" s="430"/>
      <c r="QN381" s="717"/>
      <c r="QO381" s="774"/>
      <c r="QP381" s="774"/>
      <c r="QQ381" s="422"/>
      <c r="QR381" s="775"/>
      <c r="QS381" s="774"/>
      <c r="QT381" s="776"/>
      <c r="QU381" s="430"/>
      <c r="QV381" s="717"/>
      <c r="QW381" s="774"/>
      <c r="QX381" s="774"/>
      <c r="QY381" s="422"/>
      <c r="QZ381" s="775"/>
      <c r="RA381" s="774"/>
      <c r="RB381" s="776"/>
      <c r="RC381" s="430"/>
      <c r="RD381" s="717"/>
      <c r="RE381" s="774"/>
      <c r="RF381" s="774"/>
      <c r="RG381" s="422"/>
      <c r="RH381" s="775"/>
      <c r="RI381" s="774"/>
      <c r="RJ381" s="776"/>
      <c r="RK381" s="430"/>
      <c r="RL381" s="717"/>
      <c r="RM381" s="774"/>
      <c r="RN381" s="774"/>
      <c r="RO381" s="422"/>
      <c r="RP381" s="775"/>
      <c r="RQ381" s="774"/>
      <c r="RR381" s="776"/>
      <c r="RS381" s="430"/>
      <c r="RT381" s="717"/>
      <c r="RU381" s="774"/>
      <c r="RV381" s="774"/>
      <c r="RW381" s="422"/>
      <c r="RX381" s="775"/>
      <c r="RY381" s="774"/>
      <c r="RZ381" s="776"/>
      <c r="SA381" s="430"/>
      <c r="SB381" s="717"/>
      <c r="SC381" s="774"/>
      <c r="SD381" s="774"/>
      <c r="SE381" s="422"/>
      <c r="SF381" s="775"/>
      <c r="SG381" s="774"/>
      <c r="SH381" s="776"/>
      <c r="SI381" s="430"/>
      <c r="SJ381" s="717"/>
      <c r="SK381" s="774"/>
      <c r="SL381" s="774"/>
      <c r="SM381" s="422"/>
      <c r="SN381" s="775"/>
      <c r="SO381" s="774"/>
      <c r="SP381" s="776"/>
      <c r="SQ381" s="430"/>
      <c r="SR381" s="717"/>
      <c r="SS381" s="774"/>
      <c r="ST381" s="774"/>
      <c r="SU381" s="422"/>
      <c r="SV381" s="775"/>
      <c r="SW381" s="774"/>
      <c r="SX381" s="776"/>
      <c r="SY381" s="430"/>
      <c r="SZ381" s="717"/>
      <c r="TA381" s="774"/>
      <c r="TB381" s="774"/>
      <c r="TC381" s="422"/>
      <c r="TD381" s="775"/>
      <c r="TE381" s="774"/>
      <c r="TF381" s="776"/>
      <c r="TG381" s="430"/>
      <c r="TH381" s="717"/>
      <c r="TI381" s="774"/>
      <c r="TJ381" s="774"/>
      <c r="TK381" s="422"/>
      <c r="TL381" s="775"/>
      <c r="TM381" s="774"/>
      <c r="TN381" s="776"/>
      <c r="TO381" s="430"/>
      <c r="TP381" s="717"/>
      <c r="TQ381" s="774"/>
      <c r="TR381" s="774"/>
      <c r="TS381" s="422"/>
      <c r="TT381" s="775"/>
      <c r="TU381" s="774"/>
      <c r="TV381" s="776"/>
      <c r="TW381" s="430"/>
      <c r="TX381" s="717"/>
      <c r="TY381" s="774"/>
      <c r="TZ381" s="774"/>
      <c r="UA381" s="422"/>
      <c r="UB381" s="775"/>
      <c r="UC381" s="774"/>
      <c r="UD381" s="776"/>
      <c r="UE381" s="430"/>
      <c r="UF381" s="717"/>
      <c r="UG381" s="774"/>
      <c r="UH381" s="774"/>
      <c r="UI381" s="422"/>
      <c r="UJ381" s="775"/>
      <c r="UK381" s="774"/>
      <c r="UL381" s="776"/>
      <c r="UM381" s="430"/>
      <c r="UN381" s="717"/>
      <c r="UO381" s="774"/>
      <c r="UP381" s="774"/>
      <c r="UQ381" s="422"/>
      <c r="UR381" s="775"/>
      <c r="US381" s="774"/>
      <c r="UT381" s="776"/>
      <c r="UU381" s="430"/>
      <c r="UV381" s="717"/>
      <c r="UW381" s="774"/>
      <c r="UX381" s="774"/>
      <c r="UY381" s="422"/>
      <c r="UZ381" s="775"/>
      <c r="VA381" s="774"/>
      <c r="VB381" s="776"/>
      <c r="VC381" s="430"/>
      <c r="VD381" s="717"/>
      <c r="VE381" s="774"/>
      <c r="VF381" s="774"/>
      <c r="VG381" s="422"/>
      <c r="VH381" s="775"/>
      <c r="VI381" s="774"/>
      <c r="VJ381" s="776"/>
      <c r="VK381" s="430"/>
      <c r="VL381" s="717"/>
      <c r="VM381" s="774"/>
      <c r="VN381" s="774"/>
      <c r="VO381" s="422"/>
      <c r="VP381" s="775"/>
      <c r="VQ381" s="774"/>
      <c r="VR381" s="776"/>
      <c r="VS381" s="430"/>
      <c r="VT381" s="717"/>
      <c r="VU381" s="774"/>
      <c r="VV381" s="774"/>
      <c r="VW381" s="422"/>
      <c r="VX381" s="775"/>
      <c r="VY381" s="774"/>
      <c r="VZ381" s="776"/>
      <c r="WA381" s="430"/>
      <c r="WB381" s="717"/>
      <c r="WC381" s="774"/>
      <c r="WD381" s="774"/>
      <c r="WE381" s="422"/>
      <c r="WF381" s="775"/>
      <c r="WG381" s="774"/>
      <c r="WH381" s="776"/>
      <c r="WI381" s="430"/>
      <c r="WJ381" s="717"/>
      <c r="WK381" s="774"/>
      <c r="WL381" s="774"/>
      <c r="WM381" s="422"/>
      <c r="WN381" s="775"/>
      <c r="WO381" s="774"/>
      <c r="WP381" s="776"/>
      <c r="WQ381" s="430"/>
      <c r="WR381" s="717"/>
      <c r="WS381" s="774"/>
      <c r="WT381" s="774"/>
      <c r="WU381" s="422"/>
      <c r="WV381" s="775"/>
      <c r="WW381" s="774"/>
      <c r="WX381" s="776"/>
      <c r="WY381" s="430"/>
      <c r="WZ381" s="717"/>
      <c r="XA381" s="774"/>
      <c r="XB381" s="774"/>
      <c r="XC381" s="422"/>
      <c r="XD381" s="775"/>
      <c r="XE381" s="774"/>
      <c r="XF381" s="776"/>
      <c r="XG381" s="430"/>
      <c r="XH381" s="717"/>
      <c r="XI381" s="774"/>
      <c r="XJ381" s="774"/>
      <c r="XK381" s="422"/>
      <c r="XL381" s="775"/>
      <c r="XM381" s="774"/>
      <c r="XN381" s="776"/>
      <c r="XO381" s="430"/>
      <c r="XP381" s="717"/>
      <c r="XQ381" s="774"/>
      <c r="XR381" s="774"/>
      <c r="XS381" s="422"/>
      <c r="XT381" s="775"/>
      <c r="XU381" s="774"/>
      <c r="XV381" s="776"/>
      <c r="XW381" s="430"/>
      <c r="XX381" s="717"/>
      <c r="XY381" s="774"/>
      <c r="XZ381" s="774"/>
      <c r="YA381" s="422"/>
      <c r="YB381" s="775"/>
      <c r="YC381" s="774"/>
      <c r="YD381" s="776"/>
      <c r="YE381" s="430"/>
      <c r="YF381" s="717"/>
      <c r="YG381" s="774"/>
      <c r="YH381" s="774"/>
      <c r="YI381" s="422"/>
      <c r="YJ381" s="775"/>
      <c r="YK381" s="774"/>
      <c r="YL381" s="776"/>
      <c r="YM381" s="430"/>
      <c r="YN381" s="717"/>
      <c r="YO381" s="774"/>
      <c r="YP381" s="774"/>
      <c r="YQ381" s="422"/>
      <c r="YR381" s="775"/>
      <c r="YS381" s="774"/>
      <c r="YT381" s="776"/>
      <c r="YU381" s="430"/>
      <c r="YV381" s="717"/>
      <c r="YW381" s="774"/>
      <c r="YX381" s="774"/>
      <c r="YY381" s="422"/>
      <c r="YZ381" s="775"/>
      <c r="ZA381" s="774"/>
      <c r="ZB381" s="776"/>
      <c r="ZC381" s="430"/>
      <c r="ZD381" s="717"/>
      <c r="ZE381" s="774"/>
      <c r="ZF381" s="774"/>
      <c r="ZG381" s="422"/>
      <c r="ZH381" s="775"/>
      <c r="ZI381" s="774"/>
      <c r="ZJ381" s="776"/>
      <c r="ZK381" s="430"/>
      <c r="ZL381" s="717"/>
      <c r="ZM381" s="774"/>
      <c r="ZN381" s="774"/>
      <c r="ZO381" s="422"/>
      <c r="ZP381" s="775"/>
      <c r="ZQ381" s="774"/>
      <c r="ZR381" s="776"/>
      <c r="ZS381" s="430"/>
      <c r="ZT381" s="717"/>
      <c r="ZU381" s="774"/>
      <c r="ZV381" s="774"/>
      <c r="ZW381" s="422"/>
      <c r="ZX381" s="775"/>
      <c r="ZY381" s="774"/>
      <c r="ZZ381" s="776"/>
      <c r="AAA381" s="430"/>
      <c r="AAB381" s="717"/>
      <c r="AAC381" s="774"/>
      <c r="AAD381" s="774"/>
      <c r="AAE381" s="422"/>
      <c r="AAF381" s="775"/>
      <c r="AAG381" s="774"/>
      <c r="AAH381" s="776"/>
      <c r="AAI381" s="430"/>
      <c r="AAJ381" s="717"/>
      <c r="AAK381" s="774"/>
      <c r="AAL381" s="774"/>
      <c r="AAM381" s="422"/>
      <c r="AAN381" s="775"/>
      <c r="AAO381" s="774"/>
      <c r="AAP381" s="776"/>
      <c r="AAQ381" s="430"/>
      <c r="AAR381" s="717"/>
      <c r="AAS381" s="774"/>
      <c r="AAT381" s="774"/>
      <c r="AAU381" s="422"/>
      <c r="AAV381" s="775"/>
      <c r="AAW381" s="774"/>
      <c r="AAX381" s="776"/>
      <c r="AAY381" s="430"/>
      <c r="AAZ381" s="717"/>
      <c r="ABA381" s="774"/>
      <c r="ABB381" s="774"/>
      <c r="ABC381" s="422"/>
      <c r="ABD381" s="775"/>
      <c r="ABE381" s="774"/>
      <c r="ABF381" s="776"/>
      <c r="ABG381" s="430"/>
      <c r="ABH381" s="717"/>
      <c r="ABI381" s="774"/>
      <c r="ABJ381" s="774"/>
      <c r="ABK381" s="422"/>
      <c r="ABL381" s="775"/>
      <c r="ABM381" s="774"/>
      <c r="ABN381" s="776"/>
      <c r="ABO381" s="430"/>
      <c r="ABP381" s="717"/>
      <c r="ABQ381" s="774"/>
      <c r="ABR381" s="774"/>
      <c r="ABS381" s="422"/>
      <c r="ABT381" s="775"/>
      <c r="ABU381" s="774"/>
      <c r="ABV381" s="776"/>
      <c r="ABW381" s="430"/>
      <c r="ABX381" s="717"/>
      <c r="ABY381" s="774"/>
      <c r="ABZ381" s="774"/>
      <c r="ACA381" s="422"/>
      <c r="ACB381" s="775"/>
      <c r="ACC381" s="774"/>
      <c r="ACD381" s="776"/>
      <c r="ACE381" s="430"/>
      <c r="ACF381" s="717"/>
      <c r="ACG381" s="774"/>
      <c r="ACH381" s="774"/>
      <c r="ACI381" s="422"/>
      <c r="ACJ381" s="775"/>
      <c r="ACK381" s="774"/>
      <c r="ACL381" s="776"/>
      <c r="ACM381" s="430"/>
      <c r="ACN381" s="717"/>
      <c r="ACO381" s="774"/>
      <c r="ACP381" s="774"/>
      <c r="ACQ381" s="422"/>
      <c r="ACR381" s="775"/>
      <c r="ACS381" s="774"/>
      <c r="ACT381" s="776"/>
      <c r="ACU381" s="430"/>
      <c r="ACV381" s="717"/>
      <c r="ACW381" s="774"/>
      <c r="ACX381" s="774"/>
      <c r="ACY381" s="422"/>
      <c r="ACZ381" s="775"/>
      <c r="ADA381" s="774"/>
      <c r="ADB381" s="776"/>
      <c r="ADC381" s="430"/>
      <c r="ADD381" s="717"/>
      <c r="ADE381" s="774"/>
      <c r="ADF381" s="774"/>
      <c r="ADG381" s="422"/>
      <c r="ADH381" s="775"/>
      <c r="ADI381" s="774"/>
      <c r="ADJ381" s="776"/>
      <c r="ADK381" s="430"/>
      <c r="ADL381" s="717"/>
      <c r="ADM381" s="774"/>
      <c r="ADN381" s="774"/>
      <c r="ADO381" s="422"/>
      <c r="ADP381" s="775"/>
      <c r="ADQ381" s="774"/>
      <c r="ADR381" s="776"/>
      <c r="ADS381" s="430"/>
      <c r="ADT381" s="717"/>
      <c r="ADU381" s="774"/>
      <c r="ADV381" s="774"/>
      <c r="ADW381" s="422"/>
      <c r="ADX381" s="775"/>
      <c r="ADY381" s="774"/>
      <c r="ADZ381" s="776"/>
      <c r="AEA381" s="430"/>
      <c r="AEB381" s="717"/>
      <c r="AEC381" s="774"/>
      <c r="AED381" s="774"/>
      <c r="AEE381" s="422"/>
      <c r="AEF381" s="775"/>
      <c r="AEG381" s="774"/>
      <c r="AEH381" s="776"/>
      <c r="AEI381" s="430"/>
      <c r="AEJ381" s="717"/>
      <c r="AEK381" s="774"/>
      <c r="AEL381" s="774"/>
      <c r="AEM381" s="422"/>
      <c r="AEN381" s="775"/>
      <c r="AEO381" s="774"/>
      <c r="AEP381" s="776"/>
      <c r="AEQ381" s="430"/>
      <c r="AER381" s="717"/>
      <c r="AES381" s="774"/>
      <c r="AET381" s="774"/>
      <c r="AEU381" s="422"/>
      <c r="AEV381" s="775"/>
      <c r="AEW381" s="774"/>
      <c r="AEX381" s="776"/>
      <c r="AEY381" s="430"/>
      <c r="AEZ381" s="717"/>
      <c r="AFA381" s="774"/>
      <c r="AFB381" s="774"/>
      <c r="AFC381" s="422"/>
      <c r="AFD381" s="775"/>
      <c r="AFE381" s="774"/>
      <c r="AFF381" s="776"/>
      <c r="AFG381" s="430"/>
      <c r="AFH381" s="717"/>
      <c r="AFI381" s="774"/>
      <c r="AFJ381" s="774"/>
      <c r="AFK381" s="422"/>
      <c r="AFL381" s="775"/>
      <c r="AFM381" s="774"/>
      <c r="AFN381" s="776"/>
      <c r="AFO381" s="430"/>
      <c r="AFP381" s="717"/>
      <c r="AFQ381" s="774"/>
      <c r="AFR381" s="774"/>
      <c r="AFS381" s="422"/>
      <c r="AFT381" s="775"/>
      <c r="AFU381" s="774"/>
      <c r="AFV381" s="776"/>
      <c r="AFW381" s="430"/>
      <c r="AFX381" s="717"/>
      <c r="AFY381" s="774"/>
      <c r="AFZ381" s="774"/>
      <c r="AGA381" s="422"/>
      <c r="AGB381" s="775"/>
      <c r="AGC381" s="774"/>
      <c r="AGD381" s="776"/>
      <c r="AGE381" s="430"/>
      <c r="AGF381" s="717"/>
      <c r="AGG381" s="774"/>
      <c r="AGH381" s="774"/>
      <c r="AGI381" s="422"/>
      <c r="AGJ381" s="775"/>
      <c r="AGK381" s="774"/>
      <c r="AGL381" s="776"/>
      <c r="AGM381" s="430"/>
      <c r="AGN381" s="717"/>
      <c r="AGO381" s="774"/>
      <c r="AGP381" s="774"/>
      <c r="AGQ381" s="422"/>
      <c r="AGR381" s="775"/>
      <c r="AGS381" s="774"/>
      <c r="AGT381" s="776"/>
      <c r="AGU381" s="430"/>
      <c r="AGV381" s="717"/>
      <c r="AGW381" s="774"/>
      <c r="AGX381" s="774"/>
      <c r="AGY381" s="422"/>
      <c r="AGZ381" s="775"/>
      <c r="AHA381" s="774"/>
      <c r="AHB381" s="776"/>
      <c r="AHC381" s="430"/>
      <c r="AHD381" s="717"/>
      <c r="AHE381" s="774"/>
      <c r="AHF381" s="774"/>
      <c r="AHG381" s="422"/>
      <c r="AHH381" s="775"/>
      <c r="AHI381" s="774"/>
      <c r="AHJ381" s="776"/>
      <c r="AHK381" s="430"/>
      <c r="AHL381" s="717"/>
      <c r="AHM381" s="774"/>
      <c r="AHN381" s="774"/>
      <c r="AHO381" s="422"/>
      <c r="AHP381" s="775"/>
      <c r="AHQ381" s="774"/>
      <c r="AHR381" s="776"/>
      <c r="AHS381" s="430"/>
      <c r="AHT381" s="717"/>
      <c r="AHU381" s="774"/>
      <c r="AHV381" s="774"/>
      <c r="AHW381" s="422"/>
      <c r="AHX381" s="775"/>
      <c r="AHY381" s="774"/>
      <c r="AHZ381" s="776"/>
      <c r="AIA381" s="430"/>
      <c r="AIB381" s="717"/>
      <c r="AIC381" s="774"/>
      <c r="AID381" s="774"/>
      <c r="AIE381" s="422"/>
      <c r="AIF381" s="775"/>
      <c r="AIG381" s="774"/>
      <c r="AIH381" s="776"/>
      <c r="AII381" s="430"/>
      <c r="AIJ381" s="717"/>
      <c r="AIK381" s="774"/>
      <c r="AIL381" s="774"/>
      <c r="AIM381" s="422"/>
      <c r="AIN381" s="775"/>
      <c r="AIO381" s="774"/>
      <c r="AIP381" s="776"/>
      <c r="AIQ381" s="430"/>
      <c r="AIR381" s="717"/>
      <c r="AIS381" s="774"/>
      <c r="AIT381" s="774"/>
      <c r="AIU381" s="422"/>
      <c r="AIV381" s="775"/>
      <c r="AIW381" s="774"/>
      <c r="AIX381" s="776"/>
      <c r="AIY381" s="430"/>
      <c r="AIZ381" s="717"/>
      <c r="AJA381" s="774"/>
      <c r="AJB381" s="774"/>
      <c r="AJC381" s="422"/>
      <c r="AJD381" s="775"/>
      <c r="AJE381" s="774"/>
      <c r="AJF381" s="776"/>
      <c r="AJG381" s="430"/>
      <c r="AJH381" s="717"/>
      <c r="AJI381" s="774"/>
      <c r="AJJ381" s="774"/>
      <c r="AJK381" s="422"/>
      <c r="AJL381" s="775"/>
      <c r="AJM381" s="774"/>
      <c r="AJN381" s="776"/>
      <c r="AJO381" s="430"/>
      <c r="AJP381" s="717"/>
      <c r="AJQ381" s="774"/>
      <c r="AJR381" s="774"/>
      <c r="AJS381" s="422"/>
      <c r="AJT381" s="775"/>
      <c r="AJU381" s="774"/>
      <c r="AJV381" s="776"/>
      <c r="AJW381" s="430"/>
      <c r="AJX381" s="717"/>
      <c r="AJY381" s="774"/>
      <c r="AJZ381" s="774"/>
      <c r="AKA381" s="422"/>
      <c r="AKB381" s="775"/>
      <c r="AKC381" s="774"/>
      <c r="AKD381" s="776"/>
      <c r="AKE381" s="430"/>
      <c r="AKF381" s="717"/>
      <c r="AKG381" s="774"/>
      <c r="AKH381" s="774"/>
      <c r="AKI381" s="422"/>
      <c r="AKJ381" s="775"/>
      <c r="AKK381" s="774"/>
      <c r="AKL381" s="776"/>
      <c r="AKM381" s="430"/>
      <c r="AKN381" s="717"/>
      <c r="AKO381" s="774"/>
      <c r="AKP381" s="774"/>
      <c r="AKQ381" s="422"/>
      <c r="AKR381" s="775"/>
      <c r="AKS381" s="774"/>
      <c r="AKT381" s="776"/>
      <c r="AKU381" s="430"/>
      <c r="AKV381" s="717"/>
      <c r="AKW381" s="774"/>
      <c r="AKX381" s="774"/>
      <c r="AKY381" s="422"/>
      <c r="AKZ381" s="775"/>
      <c r="ALA381" s="774"/>
      <c r="ALB381" s="776"/>
      <c r="ALC381" s="430"/>
      <c r="ALD381" s="717"/>
      <c r="ALE381" s="774"/>
      <c r="ALF381" s="774"/>
      <c r="ALG381" s="422"/>
      <c r="ALH381" s="775"/>
      <c r="ALI381" s="774"/>
      <c r="ALJ381" s="776"/>
      <c r="ALK381" s="430"/>
      <c r="ALL381" s="717"/>
      <c r="ALM381" s="774"/>
      <c r="ALN381" s="774"/>
      <c r="ALO381" s="422"/>
      <c r="ALP381" s="775"/>
      <c r="ALQ381" s="774"/>
      <c r="ALR381" s="776"/>
      <c r="ALS381" s="430"/>
      <c r="ALT381" s="717"/>
      <c r="ALU381" s="774"/>
      <c r="ALV381" s="774"/>
      <c r="ALW381" s="422"/>
      <c r="ALX381" s="775"/>
      <c r="ALY381" s="774"/>
      <c r="ALZ381" s="776"/>
      <c r="AMA381" s="430"/>
      <c r="AMB381" s="717"/>
      <c r="AMC381" s="774"/>
      <c r="AMD381" s="774"/>
      <c r="AME381" s="422"/>
      <c r="AMF381" s="775"/>
      <c r="AMG381" s="774"/>
      <c r="AMH381" s="776"/>
      <c r="AMI381" s="430"/>
      <c r="AMJ381" s="717"/>
      <c r="AMK381" s="774"/>
      <c r="AML381" s="774"/>
      <c r="AMM381" s="422"/>
      <c r="AMN381" s="775"/>
      <c r="AMO381" s="774"/>
      <c r="AMP381" s="776"/>
      <c r="AMQ381" s="430"/>
      <c r="AMR381" s="717"/>
      <c r="AMS381" s="774"/>
      <c r="AMT381" s="774"/>
      <c r="AMU381" s="422"/>
      <c r="AMV381" s="775"/>
      <c r="AMW381" s="774"/>
      <c r="AMX381" s="776"/>
      <c r="AMY381" s="430"/>
      <c r="AMZ381" s="717"/>
      <c r="ANA381" s="774"/>
      <c r="ANB381" s="774"/>
      <c r="ANC381" s="422"/>
      <c r="AND381" s="775"/>
      <c r="ANE381" s="774"/>
      <c r="ANF381" s="776"/>
      <c r="ANG381" s="430"/>
      <c r="ANH381" s="717"/>
      <c r="ANI381" s="774"/>
      <c r="ANJ381" s="774"/>
      <c r="ANK381" s="422"/>
      <c r="ANL381" s="775"/>
      <c r="ANM381" s="774"/>
      <c r="ANN381" s="776"/>
      <c r="ANO381" s="430"/>
      <c r="ANP381" s="717"/>
      <c r="ANQ381" s="774"/>
      <c r="ANR381" s="774"/>
      <c r="ANS381" s="422"/>
      <c r="ANT381" s="775"/>
      <c r="ANU381" s="774"/>
      <c r="ANV381" s="776"/>
      <c r="ANW381" s="430"/>
      <c r="ANX381" s="717"/>
      <c r="ANY381" s="774"/>
      <c r="ANZ381" s="774"/>
      <c r="AOA381" s="422"/>
      <c r="AOB381" s="775"/>
      <c r="AOC381" s="774"/>
      <c r="AOD381" s="776"/>
      <c r="AOE381" s="430"/>
      <c r="AOF381" s="717"/>
      <c r="AOG381" s="774"/>
      <c r="AOH381" s="774"/>
      <c r="AOI381" s="422"/>
      <c r="AOJ381" s="775"/>
      <c r="AOK381" s="774"/>
      <c r="AOL381" s="776"/>
      <c r="AOM381" s="430"/>
      <c r="AON381" s="717"/>
      <c r="AOO381" s="774"/>
      <c r="AOP381" s="774"/>
      <c r="AOQ381" s="422"/>
      <c r="AOR381" s="775"/>
      <c r="AOS381" s="774"/>
      <c r="AOT381" s="776"/>
      <c r="AOU381" s="430"/>
      <c r="AOV381" s="717"/>
      <c r="AOW381" s="774"/>
      <c r="AOX381" s="774"/>
      <c r="AOY381" s="422"/>
      <c r="AOZ381" s="775"/>
      <c r="APA381" s="774"/>
      <c r="APB381" s="776"/>
      <c r="APC381" s="430"/>
      <c r="APD381" s="717"/>
      <c r="APE381" s="774"/>
      <c r="APF381" s="774"/>
      <c r="APG381" s="422"/>
      <c r="APH381" s="775"/>
      <c r="API381" s="774"/>
      <c r="APJ381" s="776"/>
      <c r="APK381" s="430"/>
      <c r="APL381" s="717"/>
      <c r="APM381" s="774"/>
      <c r="APN381" s="774"/>
      <c r="APO381" s="422"/>
      <c r="APP381" s="775"/>
      <c r="APQ381" s="774"/>
      <c r="APR381" s="776"/>
      <c r="APS381" s="430"/>
      <c r="APT381" s="717"/>
      <c r="APU381" s="774"/>
      <c r="APV381" s="774"/>
      <c r="APW381" s="422"/>
      <c r="APX381" s="775"/>
      <c r="APY381" s="774"/>
      <c r="APZ381" s="776"/>
      <c r="AQA381" s="430"/>
      <c r="AQB381" s="717"/>
      <c r="AQC381" s="774"/>
      <c r="AQD381" s="774"/>
      <c r="AQE381" s="422"/>
      <c r="AQF381" s="775"/>
      <c r="AQG381" s="774"/>
      <c r="AQH381" s="776"/>
      <c r="AQI381" s="430"/>
      <c r="AQJ381" s="717"/>
      <c r="AQK381" s="774"/>
      <c r="AQL381" s="774"/>
      <c r="AQM381" s="422"/>
      <c r="AQN381" s="775"/>
      <c r="AQO381" s="774"/>
      <c r="AQP381" s="776"/>
      <c r="AQQ381" s="430"/>
      <c r="AQR381" s="717"/>
      <c r="AQS381" s="774"/>
      <c r="AQT381" s="774"/>
      <c r="AQU381" s="422"/>
      <c r="AQV381" s="775"/>
      <c r="AQW381" s="774"/>
      <c r="AQX381" s="776"/>
      <c r="AQY381" s="430"/>
      <c r="AQZ381" s="717"/>
      <c r="ARA381" s="774"/>
      <c r="ARB381" s="774"/>
      <c r="ARC381" s="422"/>
      <c r="ARD381" s="775"/>
      <c r="ARE381" s="774"/>
      <c r="ARF381" s="776"/>
      <c r="ARG381" s="430"/>
      <c r="ARH381" s="717"/>
      <c r="ARI381" s="774"/>
      <c r="ARJ381" s="774"/>
      <c r="ARK381" s="422"/>
      <c r="ARL381" s="775"/>
      <c r="ARM381" s="774"/>
      <c r="ARN381" s="776"/>
      <c r="ARO381" s="430"/>
      <c r="ARP381" s="717"/>
      <c r="ARQ381" s="774"/>
      <c r="ARR381" s="774"/>
      <c r="ARS381" s="422"/>
      <c r="ART381" s="775"/>
      <c r="ARU381" s="774"/>
      <c r="ARV381" s="776"/>
      <c r="ARW381" s="430"/>
      <c r="ARX381" s="717"/>
      <c r="ARY381" s="774"/>
      <c r="ARZ381" s="774"/>
      <c r="ASA381" s="422"/>
      <c r="ASB381" s="775"/>
      <c r="ASC381" s="774"/>
      <c r="ASD381" s="776"/>
      <c r="ASE381" s="430"/>
      <c r="ASF381" s="717"/>
      <c r="ASG381" s="774"/>
      <c r="ASH381" s="774"/>
      <c r="ASI381" s="422"/>
      <c r="ASJ381" s="775"/>
      <c r="ASK381" s="774"/>
      <c r="ASL381" s="776"/>
      <c r="ASM381" s="430"/>
      <c r="ASN381" s="717"/>
      <c r="ASO381" s="774"/>
      <c r="ASP381" s="774"/>
      <c r="ASQ381" s="422"/>
      <c r="ASR381" s="775"/>
      <c r="ASS381" s="774"/>
      <c r="AST381" s="776"/>
      <c r="ASU381" s="430"/>
      <c r="ASV381" s="717"/>
      <c r="ASW381" s="774"/>
      <c r="ASX381" s="774"/>
      <c r="ASY381" s="422"/>
      <c r="ASZ381" s="775"/>
      <c r="ATA381" s="774"/>
      <c r="ATB381" s="776"/>
      <c r="ATC381" s="430"/>
      <c r="ATD381" s="717"/>
      <c r="ATE381" s="774"/>
      <c r="ATF381" s="774"/>
      <c r="ATG381" s="422"/>
      <c r="ATH381" s="775"/>
      <c r="ATI381" s="774"/>
      <c r="ATJ381" s="776"/>
      <c r="ATK381" s="430"/>
      <c r="ATL381" s="717"/>
      <c r="ATM381" s="774"/>
      <c r="ATN381" s="774"/>
      <c r="ATO381" s="422"/>
      <c r="ATP381" s="775"/>
      <c r="ATQ381" s="774"/>
      <c r="ATR381" s="776"/>
      <c r="ATS381" s="430"/>
      <c r="ATT381" s="717"/>
      <c r="ATU381" s="774"/>
      <c r="ATV381" s="774"/>
      <c r="ATW381" s="422"/>
      <c r="ATX381" s="775"/>
      <c r="ATY381" s="774"/>
      <c r="ATZ381" s="776"/>
      <c r="AUA381" s="430"/>
      <c r="AUB381" s="717"/>
      <c r="AUC381" s="774"/>
      <c r="AUD381" s="774"/>
      <c r="AUE381" s="422"/>
      <c r="AUF381" s="775"/>
      <c r="AUG381" s="774"/>
      <c r="AUH381" s="776"/>
      <c r="AUI381" s="430"/>
      <c r="AUJ381" s="717"/>
      <c r="AUK381" s="774"/>
      <c r="AUL381" s="774"/>
      <c r="AUM381" s="422"/>
      <c r="AUN381" s="775"/>
      <c r="AUO381" s="774"/>
      <c r="AUP381" s="776"/>
      <c r="AUQ381" s="430"/>
      <c r="AUR381" s="717"/>
      <c r="AUS381" s="774"/>
      <c r="AUT381" s="774"/>
      <c r="AUU381" s="422"/>
      <c r="AUV381" s="775"/>
      <c r="AUW381" s="774"/>
      <c r="AUX381" s="776"/>
      <c r="AUY381" s="430"/>
      <c r="AUZ381" s="717"/>
      <c r="AVA381" s="774"/>
      <c r="AVB381" s="774"/>
      <c r="AVC381" s="422"/>
      <c r="AVD381" s="775"/>
      <c r="AVE381" s="774"/>
      <c r="AVF381" s="776"/>
      <c r="AVG381" s="430"/>
      <c r="AVH381" s="717"/>
      <c r="AVI381" s="774"/>
      <c r="AVJ381" s="774"/>
      <c r="AVK381" s="422"/>
      <c r="AVL381" s="775"/>
      <c r="AVM381" s="774"/>
      <c r="AVN381" s="776"/>
      <c r="AVO381" s="430"/>
      <c r="AVP381" s="717"/>
      <c r="AVQ381" s="774"/>
      <c r="AVR381" s="774"/>
      <c r="AVS381" s="422"/>
      <c r="AVT381" s="775"/>
      <c r="AVU381" s="774"/>
      <c r="AVV381" s="776"/>
      <c r="AVW381" s="430"/>
      <c r="AVX381" s="717"/>
      <c r="AVY381" s="774"/>
      <c r="AVZ381" s="774"/>
      <c r="AWA381" s="422"/>
      <c r="AWB381" s="775"/>
      <c r="AWC381" s="774"/>
      <c r="AWD381" s="776"/>
      <c r="AWE381" s="430"/>
      <c r="AWF381" s="717"/>
      <c r="AWG381" s="774"/>
      <c r="AWH381" s="774"/>
      <c r="AWI381" s="422"/>
      <c r="AWJ381" s="775"/>
      <c r="AWK381" s="774"/>
      <c r="AWL381" s="776"/>
      <c r="AWM381" s="430"/>
      <c r="AWN381" s="717"/>
      <c r="AWO381" s="774"/>
      <c r="AWP381" s="774"/>
      <c r="AWQ381" s="422"/>
      <c r="AWR381" s="775"/>
      <c r="AWS381" s="774"/>
      <c r="AWT381" s="776"/>
      <c r="AWU381" s="430"/>
      <c r="AWV381" s="717"/>
      <c r="AWW381" s="774"/>
      <c r="AWX381" s="774"/>
      <c r="AWY381" s="422"/>
      <c r="AWZ381" s="775"/>
      <c r="AXA381" s="774"/>
      <c r="AXB381" s="776"/>
      <c r="AXC381" s="430"/>
      <c r="AXD381" s="717"/>
      <c r="AXE381" s="774"/>
      <c r="AXF381" s="774"/>
      <c r="AXG381" s="422"/>
      <c r="AXH381" s="775"/>
      <c r="AXI381" s="774"/>
      <c r="AXJ381" s="776"/>
      <c r="AXK381" s="430"/>
      <c r="AXL381" s="717"/>
      <c r="AXM381" s="774"/>
      <c r="AXN381" s="774"/>
      <c r="AXO381" s="422"/>
      <c r="AXP381" s="775"/>
      <c r="AXQ381" s="774"/>
      <c r="AXR381" s="776"/>
      <c r="AXS381" s="430"/>
      <c r="AXT381" s="717"/>
      <c r="AXU381" s="774"/>
      <c r="AXV381" s="774"/>
      <c r="AXW381" s="422"/>
      <c r="AXX381" s="775"/>
      <c r="AXY381" s="774"/>
      <c r="AXZ381" s="776"/>
      <c r="AYA381" s="430"/>
      <c r="AYB381" s="717"/>
      <c r="AYC381" s="774"/>
      <c r="AYD381" s="774"/>
      <c r="AYE381" s="422"/>
      <c r="AYF381" s="775"/>
      <c r="AYG381" s="774"/>
      <c r="AYH381" s="776"/>
      <c r="AYI381" s="430"/>
      <c r="AYJ381" s="717"/>
      <c r="AYK381" s="774"/>
      <c r="AYL381" s="774"/>
      <c r="AYM381" s="422"/>
      <c r="AYN381" s="775"/>
      <c r="AYO381" s="774"/>
      <c r="AYP381" s="776"/>
      <c r="AYQ381" s="430"/>
      <c r="AYR381" s="717"/>
      <c r="AYS381" s="774"/>
      <c r="AYT381" s="774"/>
      <c r="AYU381" s="422"/>
      <c r="AYV381" s="775"/>
      <c r="AYW381" s="774"/>
      <c r="AYX381" s="776"/>
      <c r="AYY381" s="430"/>
      <c r="AYZ381" s="717"/>
      <c r="AZA381" s="774"/>
      <c r="AZB381" s="774"/>
      <c r="AZC381" s="422"/>
      <c r="AZD381" s="775"/>
      <c r="AZE381" s="774"/>
      <c r="AZF381" s="776"/>
      <c r="AZG381" s="430"/>
      <c r="AZH381" s="717"/>
      <c r="AZI381" s="774"/>
      <c r="AZJ381" s="774"/>
      <c r="AZK381" s="422"/>
      <c r="AZL381" s="775"/>
      <c r="AZM381" s="774"/>
      <c r="AZN381" s="776"/>
      <c r="AZO381" s="430"/>
      <c r="AZP381" s="717"/>
      <c r="AZQ381" s="774"/>
      <c r="AZR381" s="774"/>
      <c r="AZS381" s="422"/>
      <c r="AZT381" s="775"/>
      <c r="AZU381" s="774"/>
      <c r="AZV381" s="776"/>
      <c r="AZW381" s="430"/>
      <c r="AZX381" s="717"/>
      <c r="AZY381" s="774"/>
      <c r="AZZ381" s="774"/>
      <c r="BAA381" s="422"/>
      <c r="BAB381" s="775"/>
      <c r="BAC381" s="774"/>
      <c r="BAD381" s="776"/>
      <c r="BAE381" s="430"/>
      <c r="BAF381" s="717"/>
      <c r="BAG381" s="774"/>
      <c r="BAH381" s="774"/>
      <c r="BAI381" s="422"/>
      <c r="BAJ381" s="775"/>
      <c r="BAK381" s="774"/>
      <c r="BAL381" s="776"/>
      <c r="BAM381" s="430"/>
      <c r="BAN381" s="717"/>
      <c r="BAO381" s="774"/>
      <c r="BAP381" s="774"/>
      <c r="BAQ381" s="422"/>
      <c r="BAR381" s="775"/>
      <c r="BAS381" s="774"/>
      <c r="BAT381" s="776"/>
      <c r="BAU381" s="430"/>
      <c r="BAV381" s="717"/>
      <c r="BAW381" s="774"/>
      <c r="BAX381" s="774"/>
      <c r="BAY381" s="422"/>
      <c r="BAZ381" s="775"/>
      <c r="BBA381" s="774"/>
      <c r="BBB381" s="776"/>
      <c r="BBC381" s="430"/>
      <c r="BBD381" s="717"/>
      <c r="BBE381" s="774"/>
      <c r="BBF381" s="774"/>
      <c r="BBG381" s="422"/>
      <c r="BBH381" s="775"/>
      <c r="BBI381" s="774"/>
      <c r="BBJ381" s="776"/>
      <c r="BBK381" s="430"/>
      <c r="BBL381" s="717"/>
      <c r="BBM381" s="774"/>
      <c r="BBN381" s="774"/>
      <c r="BBO381" s="422"/>
      <c r="BBP381" s="775"/>
      <c r="BBQ381" s="774"/>
      <c r="BBR381" s="776"/>
      <c r="BBS381" s="430"/>
      <c r="BBT381" s="717"/>
      <c r="BBU381" s="774"/>
      <c r="BBV381" s="774"/>
      <c r="BBW381" s="422"/>
      <c r="BBX381" s="775"/>
      <c r="BBY381" s="774"/>
      <c r="BBZ381" s="776"/>
      <c r="BCA381" s="430"/>
      <c r="BCB381" s="717"/>
      <c r="BCC381" s="774"/>
      <c r="BCD381" s="774"/>
      <c r="BCE381" s="422"/>
      <c r="BCF381" s="775"/>
      <c r="BCG381" s="774"/>
      <c r="BCH381" s="776"/>
      <c r="BCI381" s="430"/>
      <c r="BCJ381" s="717"/>
      <c r="BCK381" s="774"/>
      <c r="BCL381" s="774"/>
      <c r="BCM381" s="422"/>
      <c r="BCN381" s="775"/>
      <c r="BCO381" s="774"/>
      <c r="BCP381" s="776"/>
      <c r="BCQ381" s="430"/>
      <c r="BCR381" s="717"/>
      <c r="BCS381" s="774"/>
      <c r="BCT381" s="774"/>
      <c r="BCU381" s="422"/>
      <c r="BCV381" s="775"/>
      <c r="BCW381" s="774"/>
      <c r="BCX381" s="776"/>
      <c r="BCY381" s="430"/>
      <c r="BCZ381" s="717"/>
      <c r="BDA381" s="774"/>
      <c r="BDB381" s="774"/>
      <c r="BDC381" s="422"/>
      <c r="BDD381" s="775"/>
      <c r="BDE381" s="774"/>
      <c r="BDF381" s="776"/>
      <c r="BDG381" s="430"/>
      <c r="BDH381" s="717"/>
      <c r="BDI381" s="774"/>
      <c r="BDJ381" s="774"/>
      <c r="BDK381" s="422"/>
      <c r="BDL381" s="775"/>
      <c r="BDM381" s="774"/>
      <c r="BDN381" s="776"/>
      <c r="BDO381" s="430"/>
      <c r="BDP381" s="717"/>
      <c r="BDQ381" s="774"/>
      <c r="BDR381" s="774"/>
      <c r="BDS381" s="422"/>
      <c r="BDT381" s="775"/>
      <c r="BDU381" s="774"/>
      <c r="BDV381" s="776"/>
      <c r="BDW381" s="430"/>
      <c r="BDX381" s="717"/>
      <c r="BDY381" s="774"/>
      <c r="BDZ381" s="774"/>
      <c r="BEA381" s="422"/>
      <c r="BEB381" s="775"/>
      <c r="BEC381" s="774"/>
      <c r="BED381" s="776"/>
      <c r="BEE381" s="430"/>
      <c r="BEF381" s="717"/>
      <c r="BEG381" s="774"/>
      <c r="BEH381" s="774"/>
      <c r="BEI381" s="422"/>
      <c r="BEJ381" s="775"/>
      <c r="BEK381" s="774"/>
      <c r="BEL381" s="776"/>
      <c r="BEM381" s="430"/>
      <c r="BEN381" s="717"/>
      <c r="BEO381" s="774"/>
      <c r="BEP381" s="774"/>
      <c r="BEQ381" s="422"/>
      <c r="BER381" s="775"/>
      <c r="BES381" s="774"/>
      <c r="BET381" s="776"/>
      <c r="BEU381" s="430"/>
      <c r="BEV381" s="717"/>
      <c r="BEW381" s="774"/>
      <c r="BEX381" s="774"/>
      <c r="BEY381" s="422"/>
      <c r="BEZ381" s="775"/>
      <c r="BFA381" s="774"/>
      <c r="BFB381" s="776"/>
      <c r="BFC381" s="430"/>
      <c r="BFD381" s="717"/>
      <c r="BFE381" s="774"/>
      <c r="BFF381" s="774"/>
      <c r="BFG381" s="422"/>
      <c r="BFH381" s="775"/>
      <c r="BFI381" s="774"/>
      <c r="BFJ381" s="776"/>
      <c r="BFK381" s="430"/>
      <c r="BFL381" s="717"/>
      <c r="BFM381" s="774"/>
      <c r="BFN381" s="774"/>
      <c r="BFO381" s="422"/>
      <c r="BFP381" s="775"/>
      <c r="BFQ381" s="774"/>
      <c r="BFR381" s="776"/>
      <c r="BFS381" s="430"/>
      <c r="BFT381" s="717"/>
      <c r="BFU381" s="774"/>
      <c r="BFV381" s="774"/>
      <c r="BFW381" s="422"/>
      <c r="BFX381" s="775"/>
      <c r="BFY381" s="774"/>
      <c r="BFZ381" s="776"/>
      <c r="BGA381" s="430"/>
      <c r="BGB381" s="717"/>
      <c r="BGC381" s="774"/>
      <c r="BGD381" s="774"/>
      <c r="BGE381" s="422"/>
      <c r="BGF381" s="775"/>
      <c r="BGG381" s="774"/>
      <c r="BGH381" s="776"/>
      <c r="BGI381" s="430"/>
      <c r="BGJ381" s="717"/>
      <c r="BGK381" s="774"/>
      <c r="BGL381" s="774"/>
      <c r="BGM381" s="422"/>
      <c r="BGN381" s="775"/>
      <c r="BGO381" s="774"/>
      <c r="BGP381" s="776"/>
      <c r="BGQ381" s="430"/>
      <c r="BGR381" s="717"/>
      <c r="BGS381" s="774"/>
      <c r="BGT381" s="774"/>
      <c r="BGU381" s="422"/>
      <c r="BGV381" s="775"/>
      <c r="BGW381" s="774"/>
      <c r="BGX381" s="776"/>
      <c r="BGY381" s="430"/>
      <c r="BGZ381" s="717"/>
      <c r="BHA381" s="774"/>
      <c r="BHB381" s="774"/>
      <c r="BHC381" s="422"/>
      <c r="BHD381" s="775"/>
      <c r="BHE381" s="774"/>
      <c r="BHF381" s="776"/>
      <c r="BHG381" s="430"/>
      <c r="BHH381" s="717"/>
      <c r="BHI381" s="774"/>
      <c r="BHJ381" s="774"/>
      <c r="BHK381" s="422"/>
      <c r="BHL381" s="775"/>
      <c r="BHM381" s="774"/>
      <c r="BHN381" s="776"/>
      <c r="BHO381" s="430"/>
      <c r="BHP381" s="717"/>
      <c r="BHQ381" s="774"/>
      <c r="BHR381" s="774"/>
      <c r="BHS381" s="422"/>
      <c r="BHT381" s="775"/>
      <c r="BHU381" s="774"/>
      <c r="BHV381" s="776"/>
      <c r="BHW381" s="430"/>
      <c r="BHX381" s="717"/>
      <c r="BHY381" s="774"/>
      <c r="BHZ381" s="774"/>
      <c r="BIA381" s="422"/>
      <c r="BIB381" s="775"/>
      <c r="BIC381" s="774"/>
      <c r="BID381" s="776"/>
      <c r="BIE381" s="430"/>
      <c r="BIF381" s="717"/>
      <c r="BIG381" s="774"/>
      <c r="BIH381" s="774"/>
      <c r="BII381" s="422"/>
      <c r="BIJ381" s="775"/>
      <c r="BIK381" s="774"/>
      <c r="BIL381" s="776"/>
      <c r="BIM381" s="430"/>
      <c r="BIN381" s="717"/>
      <c r="BIO381" s="774"/>
      <c r="BIP381" s="774"/>
      <c r="BIQ381" s="422"/>
      <c r="BIR381" s="775"/>
      <c r="BIS381" s="774"/>
      <c r="BIT381" s="776"/>
      <c r="BIU381" s="430"/>
      <c r="BIV381" s="717"/>
      <c r="BIW381" s="774"/>
      <c r="BIX381" s="774"/>
      <c r="BIY381" s="422"/>
      <c r="BIZ381" s="775"/>
      <c r="BJA381" s="774"/>
      <c r="BJB381" s="776"/>
      <c r="BJC381" s="430"/>
      <c r="BJD381" s="717"/>
      <c r="BJE381" s="774"/>
      <c r="BJF381" s="774"/>
      <c r="BJG381" s="422"/>
      <c r="BJH381" s="775"/>
      <c r="BJI381" s="774"/>
      <c r="BJJ381" s="776"/>
      <c r="BJK381" s="430"/>
      <c r="BJL381" s="717"/>
      <c r="BJM381" s="774"/>
      <c r="BJN381" s="774"/>
      <c r="BJO381" s="422"/>
      <c r="BJP381" s="775"/>
      <c r="BJQ381" s="774"/>
      <c r="BJR381" s="776"/>
      <c r="BJS381" s="430"/>
      <c r="BJT381" s="717"/>
      <c r="BJU381" s="774"/>
      <c r="BJV381" s="774"/>
      <c r="BJW381" s="422"/>
      <c r="BJX381" s="775"/>
      <c r="BJY381" s="774"/>
      <c r="BJZ381" s="776"/>
      <c r="BKA381" s="430"/>
      <c r="BKB381" s="717"/>
      <c r="BKC381" s="774"/>
      <c r="BKD381" s="774"/>
      <c r="BKE381" s="422"/>
      <c r="BKF381" s="775"/>
      <c r="BKG381" s="774"/>
      <c r="BKH381" s="776"/>
      <c r="BKI381" s="430"/>
      <c r="BKJ381" s="717"/>
      <c r="BKK381" s="774"/>
      <c r="BKL381" s="774"/>
      <c r="BKM381" s="422"/>
      <c r="BKN381" s="775"/>
      <c r="BKO381" s="774"/>
      <c r="BKP381" s="776"/>
      <c r="BKQ381" s="430"/>
      <c r="BKR381" s="717"/>
      <c r="BKS381" s="774"/>
      <c r="BKT381" s="774"/>
      <c r="BKU381" s="422"/>
      <c r="BKV381" s="775"/>
      <c r="BKW381" s="774"/>
      <c r="BKX381" s="776"/>
      <c r="BKY381" s="430"/>
      <c r="BKZ381" s="717"/>
      <c r="BLA381" s="774"/>
      <c r="BLB381" s="774"/>
      <c r="BLC381" s="422"/>
      <c r="BLD381" s="775"/>
      <c r="BLE381" s="774"/>
      <c r="BLF381" s="776"/>
      <c r="BLG381" s="430"/>
      <c r="BLH381" s="717"/>
      <c r="BLI381" s="774"/>
      <c r="BLJ381" s="774"/>
      <c r="BLK381" s="422"/>
      <c r="BLL381" s="775"/>
      <c r="BLM381" s="774"/>
      <c r="BLN381" s="776"/>
      <c r="BLO381" s="430"/>
      <c r="BLP381" s="717"/>
      <c r="BLQ381" s="774"/>
      <c r="BLR381" s="774"/>
      <c r="BLS381" s="422"/>
      <c r="BLT381" s="775"/>
      <c r="BLU381" s="774"/>
      <c r="BLV381" s="776"/>
      <c r="BLW381" s="430"/>
      <c r="BLX381" s="717"/>
      <c r="BLY381" s="774"/>
      <c r="BLZ381" s="774"/>
      <c r="BMA381" s="422"/>
      <c r="BMB381" s="775"/>
      <c r="BMC381" s="774"/>
      <c r="BMD381" s="776"/>
      <c r="BME381" s="430"/>
      <c r="BMF381" s="717"/>
      <c r="BMG381" s="774"/>
      <c r="BMH381" s="774"/>
      <c r="BMI381" s="422"/>
      <c r="BMJ381" s="775"/>
      <c r="BMK381" s="774"/>
      <c r="BML381" s="776"/>
      <c r="BMM381" s="430"/>
      <c r="BMN381" s="717"/>
      <c r="BMO381" s="774"/>
      <c r="BMP381" s="774"/>
      <c r="BMQ381" s="422"/>
      <c r="BMR381" s="775"/>
      <c r="BMS381" s="774"/>
      <c r="BMT381" s="776"/>
      <c r="BMU381" s="430"/>
      <c r="BMV381" s="717"/>
      <c r="BMW381" s="774"/>
      <c r="BMX381" s="774"/>
      <c r="BMY381" s="422"/>
      <c r="BMZ381" s="775"/>
      <c r="BNA381" s="774"/>
      <c r="BNB381" s="776"/>
      <c r="BNC381" s="430"/>
      <c r="BND381" s="717"/>
      <c r="BNE381" s="774"/>
      <c r="BNF381" s="774"/>
      <c r="BNG381" s="422"/>
      <c r="BNH381" s="775"/>
      <c r="BNI381" s="774"/>
      <c r="BNJ381" s="776"/>
      <c r="BNK381" s="430"/>
      <c r="BNL381" s="717"/>
      <c r="BNM381" s="774"/>
      <c r="BNN381" s="774"/>
      <c r="BNO381" s="422"/>
      <c r="BNP381" s="775"/>
      <c r="BNQ381" s="774"/>
      <c r="BNR381" s="776"/>
      <c r="BNS381" s="430"/>
      <c r="BNT381" s="717"/>
      <c r="BNU381" s="774"/>
      <c r="BNV381" s="774"/>
      <c r="BNW381" s="422"/>
      <c r="BNX381" s="775"/>
      <c r="BNY381" s="774"/>
      <c r="BNZ381" s="776"/>
      <c r="BOA381" s="430"/>
      <c r="BOB381" s="717"/>
      <c r="BOC381" s="774"/>
      <c r="BOD381" s="774"/>
      <c r="BOE381" s="422"/>
      <c r="BOF381" s="775"/>
      <c r="BOG381" s="774"/>
      <c r="BOH381" s="776"/>
      <c r="BOI381" s="430"/>
      <c r="BOJ381" s="717"/>
      <c r="BOK381" s="774"/>
      <c r="BOL381" s="774"/>
      <c r="BOM381" s="422"/>
      <c r="BON381" s="775"/>
      <c r="BOO381" s="774"/>
      <c r="BOP381" s="776"/>
      <c r="BOQ381" s="430"/>
      <c r="BOR381" s="717"/>
      <c r="BOS381" s="774"/>
      <c r="BOT381" s="774"/>
      <c r="BOU381" s="422"/>
      <c r="BOV381" s="775"/>
      <c r="BOW381" s="774"/>
      <c r="BOX381" s="776"/>
      <c r="BOY381" s="430"/>
      <c r="BOZ381" s="717"/>
      <c r="BPA381" s="774"/>
      <c r="BPB381" s="774"/>
      <c r="BPC381" s="422"/>
      <c r="BPD381" s="775"/>
      <c r="BPE381" s="774"/>
      <c r="BPF381" s="776"/>
      <c r="BPG381" s="430"/>
      <c r="BPH381" s="717"/>
      <c r="BPI381" s="774"/>
      <c r="BPJ381" s="774"/>
      <c r="BPK381" s="422"/>
      <c r="BPL381" s="775"/>
      <c r="BPM381" s="774"/>
      <c r="BPN381" s="776"/>
      <c r="BPO381" s="430"/>
      <c r="BPP381" s="717"/>
      <c r="BPQ381" s="774"/>
      <c r="BPR381" s="774"/>
      <c r="BPS381" s="422"/>
      <c r="BPT381" s="775"/>
      <c r="BPU381" s="774"/>
      <c r="BPV381" s="776"/>
      <c r="BPW381" s="430"/>
      <c r="BPX381" s="717"/>
      <c r="BPY381" s="774"/>
      <c r="BPZ381" s="774"/>
      <c r="BQA381" s="422"/>
      <c r="BQB381" s="775"/>
      <c r="BQC381" s="774"/>
      <c r="BQD381" s="776"/>
      <c r="BQE381" s="430"/>
      <c r="BQF381" s="717"/>
      <c r="BQG381" s="774"/>
      <c r="BQH381" s="774"/>
      <c r="BQI381" s="422"/>
      <c r="BQJ381" s="775"/>
      <c r="BQK381" s="774"/>
      <c r="BQL381" s="776"/>
      <c r="BQM381" s="430"/>
      <c r="BQN381" s="717"/>
      <c r="BQO381" s="774"/>
      <c r="BQP381" s="774"/>
      <c r="BQQ381" s="422"/>
      <c r="BQR381" s="775"/>
      <c r="BQS381" s="774"/>
      <c r="BQT381" s="776"/>
      <c r="BQU381" s="430"/>
      <c r="BQV381" s="717"/>
      <c r="BQW381" s="774"/>
      <c r="BQX381" s="774"/>
      <c r="BQY381" s="422"/>
      <c r="BQZ381" s="775"/>
      <c r="BRA381" s="774"/>
      <c r="BRB381" s="776"/>
      <c r="BRC381" s="430"/>
      <c r="BRD381" s="717"/>
      <c r="BRE381" s="774"/>
      <c r="BRF381" s="774"/>
      <c r="BRG381" s="422"/>
      <c r="BRH381" s="775"/>
      <c r="BRI381" s="774"/>
      <c r="BRJ381" s="776"/>
      <c r="BRK381" s="430"/>
      <c r="BRL381" s="717"/>
      <c r="BRM381" s="774"/>
      <c r="BRN381" s="774"/>
      <c r="BRO381" s="422"/>
      <c r="BRP381" s="775"/>
      <c r="BRQ381" s="774"/>
      <c r="BRR381" s="776"/>
      <c r="BRS381" s="430"/>
      <c r="BRT381" s="717"/>
      <c r="BRU381" s="774"/>
      <c r="BRV381" s="774"/>
      <c r="BRW381" s="422"/>
      <c r="BRX381" s="775"/>
      <c r="BRY381" s="774"/>
      <c r="BRZ381" s="776"/>
      <c r="BSA381" s="430"/>
      <c r="BSB381" s="717"/>
      <c r="BSC381" s="774"/>
      <c r="BSD381" s="774"/>
      <c r="BSE381" s="422"/>
      <c r="BSF381" s="775"/>
      <c r="BSG381" s="774"/>
      <c r="BSH381" s="776"/>
      <c r="BSI381" s="430"/>
      <c r="BSJ381" s="717"/>
      <c r="BSK381" s="774"/>
      <c r="BSL381" s="774"/>
      <c r="BSM381" s="422"/>
      <c r="BSN381" s="775"/>
      <c r="BSO381" s="774"/>
      <c r="BSP381" s="776"/>
      <c r="BSQ381" s="430"/>
      <c r="BSR381" s="717"/>
      <c r="BSS381" s="774"/>
      <c r="BST381" s="774"/>
      <c r="BSU381" s="422"/>
      <c r="BSV381" s="775"/>
      <c r="BSW381" s="774"/>
      <c r="BSX381" s="776"/>
      <c r="BSY381" s="430"/>
      <c r="BSZ381" s="717"/>
      <c r="BTA381" s="774"/>
      <c r="BTB381" s="774"/>
      <c r="BTC381" s="422"/>
      <c r="BTD381" s="775"/>
      <c r="BTE381" s="774"/>
      <c r="BTF381" s="776"/>
      <c r="BTG381" s="430"/>
      <c r="BTH381" s="717"/>
      <c r="BTI381" s="774"/>
      <c r="BTJ381" s="774"/>
      <c r="BTK381" s="422"/>
      <c r="BTL381" s="775"/>
      <c r="BTM381" s="774"/>
      <c r="BTN381" s="776"/>
      <c r="BTO381" s="430"/>
      <c r="BTP381" s="717"/>
      <c r="BTQ381" s="774"/>
      <c r="BTR381" s="774"/>
      <c r="BTS381" s="422"/>
      <c r="BTT381" s="775"/>
      <c r="BTU381" s="774"/>
      <c r="BTV381" s="776"/>
      <c r="BTW381" s="430"/>
      <c r="BTX381" s="717"/>
      <c r="BTY381" s="774"/>
      <c r="BTZ381" s="774"/>
      <c r="BUA381" s="422"/>
      <c r="BUB381" s="775"/>
      <c r="BUC381" s="774"/>
      <c r="BUD381" s="776"/>
      <c r="BUE381" s="430"/>
      <c r="BUF381" s="717"/>
      <c r="BUG381" s="774"/>
      <c r="BUH381" s="774"/>
      <c r="BUI381" s="422"/>
      <c r="BUJ381" s="775"/>
      <c r="BUK381" s="774"/>
      <c r="BUL381" s="776"/>
      <c r="BUM381" s="430"/>
      <c r="BUN381" s="717"/>
      <c r="BUO381" s="774"/>
      <c r="BUP381" s="774"/>
      <c r="BUQ381" s="422"/>
      <c r="BUR381" s="775"/>
      <c r="BUS381" s="774"/>
      <c r="BUT381" s="776"/>
      <c r="BUU381" s="430"/>
      <c r="BUV381" s="717"/>
      <c r="BUW381" s="774"/>
      <c r="BUX381" s="774"/>
      <c r="BUY381" s="422"/>
      <c r="BUZ381" s="775"/>
      <c r="BVA381" s="774"/>
      <c r="BVB381" s="776"/>
      <c r="BVC381" s="430"/>
      <c r="BVD381" s="717"/>
      <c r="BVE381" s="774"/>
      <c r="BVF381" s="774"/>
      <c r="BVG381" s="422"/>
      <c r="BVH381" s="775"/>
      <c r="BVI381" s="774"/>
      <c r="BVJ381" s="776"/>
      <c r="BVK381" s="430"/>
      <c r="BVL381" s="717"/>
      <c r="BVM381" s="774"/>
      <c r="BVN381" s="774"/>
      <c r="BVO381" s="422"/>
      <c r="BVP381" s="775"/>
      <c r="BVQ381" s="774"/>
      <c r="BVR381" s="776"/>
      <c r="BVS381" s="430"/>
      <c r="BVT381" s="717"/>
      <c r="BVU381" s="774"/>
      <c r="BVV381" s="774"/>
      <c r="BVW381" s="422"/>
      <c r="BVX381" s="775"/>
      <c r="BVY381" s="774"/>
      <c r="BVZ381" s="776"/>
      <c r="BWA381" s="430"/>
      <c r="BWB381" s="717"/>
      <c r="BWC381" s="774"/>
      <c r="BWD381" s="774"/>
      <c r="BWE381" s="422"/>
      <c r="BWF381" s="775"/>
      <c r="BWG381" s="774"/>
      <c r="BWH381" s="776"/>
      <c r="BWI381" s="430"/>
      <c r="BWJ381" s="717"/>
      <c r="BWK381" s="774"/>
      <c r="BWL381" s="774"/>
      <c r="BWM381" s="422"/>
      <c r="BWN381" s="775"/>
      <c r="BWO381" s="774"/>
      <c r="BWP381" s="776"/>
      <c r="BWQ381" s="430"/>
      <c r="BWR381" s="717"/>
      <c r="BWS381" s="774"/>
      <c r="BWT381" s="774"/>
      <c r="BWU381" s="422"/>
      <c r="BWV381" s="775"/>
      <c r="BWW381" s="774"/>
      <c r="BWX381" s="776"/>
      <c r="BWY381" s="430"/>
      <c r="BWZ381" s="717"/>
      <c r="BXA381" s="774"/>
      <c r="BXB381" s="774"/>
      <c r="BXC381" s="422"/>
      <c r="BXD381" s="775"/>
      <c r="BXE381" s="774"/>
      <c r="BXF381" s="776"/>
      <c r="BXG381" s="430"/>
      <c r="BXH381" s="717"/>
      <c r="BXI381" s="774"/>
      <c r="BXJ381" s="774"/>
      <c r="BXK381" s="422"/>
      <c r="BXL381" s="775"/>
      <c r="BXM381" s="774"/>
      <c r="BXN381" s="776"/>
      <c r="BXO381" s="430"/>
      <c r="BXP381" s="717"/>
      <c r="BXQ381" s="774"/>
      <c r="BXR381" s="774"/>
      <c r="BXS381" s="422"/>
      <c r="BXT381" s="775"/>
      <c r="BXU381" s="774"/>
      <c r="BXV381" s="776"/>
      <c r="BXW381" s="430"/>
      <c r="BXX381" s="717"/>
      <c r="BXY381" s="774"/>
      <c r="BXZ381" s="774"/>
      <c r="BYA381" s="422"/>
      <c r="BYB381" s="775"/>
      <c r="BYC381" s="774"/>
      <c r="BYD381" s="776"/>
      <c r="BYE381" s="430"/>
      <c r="BYF381" s="717"/>
      <c r="BYG381" s="774"/>
      <c r="BYH381" s="774"/>
      <c r="BYI381" s="422"/>
      <c r="BYJ381" s="775"/>
      <c r="BYK381" s="774"/>
      <c r="BYL381" s="776"/>
      <c r="BYM381" s="430"/>
      <c r="BYN381" s="717"/>
      <c r="BYO381" s="774"/>
      <c r="BYP381" s="774"/>
      <c r="BYQ381" s="422"/>
      <c r="BYR381" s="775"/>
      <c r="BYS381" s="774"/>
      <c r="BYT381" s="776"/>
      <c r="BYU381" s="430"/>
      <c r="BYV381" s="717"/>
      <c r="BYW381" s="774"/>
      <c r="BYX381" s="774"/>
      <c r="BYY381" s="422"/>
      <c r="BYZ381" s="775"/>
      <c r="BZA381" s="774"/>
      <c r="BZB381" s="776"/>
      <c r="BZC381" s="430"/>
      <c r="BZD381" s="717"/>
      <c r="BZE381" s="774"/>
      <c r="BZF381" s="774"/>
      <c r="BZG381" s="422"/>
      <c r="BZH381" s="775"/>
      <c r="BZI381" s="774"/>
      <c r="BZJ381" s="776"/>
      <c r="BZK381" s="430"/>
      <c r="BZL381" s="717"/>
      <c r="BZM381" s="774"/>
      <c r="BZN381" s="774"/>
      <c r="BZO381" s="422"/>
      <c r="BZP381" s="775"/>
      <c r="BZQ381" s="774"/>
      <c r="BZR381" s="776"/>
      <c r="BZS381" s="430"/>
      <c r="BZT381" s="717"/>
      <c r="BZU381" s="774"/>
      <c r="BZV381" s="774"/>
      <c r="BZW381" s="422"/>
      <c r="BZX381" s="775"/>
      <c r="BZY381" s="774"/>
      <c r="BZZ381" s="776"/>
      <c r="CAA381" s="430"/>
      <c r="CAB381" s="717"/>
      <c r="CAC381" s="774"/>
      <c r="CAD381" s="774"/>
      <c r="CAE381" s="422"/>
      <c r="CAF381" s="775"/>
      <c r="CAG381" s="774"/>
      <c r="CAH381" s="776"/>
      <c r="CAI381" s="430"/>
      <c r="CAJ381" s="717"/>
      <c r="CAK381" s="774"/>
      <c r="CAL381" s="774"/>
      <c r="CAM381" s="422"/>
      <c r="CAN381" s="775"/>
      <c r="CAO381" s="774"/>
      <c r="CAP381" s="776"/>
      <c r="CAQ381" s="430"/>
      <c r="CAR381" s="717"/>
      <c r="CAS381" s="774"/>
      <c r="CAT381" s="774"/>
      <c r="CAU381" s="422"/>
      <c r="CAV381" s="775"/>
      <c r="CAW381" s="774"/>
      <c r="CAX381" s="776"/>
      <c r="CAY381" s="430"/>
      <c r="CAZ381" s="717"/>
      <c r="CBA381" s="774"/>
      <c r="CBB381" s="774"/>
      <c r="CBC381" s="422"/>
      <c r="CBD381" s="775"/>
      <c r="CBE381" s="774"/>
      <c r="CBF381" s="776"/>
      <c r="CBG381" s="430"/>
      <c r="CBH381" s="717"/>
      <c r="CBI381" s="774"/>
      <c r="CBJ381" s="774"/>
      <c r="CBK381" s="422"/>
      <c r="CBL381" s="775"/>
      <c r="CBM381" s="774"/>
      <c r="CBN381" s="776"/>
      <c r="CBO381" s="430"/>
      <c r="CBP381" s="717"/>
      <c r="CBQ381" s="774"/>
      <c r="CBR381" s="774"/>
      <c r="CBS381" s="422"/>
      <c r="CBT381" s="775"/>
      <c r="CBU381" s="774"/>
      <c r="CBV381" s="776"/>
      <c r="CBW381" s="430"/>
      <c r="CBX381" s="717"/>
      <c r="CBY381" s="774"/>
      <c r="CBZ381" s="774"/>
      <c r="CCA381" s="422"/>
      <c r="CCB381" s="775"/>
      <c r="CCC381" s="774"/>
      <c r="CCD381" s="776"/>
      <c r="CCE381" s="430"/>
      <c r="CCF381" s="717"/>
      <c r="CCG381" s="774"/>
      <c r="CCH381" s="774"/>
      <c r="CCI381" s="422"/>
      <c r="CCJ381" s="775"/>
      <c r="CCK381" s="774"/>
      <c r="CCL381" s="776"/>
      <c r="CCM381" s="430"/>
      <c r="CCN381" s="717"/>
      <c r="CCO381" s="774"/>
      <c r="CCP381" s="774"/>
      <c r="CCQ381" s="422"/>
      <c r="CCR381" s="775"/>
      <c r="CCS381" s="774"/>
      <c r="CCT381" s="776"/>
      <c r="CCU381" s="430"/>
      <c r="CCV381" s="717"/>
      <c r="CCW381" s="774"/>
      <c r="CCX381" s="774"/>
      <c r="CCY381" s="422"/>
      <c r="CCZ381" s="775"/>
      <c r="CDA381" s="774"/>
      <c r="CDB381" s="776"/>
      <c r="CDC381" s="430"/>
      <c r="CDD381" s="717"/>
      <c r="CDE381" s="774"/>
      <c r="CDF381" s="774"/>
      <c r="CDG381" s="422"/>
      <c r="CDH381" s="775"/>
      <c r="CDI381" s="774"/>
      <c r="CDJ381" s="776"/>
      <c r="CDK381" s="430"/>
      <c r="CDL381" s="717"/>
      <c r="CDM381" s="774"/>
      <c r="CDN381" s="774"/>
      <c r="CDO381" s="422"/>
      <c r="CDP381" s="775"/>
      <c r="CDQ381" s="774"/>
      <c r="CDR381" s="776"/>
      <c r="CDS381" s="430"/>
      <c r="CDT381" s="717"/>
      <c r="CDU381" s="774"/>
      <c r="CDV381" s="774"/>
      <c r="CDW381" s="422"/>
      <c r="CDX381" s="775"/>
      <c r="CDY381" s="774"/>
      <c r="CDZ381" s="776"/>
      <c r="CEA381" s="430"/>
      <c r="CEB381" s="717"/>
      <c r="CEC381" s="774"/>
      <c r="CED381" s="774"/>
      <c r="CEE381" s="422"/>
      <c r="CEF381" s="775"/>
      <c r="CEG381" s="774"/>
      <c r="CEH381" s="776"/>
      <c r="CEI381" s="430"/>
      <c r="CEJ381" s="717"/>
      <c r="CEK381" s="774"/>
      <c r="CEL381" s="774"/>
      <c r="CEM381" s="422"/>
      <c r="CEN381" s="775"/>
      <c r="CEO381" s="774"/>
      <c r="CEP381" s="776"/>
      <c r="CEQ381" s="430"/>
      <c r="CER381" s="717"/>
      <c r="CES381" s="774"/>
      <c r="CET381" s="774"/>
      <c r="CEU381" s="422"/>
      <c r="CEV381" s="775"/>
      <c r="CEW381" s="774"/>
      <c r="CEX381" s="776"/>
      <c r="CEY381" s="430"/>
      <c r="CEZ381" s="717"/>
      <c r="CFA381" s="774"/>
      <c r="CFB381" s="774"/>
      <c r="CFC381" s="422"/>
      <c r="CFD381" s="775"/>
      <c r="CFE381" s="774"/>
      <c r="CFF381" s="776"/>
      <c r="CFG381" s="430"/>
      <c r="CFH381" s="717"/>
      <c r="CFI381" s="774"/>
      <c r="CFJ381" s="774"/>
      <c r="CFK381" s="422"/>
      <c r="CFL381" s="775"/>
      <c r="CFM381" s="774"/>
      <c r="CFN381" s="776"/>
      <c r="CFO381" s="430"/>
      <c r="CFP381" s="717"/>
      <c r="CFQ381" s="774"/>
      <c r="CFR381" s="774"/>
      <c r="CFS381" s="422"/>
      <c r="CFT381" s="775"/>
      <c r="CFU381" s="774"/>
      <c r="CFV381" s="776"/>
      <c r="CFW381" s="430"/>
      <c r="CFX381" s="717"/>
      <c r="CFY381" s="774"/>
      <c r="CFZ381" s="774"/>
      <c r="CGA381" s="422"/>
      <c r="CGB381" s="775"/>
      <c r="CGC381" s="774"/>
      <c r="CGD381" s="776"/>
      <c r="CGE381" s="430"/>
      <c r="CGF381" s="717"/>
      <c r="CGG381" s="774"/>
      <c r="CGH381" s="774"/>
      <c r="CGI381" s="422"/>
      <c r="CGJ381" s="775"/>
      <c r="CGK381" s="774"/>
      <c r="CGL381" s="776"/>
      <c r="CGM381" s="430"/>
      <c r="CGN381" s="717"/>
      <c r="CGO381" s="774"/>
      <c r="CGP381" s="774"/>
      <c r="CGQ381" s="422"/>
      <c r="CGR381" s="775"/>
      <c r="CGS381" s="774"/>
      <c r="CGT381" s="776"/>
      <c r="CGU381" s="430"/>
      <c r="CGV381" s="717"/>
      <c r="CGW381" s="774"/>
      <c r="CGX381" s="774"/>
      <c r="CGY381" s="422"/>
      <c r="CGZ381" s="775"/>
      <c r="CHA381" s="774"/>
      <c r="CHB381" s="776"/>
      <c r="CHC381" s="430"/>
      <c r="CHD381" s="717"/>
      <c r="CHE381" s="774"/>
      <c r="CHF381" s="774"/>
      <c r="CHG381" s="422"/>
      <c r="CHH381" s="775"/>
      <c r="CHI381" s="774"/>
      <c r="CHJ381" s="776"/>
      <c r="CHK381" s="430"/>
      <c r="CHL381" s="717"/>
      <c r="CHM381" s="774"/>
      <c r="CHN381" s="774"/>
      <c r="CHO381" s="422"/>
      <c r="CHP381" s="775"/>
      <c r="CHQ381" s="774"/>
      <c r="CHR381" s="776"/>
      <c r="CHS381" s="430"/>
      <c r="CHT381" s="717"/>
      <c r="CHU381" s="774"/>
      <c r="CHV381" s="774"/>
      <c r="CHW381" s="422"/>
      <c r="CHX381" s="775"/>
      <c r="CHY381" s="774"/>
      <c r="CHZ381" s="776"/>
      <c r="CIA381" s="430"/>
      <c r="CIB381" s="717"/>
      <c r="CIC381" s="774"/>
      <c r="CID381" s="774"/>
      <c r="CIE381" s="422"/>
      <c r="CIF381" s="775"/>
      <c r="CIG381" s="774"/>
      <c r="CIH381" s="776"/>
      <c r="CII381" s="430"/>
      <c r="CIJ381" s="717"/>
      <c r="CIK381" s="774"/>
      <c r="CIL381" s="774"/>
      <c r="CIM381" s="422"/>
      <c r="CIN381" s="775"/>
      <c r="CIO381" s="774"/>
      <c r="CIP381" s="776"/>
      <c r="CIQ381" s="430"/>
      <c r="CIR381" s="717"/>
      <c r="CIS381" s="774"/>
      <c r="CIT381" s="774"/>
      <c r="CIU381" s="422"/>
      <c r="CIV381" s="775"/>
      <c r="CIW381" s="774"/>
      <c r="CIX381" s="776"/>
      <c r="CIY381" s="430"/>
      <c r="CIZ381" s="717"/>
      <c r="CJA381" s="774"/>
      <c r="CJB381" s="774"/>
      <c r="CJC381" s="422"/>
      <c r="CJD381" s="775"/>
      <c r="CJE381" s="774"/>
      <c r="CJF381" s="776"/>
      <c r="CJG381" s="430"/>
      <c r="CJH381" s="717"/>
      <c r="CJI381" s="774"/>
      <c r="CJJ381" s="774"/>
      <c r="CJK381" s="422"/>
      <c r="CJL381" s="775"/>
      <c r="CJM381" s="774"/>
      <c r="CJN381" s="776"/>
      <c r="CJO381" s="430"/>
      <c r="CJP381" s="717"/>
      <c r="CJQ381" s="774"/>
      <c r="CJR381" s="774"/>
      <c r="CJS381" s="422"/>
      <c r="CJT381" s="775"/>
      <c r="CJU381" s="774"/>
      <c r="CJV381" s="776"/>
      <c r="CJW381" s="430"/>
      <c r="CJX381" s="717"/>
      <c r="CJY381" s="774"/>
      <c r="CJZ381" s="774"/>
      <c r="CKA381" s="422"/>
      <c r="CKB381" s="775"/>
      <c r="CKC381" s="774"/>
      <c r="CKD381" s="776"/>
      <c r="CKE381" s="430"/>
      <c r="CKF381" s="717"/>
      <c r="CKG381" s="774"/>
      <c r="CKH381" s="774"/>
      <c r="CKI381" s="422"/>
      <c r="CKJ381" s="775"/>
      <c r="CKK381" s="774"/>
      <c r="CKL381" s="776"/>
      <c r="CKM381" s="430"/>
      <c r="CKN381" s="717"/>
      <c r="CKO381" s="774"/>
      <c r="CKP381" s="774"/>
      <c r="CKQ381" s="422"/>
      <c r="CKR381" s="775"/>
      <c r="CKS381" s="774"/>
      <c r="CKT381" s="776"/>
      <c r="CKU381" s="430"/>
      <c r="CKV381" s="717"/>
      <c r="CKW381" s="774"/>
      <c r="CKX381" s="774"/>
      <c r="CKY381" s="422"/>
      <c r="CKZ381" s="775"/>
      <c r="CLA381" s="774"/>
      <c r="CLB381" s="776"/>
      <c r="CLC381" s="430"/>
      <c r="CLD381" s="717"/>
      <c r="CLE381" s="774"/>
      <c r="CLF381" s="774"/>
      <c r="CLG381" s="422"/>
      <c r="CLH381" s="775"/>
      <c r="CLI381" s="774"/>
      <c r="CLJ381" s="776"/>
      <c r="CLK381" s="430"/>
      <c r="CLL381" s="717"/>
      <c r="CLM381" s="774"/>
      <c r="CLN381" s="774"/>
      <c r="CLO381" s="422"/>
      <c r="CLP381" s="775"/>
      <c r="CLQ381" s="774"/>
      <c r="CLR381" s="776"/>
      <c r="CLS381" s="430"/>
      <c r="CLT381" s="717"/>
      <c r="CLU381" s="774"/>
      <c r="CLV381" s="774"/>
      <c r="CLW381" s="422"/>
      <c r="CLX381" s="775"/>
      <c r="CLY381" s="774"/>
      <c r="CLZ381" s="776"/>
      <c r="CMA381" s="430"/>
      <c r="CMB381" s="717"/>
      <c r="CMC381" s="774"/>
      <c r="CMD381" s="774"/>
      <c r="CME381" s="422"/>
      <c r="CMF381" s="775"/>
      <c r="CMG381" s="774"/>
      <c r="CMH381" s="776"/>
      <c r="CMI381" s="430"/>
      <c r="CMJ381" s="717"/>
      <c r="CMK381" s="774"/>
      <c r="CML381" s="774"/>
      <c r="CMM381" s="422"/>
      <c r="CMN381" s="775"/>
      <c r="CMO381" s="774"/>
      <c r="CMP381" s="776"/>
      <c r="CMQ381" s="430"/>
      <c r="CMR381" s="717"/>
      <c r="CMS381" s="774"/>
      <c r="CMT381" s="774"/>
      <c r="CMU381" s="422"/>
      <c r="CMV381" s="775"/>
      <c r="CMW381" s="774"/>
      <c r="CMX381" s="776"/>
      <c r="CMY381" s="430"/>
      <c r="CMZ381" s="717"/>
      <c r="CNA381" s="774"/>
      <c r="CNB381" s="774"/>
      <c r="CNC381" s="422"/>
      <c r="CND381" s="775"/>
      <c r="CNE381" s="774"/>
      <c r="CNF381" s="776"/>
      <c r="CNG381" s="430"/>
      <c r="CNH381" s="717"/>
      <c r="CNI381" s="774"/>
      <c r="CNJ381" s="774"/>
      <c r="CNK381" s="422"/>
      <c r="CNL381" s="775"/>
      <c r="CNM381" s="774"/>
      <c r="CNN381" s="776"/>
      <c r="CNO381" s="430"/>
      <c r="CNP381" s="717"/>
      <c r="CNQ381" s="774"/>
      <c r="CNR381" s="774"/>
      <c r="CNS381" s="422"/>
      <c r="CNT381" s="775"/>
      <c r="CNU381" s="774"/>
      <c r="CNV381" s="776"/>
      <c r="CNW381" s="430"/>
      <c r="CNX381" s="717"/>
      <c r="CNY381" s="774"/>
      <c r="CNZ381" s="774"/>
      <c r="COA381" s="422"/>
      <c r="COB381" s="775"/>
      <c r="COC381" s="774"/>
      <c r="COD381" s="776"/>
      <c r="COE381" s="430"/>
      <c r="COF381" s="717"/>
      <c r="COG381" s="774"/>
      <c r="COH381" s="774"/>
      <c r="COI381" s="422"/>
      <c r="COJ381" s="775"/>
      <c r="COK381" s="774"/>
      <c r="COL381" s="776"/>
      <c r="COM381" s="430"/>
      <c r="CON381" s="717"/>
      <c r="COO381" s="774"/>
      <c r="COP381" s="774"/>
      <c r="COQ381" s="422"/>
      <c r="COR381" s="775"/>
      <c r="COS381" s="774"/>
      <c r="COT381" s="776"/>
      <c r="COU381" s="430"/>
      <c r="COV381" s="717"/>
      <c r="COW381" s="774"/>
      <c r="COX381" s="774"/>
      <c r="COY381" s="422"/>
      <c r="COZ381" s="775"/>
      <c r="CPA381" s="774"/>
      <c r="CPB381" s="776"/>
      <c r="CPC381" s="430"/>
      <c r="CPD381" s="717"/>
      <c r="CPE381" s="774"/>
      <c r="CPF381" s="774"/>
      <c r="CPG381" s="422"/>
      <c r="CPH381" s="775"/>
      <c r="CPI381" s="774"/>
      <c r="CPJ381" s="776"/>
      <c r="CPK381" s="430"/>
      <c r="CPL381" s="717"/>
      <c r="CPM381" s="774"/>
      <c r="CPN381" s="774"/>
      <c r="CPO381" s="422"/>
      <c r="CPP381" s="775"/>
      <c r="CPQ381" s="774"/>
      <c r="CPR381" s="776"/>
      <c r="CPS381" s="430"/>
      <c r="CPT381" s="717"/>
      <c r="CPU381" s="774"/>
      <c r="CPV381" s="774"/>
      <c r="CPW381" s="422"/>
      <c r="CPX381" s="775"/>
      <c r="CPY381" s="774"/>
      <c r="CPZ381" s="776"/>
      <c r="CQA381" s="430"/>
      <c r="CQB381" s="717"/>
      <c r="CQC381" s="774"/>
      <c r="CQD381" s="774"/>
      <c r="CQE381" s="422"/>
      <c r="CQF381" s="775"/>
      <c r="CQG381" s="774"/>
      <c r="CQH381" s="776"/>
      <c r="CQI381" s="430"/>
      <c r="CQJ381" s="717"/>
      <c r="CQK381" s="774"/>
      <c r="CQL381" s="774"/>
      <c r="CQM381" s="422"/>
      <c r="CQN381" s="775"/>
      <c r="CQO381" s="774"/>
      <c r="CQP381" s="776"/>
      <c r="CQQ381" s="430"/>
      <c r="CQR381" s="717"/>
      <c r="CQS381" s="774"/>
      <c r="CQT381" s="774"/>
      <c r="CQU381" s="422"/>
      <c r="CQV381" s="775"/>
      <c r="CQW381" s="774"/>
      <c r="CQX381" s="776"/>
      <c r="CQY381" s="430"/>
      <c r="CQZ381" s="717"/>
      <c r="CRA381" s="774"/>
      <c r="CRB381" s="774"/>
      <c r="CRC381" s="422"/>
      <c r="CRD381" s="775"/>
      <c r="CRE381" s="774"/>
      <c r="CRF381" s="776"/>
      <c r="CRG381" s="430"/>
      <c r="CRH381" s="717"/>
      <c r="CRI381" s="774"/>
      <c r="CRJ381" s="774"/>
      <c r="CRK381" s="422"/>
      <c r="CRL381" s="775"/>
      <c r="CRM381" s="774"/>
      <c r="CRN381" s="776"/>
      <c r="CRO381" s="430"/>
      <c r="CRP381" s="717"/>
      <c r="CRQ381" s="774"/>
      <c r="CRR381" s="774"/>
      <c r="CRS381" s="422"/>
      <c r="CRT381" s="775"/>
      <c r="CRU381" s="774"/>
      <c r="CRV381" s="776"/>
      <c r="CRW381" s="430"/>
      <c r="CRX381" s="717"/>
      <c r="CRY381" s="774"/>
      <c r="CRZ381" s="774"/>
      <c r="CSA381" s="422"/>
      <c r="CSB381" s="775"/>
      <c r="CSC381" s="774"/>
      <c r="CSD381" s="776"/>
      <c r="CSE381" s="430"/>
      <c r="CSF381" s="717"/>
      <c r="CSG381" s="774"/>
      <c r="CSH381" s="774"/>
      <c r="CSI381" s="422"/>
      <c r="CSJ381" s="775"/>
      <c r="CSK381" s="774"/>
      <c r="CSL381" s="776"/>
      <c r="CSM381" s="430"/>
      <c r="CSN381" s="717"/>
      <c r="CSO381" s="774"/>
      <c r="CSP381" s="774"/>
      <c r="CSQ381" s="422"/>
      <c r="CSR381" s="775"/>
      <c r="CSS381" s="774"/>
      <c r="CST381" s="776"/>
      <c r="CSU381" s="430"/>
      <c r="CSV381" s="717"/>
      <c r="CSW381" s="774"/>
      <c r="CSX381" s="774"/>
      <c r="CSY381" s="422"/>
      <c r="CSZ381" s="775"/>
      <c r="CTA381" s="774"/>
      <c r="CTB381" s="776"/>
      <c r="CTC381" s="430"/>
      <c r="CTD381" s="717"/>
      <c r="CTE381" s="774"/>
      <c r="CTF381" s="774"/>
      <c r="CTG381" s="422"/>
      <c r="CTH381" s="775"/>
      <c r="CTI381" s="774"/>
      <c r="CTJ381" s="776"/>
      <c r="CTK381" s="430"/>
      <c r="CTL381" s="717"/>
      <c r="CTM381" s="774"/>
      <c r="CTN381" s="774"/>
      <c r="CTO381" s="422"/>
      <c r="CTP381" s="775"/>
      <c r="CTQ381" s="774"/>
      <c r="CTR381" s="776"/>
      <c r="CTS381" s="430"/>
      <c r="CTT381" s="717"/>
      <c r="CTU381" s="774"/>
      <c r="CTV381" s="774"/>
      <c r="CTW381" s="422"/>
      <c r="CTX381" s="775"/>
      <c r="CTY381" s="774"/>
      <c r="CTZ381" s="776"/>
      <c r="CUA381" s="430"/>
      <c r="CUB381" s="717"/>
      <c r="CUC381" s="774"/>
      <c r="CUD381" s="774"/>
      <c r="CUE381" s="422"/>
      <c r="CUF381" s="775"/>
      <c r="CUG381" s="774"/>
      <c r="CUH381" s="776"/>
      <c r="CUI381" s="430"/>
      <c r="CUJ381" s="717"/>
      <c r="CUK381" s="774"/>
      <c r="CUL381" s="774"/>
      <c r="CUM381" s="422"/>
      <c r="CUN381" s="775"/>
      <c r="CUO381" s="774"/>
      <c r="CUP381" s="776"/>
      <c r="CUQ381" s="430"/>
      <c r="CUR381" s="717"/>
      <c r="CUS381" s="774"/>
      <c r="CUT381" s="774"/>
      <c r="CUU381" s="422"/>
      <c r="CUV381" s="775"/>
      <c r="CUW381" s="774"/>
      <c r="CUX381" s="776"/>
      <c r="CUY381" s="430"/>
      <c r="CUZ381" s="717"/>
      <c r="CVA381" s="774"/>
      <c r="CVB381" s="774"/>
      <c r="CVC381" s="422"/>
      <c r="CVD381" s="775"/>
      <c r="CVE381" s="774"/>
      <c r="CVF381" s="776"/>
      <c r="CVG381" s="430"/>
      <c r="CVH381" s="717"/>
      <c r="CVI381" s="774"/>
      <c r="CVJ381" s="774"/>
      <c r="CVK381" s="422"/>
      <c r="CVL381" s="775"/>
      <c r="CVM381" s="774"/>
      <c r="CVN381" s="776"/>
      <c r="CVO381" s="430"/>
      <c r="CVP381" s="717"/>
      <c r="CVQ381" s="774"/>
      <c r="CVR381" s="774"/>
      <c r="CVS381" s="422"/>
      <c r="CVT381" s="775"/>
      <c r="CVU381" s="774"/>
      <c r="CVV381" s="776"/>
      <c r="CVW381" s="430"/>
      <c r="CVX381" s="717"/>
      <c r="CVY381" s="774"/>
      <c r="CVZ381" s="774"/>
      <c r="CWA381" s="422"/>
      <c r="CWB381" s="775"/>
      <c r="CWC381" s="774"/>
      <c r="CWD381" s="776"/>
      <c r="CWE381" s="430"/>
      <c r="CWF381" s="717"/>
      <c r="CWG381" s="774"/>
      <c r="CWH381" s="774"/>
      <c r="CWI381" s="422"/>
      <c r="CWJ381" s="775"/>
      <c r="CWK381" s="774"/>
      <c r="CWL381" s="776"/>
      <c r="CWM381" s="430"/>
      <c r="CWN381" s="717"/>
      <c r="CWO381" s="774"/>
      <c r="CWP381" s="774"/>
      <c r="CWQ381" s="422"/>
      <c r="CWR381" s="775"/>
      <c r="CWS381" s="774"/>
      <c r="CWT381" s="776"/>
      <c r="CWU381" s="430"/>
      <c r="CWV381" s="717"/>
      <c r="CWW381" s="774"/>
      <c r="CWX381" s="774"/>
      <c r="CWY381" s="422"/>
      <c r="CWZ381" s="775"/>
      <c r="CXA381" s="774"/>
      <c r="CXB381" s="776"/>
      <c r="CXC381" s="430"/>
      <c r="CXD381" s="717"/>
      <c r="CXE381" s="774"/>
      <c r="CXF381" s="774"/>
      <c r="CXG381" s="422"/>
      <c r="CXH381" s="775"/>
      <c r="CXI381" s="774"/>
      <c r="CXJ381" s="776"/>
      <c r="CXK381" s="430"/>
      <c r="CXL381" s="717"/>
      <c r="CXM381" s="774"/>
      <c r="CXN381" s="774"/>
      <c r="CXO381" s="422"/>
      <c r="CXP381" s="775"/>
      <c r="CXQ381" s="774"/>
      <c r="CXR381" s="776"/>
      <c r="CXS381" s="430"/>
      <c r="CXT381" s="717"/>
      <c r="CXU381" s="774"/>
      <c r="CXV381" s="774"/>
      <c r="CXW381" s="422"/>
      <c r="CXX381" s="775"/>
      <c r="CXY381" s="774"/>
      <c r="CXZ381" s="776"/>
      <c r="CYA381" s="430"/>
      <c r="CYB381" s="717"/>
      <c r="CYC381" s="774"/>
      <c r="CYD381" s="774"/>
      <c r="CYE381" s="422"/>
      <c r="CYF381" s="775"/>
      <c r="CYG381" s="774"/>
      <c r="CYH381" s="776"/>
      <c r="CYI381" s="430"/>
      <c r="CYJ381" s="717"/>
      <c r="CYK381" s="774"/>
      <c r="CYL381" s="774"/>
      <c r="CYM381" s="422"/>
      <c r="CYN381" s="775"/>
      <c r="CYO381" s="774"/>
      <c r="CYP381" s="776"/>
      <c r="CYQ381" s="430"/>
      <c r="CYR381" s="717"/>
      <c r="CYS381" s="774"/>
      <c r="CYT381" s="774"/>
      <c r="CYU381" s="422"/>
      <c r="CYV381" s="775"/>
      <c r="CYW381" s="774"/>
      <c r="CYX381" s="776"/>
      <c r="CYY381" s="430"/>
      <c r="CYZ381" s="717"/>
      <c r="CZA381" s="774"/>
      <c r="CZB381" s="774"/>
      <c r="CZC381" s="422"/>
      <c r="CZD381" s="775"/>
      <c r="CZE381" s="774"/>
      <c r="CZF381" s="776"/>
      <c r="CZG381" s="430"/>
      <c r="CZH381" s="717"/>
      <c r="CZI381" s="774"/>
      <c r="CZJ381" s="774"/>
      <c r="CZK381" s="422"/>
      <c r="CZL381" s="775"/>
      <c r="CZM381" s="774"/>
      <c r="CZN381" s="776"/>
      <c r="CZO381" s="430"/>
      <c r="CZP381" s="717"/>
      <c r="CZQ381" s="774"/>
      <c r="CZR381" s="774"/>
      <c r="CZS381" s="422"/>
      <c r="CZT381" s="775"/>
      <c r="CZU381" s="774"/>
      <c r="CZV381" s="776"/>
      <c r="CZW381" s="430"/>
      <c r="CZX381" s="717"/>
      <c r="CZY381" s="774"/>
      <c r="CZZ381" s="774"/>
      <c r="DAA381" s="422"/>
      <c r="DAB381" s="775"/>
      <c r="DAC381" s="774"/>
      <c r="DAD381" s="776"/>
      <c r="DAE381" s="430"/>
      <c r="DAF381" s="717"/>
      <c r="DAG381" s="774"/>
      <c r="DAH381" s="774"/>
      <c r="DAI381" s="422"/>
      <c r="DAJ381" s="775"/>
      <c r="DAK381" s="774"/>
      <c r="DAL381" s="776"/>
      <c r="DAM381" s="430"/>
      <c r="DAN381" s="717"/>
      <c r="DAO381" s="774"/>
      <c r="DAP381" s="774"/>
      <c r="DAQ381" s="422"/>
      <c r="DAR381" s="775"/>
      <c r="DAS381" s="774"/>
      <c r="DAT381" s="776"/>
      <c r="DAU381" s="430"/>
      <c r="DAV381" s="717"/>
      <c r="DAW381" s="774"/>
      <c r="DAX381" s="774"/>
      <c r="DAY381" s="422"/>
      <c r="DAZ381" s="775"/>
      <c r="DBA381" s="774"/>
      <c r="DBB381" s="776"/>
      <c r="DBC381" s="430"/>
      <c r="DBD381" s="717"/>
      <c r="DBE381" s="774"/>
      <c r="DBF381" s="774"/>
      <c r="DBG381" s="422"/>
      <c r="DBH381" s="775"/>
      <c r="DBI381" s="774"/>
      <c r="DBJ381" s="776"/>
      <c r="DBK381" s="430"/>
      <c r="DBL381" s="717"/>
      <c r="DBM381" s="774"/>
      <c r="DBN381" s="774"/>
      <c r="DBO381" s="422"/>
      <c r="DBP381" s="775"/>
      <c r="DBQ381" s="774"/>
      <c r="DBR381" s="776"/>
      <c r="DBS381" s="430"/>
      <c r="DBT381" s="717"/>
      <c r="DBU381" s="774"/>
      <c r="DBV381" s="774"/>
      <c r="DBW381" s="422"/>
      <c r="DBX381" s="775"/>
      <c r="DBY381" s="774"/>
      <c r="DBZ381" s="776"/>
      <c r="DCA381" s="430"/>
      <c r="DCB381" s="717"/>
      <c r="DCC381" s="774"/>
      <c r="DCD381" s="774"/>
      <c r="DCE381" s="422"/>
      <c r="DCF381" s="775"/>
      <c r="DCG381" s="774"/>
      <c r="DCH381" s="776"/>
      <c r="DCI381" s="430"/>
      <c r="DCJ381" s="717"/>
      <c r="DCK381" s="774"/>
      <c r="DCL381" s="774"/>
      <c r="DCM381" s="422"/>
      <c r="DCN381" s="775"/>
      <c r="DCO381" s="774"/>
      <c r="DCP381" s="776"/>
      <c r="DCQ381" s="430"/>
      <c r="DCR381" s="717"/>
      <c r="DCS381" s="774"/>
      <c r="DCT381" s="774"/>
      <c r="DCU381" s="422"/>
      <c r="DCV381" s="775"/>
      <c r="DCW381" s="774"/>
      <c r="DCX381" s="776"/>
      <c r="DCY381" s="430"/>
      <c r="DCZ381" s="717"/>
      <c r="DDA381" s="774"/>
      <c r="DDB381" s="774"/>
      <c r="DDC381" s="422"/>
      <c r="DDD381" s="775"/>
      <c r="DDE381" s="774"/>
      <c r="DDF381" s="776"/>
      <c r="DDG381" s="430"/>
      <c r="DDH381" s="717"/>
      <c r="DDI381" s="774"/>
      <c r="DDJ381" s="774"/>
      <c r="DDK381" s="422"/>
      <c r="DDL381" s="775"/>
      <c r="DDM381" s="774"/>
      <c r="DDN381" s="776"/>
      <c r="DDO381" s="430"/>
      <c r="DDP381" s="717"/>
      <c r="DDQ381" s="774"/>
      <c r="DDR381" s="774"/>
      <c r="DDS381" s="422"/>
      <c r="DDT381" s="775"/>
      <c r="DDU381" s="774"/>
      <c r="DDV381" s="776"/>
      <c r="DDW381" s="430"/>
      <c r="DDX381" s="717"/>
      <c r="DDY381" s="774"/>
      <c r="DDZ381" s="774"/>
      <c r="DEA381" s="422"/>
      <c r="DEB381" s="775"/>
      <c r="DEC381" s="774"/>
      <c r="DED381" s="776"/>
      <c r="DEE381" s="430"/>
      <c r="DEF381" s="717"/>
      <c r="DEG381" s="774"/>
      <c r="DEH381" s="774"/>
      <c r="DEI381" s="422"/>
      <c r="DEJ381" s="775"/>
      <c r="DEK381" s="774"/>
      <c r="DEL381" s="776"/>
      <c r="DEM381" s="430"/>
      <c r="DEN381" s="717"/>
      <c r="DEO381" s="774"/>
      <c r="DEP381" s="774"/>
      <c r="DEQ381" s="422"/>
      <c r="DER381" s="775"/>
      <c r="DES381" s="774"/>
      <c r="DET381" s="776"/>
      <c r="DEU381" s="430"/>
      <c r="DEV381" s="717"/>
      <c r="DEW381" s="774"/>
      <c r="DEX381" s="774"/>
      <c r="DEY381" s="422"/>
      <c r="DEZ381" s="775"/>
      <c r="DFA381" s="774"/>
      <c r="DFB381" s="776"/>
      <c r="DFC381" s="430"/>
      <c r="DFD381" s="717"/>
      <c r="DFE381" s="774"/>
      <c r="DFF381" s="774"/>
      <c r="DFG381" s="422"/>
      <c r="DFH381" s="775"/>
      <c r="DFI381" s="774"/>
      <c r="DFJ381" s="776"/>
      <c r="DFK381" s="430"/>
      <c r="DFL381" s="717"/>
      <c r="DFM381" s="774"/>
      <c r="DFN381" s="774"/>
      <c r="DFO381" s="422"/>
      <c r="DFP381" s="775"/>
      <c r="DFQ381" s="774"/>
      <c r="DFR381" s="776"/>
      <c r="DFS381" s="430"/>
      <c r="DFT381" s="717"/>
      <c r="DFU381" s="774"/>
      <c r="DFV381" s="774"/>
      <c r="DFW381" s="422"/>
      <c r="DFX381" s="775"/>
      <c r="DFY381" s="774"/>
      <c r="DFZ381" s="776"/>
      <c r="DGA381" s="430"/>
      <c r="DGB381" s="717"/>
      <c r="DGC381" s="774"/>
      <c r="DGD381" s="774"/>
      <c r="DGE381" s="422"/>
      <c r="DGF381" s="775"/>
      <c r="DGG381" s="774"/>
      <c r="DGH381" s="776"/>
      <c r="DGI381" s="430"/>
      <c r="DGJ381" s="717"/>
      <c r="DGK381" s="774"/>
      <c r="DGL381" s="774"/>
      <c r="DGM381" s="422"/>
      <c r="DGN381" s="775"/>
      <c r="DGO381" s="774"/>
      <c r="DGP381" s="776"/>
      <c r="DGQ381" s="430"/>
      <c r="DGR381" s="717"/>
      <c r="DGS381" s="774"/>
      <c r="DGT381" s="774"/>
      <c r="DGU381" s="422"/>
      <c r="DGV381" s="775"/>
      <c r="DGW381" s="774"/>
      <c r="DGX381" s="776"/>
      <c r="DGY381" s="430"/>
      <c r="DGZ381" s="717"/>
      <c r="DHA381" s="774"/>
      <c r="DHB381" s="774"/>
      <c r="DHC381" s="422"/>
      <c r="DHD381" s="775"/>
      <c r="DHE381" s="774"/>
      <c r="DHF381" s="776"/>
      <c r="DHG381" s="430"/>
      <c r="DHH381" s="717"/>
      <c r="DHI381" s="774"/>
      <c r="DHJ381" s="774"/>
      <c r="DHK381" s="422"/>
      <c r="DHL381" s="775"/>
      <c r="DHM381" s="774"/>
      <c r="DHN381" s="776"/>
      <c r="DHO381" s="430"/>
      <c r="DHP381" s="717"/>
      <c r="DHQ381" s="774"/>
      <c r="DHR381" s="774"/>
      <c r="DHS381" s="422"/>
      <c r="DHT381" s="775"/>
      <c r="DHU381" s="774"/>
      <c r="DHV381" s="776"/>
      <c r="DHW381" s="430"/>
      <c r="DHX381" s="717"/>
      <c r="DHY381" s="774"/>
      <c r="DHZ381" s="774"/>
      <c r="DIA381" s="422"/>
      <c r="DIB381" s="775"/>
      <c r="DIC381" s="774"/>
      <c r="DID381" s="776"/>
      <c r="DIE381" s="430"/>
      <c r="DIF381" s="717"/>
      <c r="DIG381" s="774"/>
      <c r="DIH381" s="774"/>
      <c r="DII381" s="422"/>
      <c r="DIJ381" s="775"/>
      <c r="DIK381" s="774"/>
      <c r="DIL381" s="776"/>
      <c r="DIM381" s="430"/>
      <c r="DIN381" s="717"/>
      <c r="DIO381" s="774"/>
      <c r="DIP381" s="774"/>
      <c r="DIQ381" s="422"/>
      <c r="DIR381" s="775"/>
      <c r="DIS381" s="774"/>
      <c r="DIT381" s="776"/>
      <c r="DIU381" s="430"/>
      <c r="DIV381" s="717"/>
      <c r="DIW381" s="774"/>
      <c r="DIX381" s="774"/>
      <c r="DIY381" s="422"/>
      <c r="DIZ381" s="775"/>
      <c r="DJA381" s="774"/>
      <c r="DJB381" s="776"/>
      <c r="DJC381" s="430"/>
      <c r="DJD381" s="717"/>
      <c r="DJE381" s="774"/>
      <c r="DJF381" s="774"/>
      <c r="DJG381" s="422"/>
      <c r="DJH381" s="775"/>
      <c r="DJI381" s="774"/>
      <c r="DJJ381" s="776"/>
      <c r="DJK381" s="430"/>
      <c r="DJL381" s="717"/>
      <c r="DJM381" s="774"/>
      <c r="DJN381" s="774"/>
      <c r="DJO381" s="422"/>
      <c r="DJP381" s="775"/>
      <c r="DJQ381" s="774"/>
      <c r="DJR381" s="776"/>
      <c r="DJS381" s="430"/>
      <c r="DJT381" s="717"/>
      <c r="DJU381" s="774"/>
      <c r="DJV381" s="774"/>
      <c r="DJW381" s="422"/>
      <c r="DJX381" s="775"/>
      <c r="DJY381" s="774"/>
      <c r="DJZ381" s="776"/>
      <c r="DKA381" s="430"/>
      <c r="DKB381" s="717"/>
      <c r="DKC381" s="774"/>
      <c r="DKD381" s="774"/>
      <c r="DKE381" s="422"/>
      <c r="DKF381" s="775"/>
      <c r="DKG381" s="774"/>
      <c r="DKH381" s="776"/>
      <c r="DKI381" s="430"/>
      <c r="DKJ381" s="717"/>
      <c r="DKK381" s="774"/>
      <c r="DKL381" s="774"/>
      <c r="DKM381" s="422"/>
      <c r="DKN381" s="775"/>
      <c r="DKO381" s="774"/>
      <c r="DKP381" s="776"/>
      <c r="DKQ381" s="430"/>
      <c r="DKR381" s="717"/>
      <c r="DKS381" s="774"/>
      <c r="DKT381" s="774"/>
      <c r="DKU381" s="422"/>
      <c r="DKV381" s="775"/>
      <c r="DKW381" s="774"/>
      <c r="DKX381" s="776"/>
      <c r="DKY381" s="430"/>
      <c r="DKZ381" s="717"/>
      <c r="DLA381" s="774"/>
      <c r="DLB381" s="774"/>
      <c r="DLC381" s="422"/>
      <c r="DLD381" s="775"/>
      <c r="DLE381" s="774"/>
      <c r="DLF381" s="776"/>
      <c r="DLG381" s="430"/>
      <c r="DLH381" s="717"/>
      <c r="DLI381" s="774"/>
      <c r="DLJ381" s="774"/>
      <c r="DLK381" s="422"/>
      <c r="DLL381" s="775"/>
      <c r="DLM381" s="774"/>
      <c r="DLN381" s="776"/>
      <c r="DLO381" s="430"/>
      <c r="DLP381" s="717"/>
      <c r="DLQ381" s="774"/>
      <c r="DLR381" s="774"/>
      <c r="DLS381" s="422"/>
      <c r="DLT381" s="775"/>
      <c r="DLU381" s="774"/>
      <c r="DLV381" s="776"/>
      <c r="DLW381" s="430"/>
      <c r="DLX381" s="717"/>
      <c r="DLY381" s="774"/>
      <c r="DLZ381" s="774"/>
      <c r="DMA381" s="422"/>
      <c r="DMB381" s="775"/>
      <c r="DMC381" s="774"/>
      <c r="DMD381" s="776"/>
      <c r="DME381" s="430"/>
      <c r="DMF381" s="717"/>
      <c r="DMG381" s="774"/>
      <c r="DMH381" s="774"/>
      <c r="DMI381" s="422"/>
      <c r="DMJ381" s="775"/>
      <c r="DMK381" s="774"/>
      <c r="DML381" s="776"/>
      <c r="DMM381" s="430"/>
      <c r="DMN381" s="717"/>
      <c r="DMO381" s="774"/>
      <c r="DMP381" s="774"/>
      <c r="DMQ381" s="422"/>
      <c r="DMR381" s="775"/>
      <c r="DMS381" s="774"/>
      <c r="DMT381" s="776"/>
      <c r="DMU381" s="430"/>
      <c r="DMV381" s="717"/>
      <c r="DMW381" s="774"/>
      <c r="DMX381" s="774"/>
      <c r="DMY381" s="422"/>
      <c r="DMZ381" s="775"/>
      <c r="DNA381" s="774"/>
      <c r="DNB381" s="776"/>
      <c r="DNC381" s="430"/>
      <c r="DND381" s="717"/>
      <c r="DNE381" s="774"/>
      <c r="DNF381" s="774"/>
      <c r="DNG381" s="422"/>
      <c r="DNH381" s="775"/>
      <c r="DNI381" s="774"/>
      <c r="DNJ381" s="776"/>
      <c r="DNK381" s="430"/>
      <c r="DNL381" s="717"/>
      <c r="DNM381" s="774"/>
      <c r="DNN381" s="774"/>
      <c r="DNO381" s="422"/>
      <c r="DNP381" s="775"/>
      <c r="DNQ381" s="774"/>
      <c r="DNR381" s="776"/>
      <c r="DNS381" s="430"/>
      <c r="DNT381" s="717"/>
      <c r="DNU381" s="774"/>
      <c r="DNV381" s="774"/>
      <c r="DNW381" s="422"/>
      <c r="DNX381" s="775"/>
      <c r="DNY381" s="774"/>
      <c r="DNZ381" s="776"/>
      <c r="DOA381" s="430"/>
      <c r="DOB381" s="717"/>
      <c r="DOC381" s="774"/>
      <c r="DOD381" s="774"/>
      <c r="DOE381" s="422"/>
      <c r="DOF381" s="775"/>
      <c r="DOG381" s="774"/>
      <c r="DOH381" s="776"/>
      <c r="DOI381" s="430"/>
      <c r="DOJ381" s="717"/>
      <c r="DOK381" s="774"/>
      <c r="DOL381" s="774"/>
      <c r="DOM381" s="422"/>
      <c r="DON381" s="775"/>
      <c r="DOO381" s="774"/>
      <c r="DOP381" s="776"/>
      <c r="DOQ381" s="430"/>
      <c r="DOR381" s="717"/>
      <c r="DOS381" s="774"/>
      <c r="DOT381" s="774"/>
      <c r="DOU381" s="422"/>
      <c r="DOV381" s="775"/>
      <c r="DOW381" s="774"/>
      <c r="DOX381" s="776"/>
      <c r="DOY381" s="430"/>
      <c r="DOZ381" s="717"/>
      <c r="DPA381" s="774"/>
      <c r="DPB381" s="774"/>
      <c r="DPC381" s="422"/>
      <c r="DPD381" s="775"/>
      <c r="DPE381" s="774"/>
      <c r="DPF381" s="776"/>
      <c r="DPG381" s="430"/>
      <c r="DPH381" s="717"/>
      <c r="DPI381" s="774"/>
      <c r="DPJ381" s="774"/>
      <c r="DPK381" s="422"/>
      <c r="DPL381" s="775"/>
      <c r="DPM381" s="774"/>
      <c r="DPN381" s="776"/>
      <c r="DPO381" s="430"/>
      <c r="DPP381" s="717"/>
      <c r="DPQ381" s="774"/>
      <c r="DPR381" s="774"/>
      <c r="DPS381" s="422"/>
      <c r="DPT381" s="775"/>
      <c r="DPU381" s="774"/>
      <c r="DPV381" s="776"/>
      <c r="DPW381" s="430"/>
      <c r="DPX381" s="717"/>
      <c r="DPY381" s="774"/>
      <c r="DPZ381" s="774"/>
      <c r="DQA381" s="422"/>
      <c r="DQB381" s="775"/>
      <c r="DQC381" s="774"/>
      <c r="DQD381" s="776"/>
      <c r="DQE381" s="430"/>
      <c r="DQF381" s="717"/>
      <c r="DQG381" s="774"/>
      <c r="DQH381" s="774"/>
      <c r="DQI381" s="422"/>
      <c r="DQJ381" s="775"/>
      <c r="DQK381" s="774"/>
      <c r="DQL381" s="776"/>
      <c r="DQM381" s="430"/>
      <c r="DQN381" s="717"/>
      <c r="DQO381" s="774"/>
      <c r="DQP381" s="774"/>
      <c r="DQQ381" s="422"/>
      <c r="DQR381" s="775"/>
      <c r="DQS381" s="774"/>
      <c r="DQT381" s="776"/>
      <c r="DQU381" s="430"/>
      <c r="DQV381" s="717"/>
      <c r="DQW381" s="774"/>
      <c r="DQX381" s="774"/>
      <c r="DQY381" s="422"/>
      <c r="DQZ381" s="775"/>
      <c r="DRA381" s="774"/>
      <c r="DRB381" s="776"/>
      <c r="DRC381" s="430"/>
      <c r="DRD381" s="717"/>
      <c r="DRE381" s="774"/>
      <c r="DRF381" s="774"/>
      <c r="DRG381" s="422"/>
      <c r="DRH381" s="775"/>
      <c r="DRI381" s="774"/>
      <c r="DRJ381" s="776"/>
      <c r="DRK381" s="430"/>
      <c r="DRL381" s="717"/>
      <c r="DRM381" s="774"/>
      <c r="DRN381" s="774"/>
      <c r="DRO381" s="422"/>
      <c r="DRP381" s="775"/>
      <c r="DRQ381" s="774"/>
      <c r="DRR381" s="776"/>
      <c r="DRS381" s="430"/>
      <c r="DRT381" s="717"/>
      <c r="DRU381" s="774"/>
      <c r="DRV381" s="774"/>
      <c r="DRW381" s="422"/>
      <c r="DRX381" s="775"/>
      <c r="DRY381" s="774"/>
      <c r="DRZ381" s="776"/>
      <c r="DSA381" s="430"/>
      <c r="DSB381" s="717"/>
      <c r="DSC381" s="774"/>
      <c r="DSD381" s="774"/>
      <c r="DSE381" s="422"/>
      <c r="DSF381" s="775"/>
      <c r="DSG381" s="774"/>
      <c r="DSH381" s="776"/>
      <c r="DSI381" s="430"/>
      <c r="DSJ381" s="717"/>
      <c r="DSK381" s="774"/>
      <c r="DSL381" s="774"/>
      <c r="DSM381" s="422"/>
      <c r="DSN381" s="775"/>
      <c r="DSO381" s="774"/>
      <c r="DSP381" s="776"/>
      <c r="DSQ381" s="430"/>
      <c r="DSR381" s="717"/>
      <c r="DSS381" s="774"/>
      <c r="DST381" s="774"/>
      <c r="DSU381" s="422"/>
      <c r="DSV381" s="775"/>
      <c r="DSW381" s="774"/>
      <c r="DSX381" s="776"/>
      <c r="DSY381" s="430"/>
      <c r="DSZ381" s="717"/>
      <c r="DTA381" s="774"/>
      <c r="DTB381" s="774"/>
      <c r="DTC381" s="422"/>
      <c r="DTD381" s="775"/>
      <c r="DTE381" s="774"/>
      <c r="DTF381" s="776"/>
      <c r="DTG381" s="430"/>
      <c r="DTH381" s="717"/>
      <c r="DTI381" s="774"/>
      <c r="DTJ381" s="774"/>
      <c r="DTK381" s="422"/>
      <c r="DTL381" s="775"/>
      <c r="DTM381" s="774"/>
      <c r="DTN381" s="776"/>
      <c r="DTO381" s="430"/>
      <c r="DTP381" s="717"/>
      <c r="DTQ381" s="774"/>
      <c r="DTR381" s="774"/>
      <c r="DTS381" s="422"/>
      <c r="DTT381" s="775"/>
      <c r="DTU381" s="774"/>
      <c r="DTV381" s="776"/>
      <c r="DTW381" s="430"/>
      <c r="DTX381" s="717"/>
      <c r="DTY381" s="774"/>
      <c r="DTZ381" s="774"/>
      <c r="DUA381" s="422"/>
      <c r="DUB381" s="775"/>
      <c r="DUC381" s="774"/>
      <c r="DUD381" s="776"/>
      <c r="DUE381" s="430"/>
      <c r="DUF381" s="717"/>
      <c r="DUG381" s="774"/>
      <c r="DUH381" s="774"/>
      <c r="DUI381" s="422"/>
      <c r="DUJ381" s="775"/>
      <c r="DUK381" s="774"/>
      <c r="DUL381" s="776"/>
      <c r="DUM381" s="430"/>
      <c r="DUN381" s="717"/>
      <c r="DUO381" s="774"/>
      <c r="DUP381" s="774"/>
      <c r="DUQ381" s="422"/>
      <c r="DUR381" s="775"/>
      <c r="DUS381" s="774"/>
      <c r="DUT381" s="776"/>
      <c r="DUU381" s="430"/>
      <c r="DUV381" s="717"/>
      <c r="DUW381" s="774"/>
      <c r="DUX381" s="774"/>
      <c r="DUY381" s="422"/>
      <c r="DUZ381" s="775"/>
      <c r="DVA381" s="774"/>
      <c r="DVB381" s="776"/>
      <c r="DVC381" s="430"/>
      <c r="DVD381" s="717"/>
      <c r="DVE381" s="774"/>
      <c r="DVF381" s="774"/>
      <c r="DVG381" s="422"/>
      <c r="DVH381" s="775"/>
      <c r="DVI381" s="774"/>
      <c r="DVJ381" s="776"/>
      <c r="DVK381" s="430"/>
      <c r="DVL381" s="717"/>
      <c r="DVM381" s="774"/>
      <c r="DVN381" s="774"/>
      <c r="DVO381" s="422"/>
      <c r="DVP381" s="775"/>
      <c r="DVQ381" s="774"/>
      <c r="DVR381" s="776"/>
      <c r="DVS381" s="430"/>
      <c r="DVT381" s="717"/>
      <c r="DVU381" s="774"/>
      <c r="DVV381" s="774"/>
      <c r="DVW381" s="422"/>
      <c r="DVX381" s="775"/>
      <c r="DVY381" s="774"/>
      <c r="DVZ381" s="776"/>
      <c r="DWA381" s="430"/>
      <c r="DWB381" s="717"/>
      <c r="DWC381" s="774"/>
      <c r="DWD381" s="774"/>
      <c r="DWE381" s="422"/>
      <c r="DWF381" s="775"/>
      <c r="DWG381" s="774"/>
      <c r="DWH381" s="776"/>
      <c r="DWI381" s="430"/>
      <c r="DWJ381" s="717"/>
      <c r="DWK381" s="774"/>
      <c r="DWL381" s="774"/>
      <c r="DWM381" s="422"/>
      <c r="DWN381" s="775"/>
      <c r="DWO381" s="774"/>
      <c r="DWP381" s="776"/>
      <c r="DWQ381" s="430"/>
      <c r="DWR381" s="717"/>
      <c r="DWS381" s="774"/>
      <c r="DWT381" s="774"/>
      <c r="DWU381" s="422"/>
      <c r="DWV381" s="775"/>
      <c r="DWW381" s="774"/>
      <c r="DWX381" s="776"/>
      <c r="DWY381" s="430"/>
      <c r="DWZ381" s="717"/>
      <c r="DXA381" s="774"/>
      <c r="DXB381" s="774"/>
      <c r="DXC381" s="422"/>
      <c r="DXD381" s="775"/>
      <c r="DXE381" s="774"/>
      <c r="DXF381" s="776"/>
      <c r="DXG381" s="430"/>
      <c r="DXH381" s="717"/>
      <c r="DXI381" s="774"/>
      <c r="DXJ381" s="774"/>
      <c r="DXK381" s="422"/>
      <c r="DXL381" s="775"/>
      <c r="DXM381" s="774"/>
      <c r="DXN381" s="776"/>
      <c r="DXO381" s="430"/>
      <c r="DXP381" s="717"/>
      <c r="DXQ381" s="774"/>
      <c r="DXR381" s="774"/>
      <c r="DXS381" s="422"/>
      <c r="DXT381" s="775"/>
      <c r="DXU381" s="774"/>
      <c r="DXV381" s="776"/>
      <c r="DXW381" s="430"/>
      <c r="DXX381" s="717"/>
      <c r="DXY381" s="774"/>
      <c r="DXZ381" s="774"/>
      <c r="DYA381" s="422"/>
      <c r="DYB381" s="775"/>
      <c r="DYC381" s="774"/>
      <c r="DYD381" s="776"/>
      <c r="DYE381" s="430"/>
      <c r="DYF381" s="717"/>
      <c r="DYG381" s="774"/>
      <c r="DYH381" s="774"/>
      <c r="DYI381" s="422"/>
      <c r="DYJ381" s="775"/>
      <c r="DYK381" s="774"/>
      <c r="DYL381" s="776"/>
      <c r="DYM381" s="430"/>
      <c r="DYN381" s="717"/>
      <c r="DYO381" s="774"/>
      <c r="DYP381" s="774"/>
      <c r="DYQ381" s="422"/>
      <c r="DYR381" s="775"/>
      <c r="DYS381" s="774"/>
      <c r="DYT381" s="776"/>
      <c r="DYU381" s="430"/>
      <c r="DYV381" s="717"/>
      <c r="DYW381" s="774"/>
      <c r="DYX381" s="774"/>
      <c r="DYY381" s="422"/>
      <c r="DYZ381" s="775"/>
      <c r="DZA381" s="774"/>
      <c r="DZB381" s="776"/>
      <c r="DZC381" s="430"/>
      <c r="DZD381" s="717"/>
      <c r="DZE381" s="774"/>
      <c r="DZF381" s="774"/>
      <c r="DZG381" s="422"/>
      <c r="DZH381" s="775"/>
      <c r="DZI381" s="774"/>
      <c r="DZJ381" s="776"/>
      <c r="DZK381" s="430"/>
      <c r="DZL381" s="717"/>
      <c r="DZM381" s="774"/>
      <c r="DZN381" s="774"/>
      <c r="DZO381" s="422"/>
      <c r="DZP381" s="775"/>
      <c r="DZQ381" s="774"/>
      <c r="DZR381" s="776"/>
      <c r="DZS381" s="430"/>
      <c r="DZT381" s="717"/>
      <c r="DZU381" s="774"/>
      <c r="DZV381" s="774"/>
      <c r="DZW381" s="422"/>
      <c r="DZX381" s="775"/>
      <c r="DZY381" s="774"/>
      <c r="DZZ381" s="776"/>
      <c r="EAA381" s="430"/>
      <c r="EAB381" s="717"/>
      <c r="EAC381" s="774"/>
      <c r="EAD381" s="774"/>
      <c r="EAE381" s="422"/>
      <c r="EAF381" s="775"/>
      <c r="EAG381" s="774"/>
      <c r="EAH381" s="776"/>
      <c r="EAI381" s="430"/>
      <c r="EAJ381" s="717"/>
      <c r="EAK381" s="774"/>
      <c r="EAL381" s="774"/>
      <c r="EAM381" s="422"/>
      <c r="EAN381" s="775"/>
      <c r="EAO381" s="774"/>
      <c r="EAP381" s="776"/>
      <c r="EAQ381" s="430"/>
      <c r="EAR381" s="717"/>
      <c r="EAS381" s="774"/>
      <c r="EAT381" s="774"/>
      <c r="EAU381" s="422"/>
      <c r="EAV381" s="775"/>
      <c r="EAW381" s="774"/>
      <c r="EAX381" s="776"/>
      <c r="EAY381" s="430"/>
      <c r="EAZ381" s="717"/>
      <c r="EBA381" s="774"/>
      <c r="EBB381" s="774"/>
      <c r="EBC381" s="422"/>
      <c r="EBD381" s="775"/>
      <c r="EBE381" s="774"/>
      <c r="EBF381" s="776"/>
      <c r="EBG381" s="430"/>
      <c r="EBH381" s="717"/>
      <c r="EBI381" s="774"/>
      <c r="EBJ381" s="774"/>
      <c r="EBK381" s="422"/>
      <c r="EBL381" s="775"/>
      <c r="EBM381" s="774"/>
      <c r="EBN381" s="776"/>
      <c r="EBO381" s="430"/>
      <c r="EBP381" s="717"/>
      <c r="EBQ381" s="774"/>
      <c r="EBR381" s="774"/>
      <c r="EBS381" s="422"/>
      <c r="EBT381" s="775"/>
      <c r="EBU381" s="774"/>
      <c r="EBV381" s="776"/>
      <c r="EBW381" s="430"/>
      <c r="EBX381" s="717"/>
      <c r="EBY381" s="774"/>
      <c r="EBZ381" s="774"/>
      <c r="ECA381" s="422"/>
      <c r="ECB381" s="775"/>
      <c r="ECC381" s="774"/>
      <c r="ECD381" s="776"/>
      <c r="ECE381" s="430"/>
      <c r="ECF381" s="717"/>
      <c r="ECG381" s="774"/>
      <c r="ECH381" s="774"/>
      <c r="ECI381" s="422"/>
      <c r="ECJ381" s="775"/>
      <c r="ECK381" s="774"/>
      <c r="ECL381" s="776"/>
      <c r="ECM381" s="430"/>
      <c r="ECN381" s="717"/>
      <c r="ECO381" s="774"/>
      <c r="ECP381" s="774"/>
      <c r="ECQ381" s="422"/>
      <c r="ECR381" s="775"/>
      <c r="ECS381" s="774"/>
      <c r="ECT381" s="776"/>
      <c r="ECU381" s="430"/>
      <c r="ECV381" s="717"/>
      <c r="ECW381" s="774"/>
      <c r="ECX381" s="774"/>
      <c r="ECY381" s="422"/>
      <c r="ECZ381" s="775"/>
      <c r="EDA381" s="774"/>
      <c r="EDB381" s="776"/>
      <c r="EDC381" s="430"/>
      <c r="EDD381" s="717"/>
      <c r="EDE381" s="774"/>
      <c r="EDF381" s="774"/>
      <c r="EDG381" s="422"/>
      <c r="EDH381" s="775"/>
      <c r="EDI381" s="774"/>
      <c r="EDJ381" s="776"/>
      <c r="EDK381" s="430"/>
      <c r="EDL381" s="717"/>
      <c r="EDM381" s="774"/>
      <c r="EDN381" s="774"/>
      <c r="EDO381" s="422"/>
      <c r="EDP381" s="775"/>
      <c r="EDQ381" s="774"/>
      <c r="EDR381" s="776"/>
      <c r="EDS381" s="430"/>
      <c r="EDT381" s="717"/>
      <c r="EDU381" s="774"/>
      <c r="EDV381" s="774"/>
      <c r="EDW381" s="422"/>
      <c r="EDX381" s="775"/>
      <c r="EDY381" s="774"/>
      <c r="EDZ381" s="776"/>
      <c r="EEA381" s="430"/>
      <c r="EEB381" s="717"/>
      <c r="EEC381" s="774"/>
      <c r="EED381" s="774"/>
      <c r="EEE381" s="422"/>
      <c r="EEF381" s="775"/>
      <c r="EEG381" s="774"/>
      <c r="EEH381" s="776"/>
      <c r="EEI381" s="430"/>
      <c r="EEJ381" s="717"/>
      <c r="EEK381" s="774"/>
      <c r="EEL381" s="774"/>
      <c r="EEM381" s="422"/>
      <c r="EEN381" s="775"/>
      <c r="EEO381" s="774"/>
      <c r="EEP381" s="776"/>
      <c r="EEQ381" s="430"/>
      <c r="EER381" s="717"/>
      <c r="EES381" s="774"/>
      <c r="EET381" s="774"/>
      <c r="EEU381" s="422"/>
      <c r="EEV381" s="775"/>
      <c r="EEW381" s="774"/>
      <c r="EEX381" s="776"/>
      <c r="EEY381" s="430"/>
      <c r="EEZ381" s="717"/>
      <c r="EFA381" s="774"/>
      <c r="EFB381" s="774"/>
      <c r="EFC381" s="422"/>
      <c r="EFD381" s="775"/>
      <c r="EFE381" s="774"/>
      <c r="EFF381" s="776"/>
      <c r="EFG381" s="430"/>
      <c r="EFH381" s="717"/>
      <c r="EFI381" s="774"/>
      <c r="EFJ381" s="774"/>
      <c r="EFK381" s="422"/>
      <c r="EFL381" s="775"/>
      <c r="EFM381" s="774"/>
      <c r="EFN381" s="776"/>
      <c r="EFO381" s="430"/>
      <c r="EFP381" s="717"/>
      <c r="EFQ381" s="774"/>
      <c r="EFR381" s="774"/>
      <c r="EFS381" s="422"/>
      <c r="EFT381" s="775"/>
      <c r="EFU381" s="774"/>
      <c r="EFV381" s="776"/>
      <c r="EFW381" s="430"/>
      <c r="EFX381" s="717"/>
      <c r="EFY381" s="774"/>
      <c r="EFZ381" s="774"/>
      <c r="EGA381" s="422"/>
      <c r="EGB381" s="775"/>
      <c r="EGC381" s="774"/>
      <c r="EGD381" s="776"/>
      <c r="EGE381" s="430"/>
      <c r="EGF381" s="717"/>
      <c r="EGG381" s="774"/>
      <c r="EGH381" s="774"/>
      <c r="EGI381" s="422"/>
      <c r="EGJ381" s="775"/>
      <c r="EGK381" s="774"/>
      <c r="EGL381" s="776"/>
      <c r="EGM381" s="430"/>
      <c r="EGN381" s="717"/>
      <c r="EGO381" s="774"/>
      <c r="EGP381" s="774"/>
      <c r="EGQ381" s="422"/>
      <c r="EGR381" s="775"/>
      <c r="EGS381" s="774"/>
      <c r="EGT381" s="776"/>
      <c r="EGU381" s="430"/>
      <c r="EGV381" s="717"/>
      <c r="EGW381" s="774"/>
      <c r="EGX381" s="774"/>
      <c r="EGY381" s="422"/>
      <c r="EGZ381" s="775"/>
      <c r="EHA381" s="774"/>
      <c r="EHB381" s="776"/>
      <c r="EHC381" s="430"/>
      <c r="EHD381" s="717"/>
      <c r="EHE381" s="774"/>
      <c r="EHF381" s="774"/>
      <c r="EHG381" s="422"/>
      <c r="EHH381" s="775"/>
      <c r="EHI381" s="774"/>
      <c r="EHJ381" s="776"/>
      <c r="EHK381" s="430"/>
      <c r="EHL381" s="717"/>
      <c r="EHM381" s="774"/>
      <c r="EHN381" s="774"/>
      <c r="EHO381" s="422"/>
      <c r="EHP381" s="775"/>
      <c r="EHQ381" s="774"/>
      <c r="EHR381" s="776"/>
      <c r="EHS381" s="430"/>
      <c r="EHT381" s="717"/>
      <c r="EHU381" s="774"/>
      <c r="EHV381" s="774"/>
      <c r="EHW381" s="422"/>
      <c r="EHX381" s="775"/>
      <c r="EHY381" s="774"/>
      <c r="EHZ381" s="776"/>
      <c r="EIA381" s="430"/>
      <c r="EIB381" s="717"/>
      <c r="EIC381" s="774"/>
      <c r="EID381" s="774"/>
      <c r="EIE381" s="422"/>
      <c r="EIF381" s="775"/>
      <c r="EIG381" s="774"/>
      <c r="EIH381" s="776"/>
      <c r="EII381" s="430"/>
      <c r="EIJ381" s="717"/>
      <c r="EIK381" s="774"/>
      <c r="EIL381" s="774"/>
      <c r="EIM381" s="422"/>
      <c r="EIN381" s="775"/>
      <c r="EIO381" s="774"/>
      <c r="EIP381" s="776"/>
      <c r="EIQ381" s="430"/>
      <c r="EIR381" s="717"/>
      <c r="EIS381" s="774"/>
      <c r="EIT381" s="774"/>
      <c r="EIU381" s="422"/>
      <c r="EIV381" s="775"/>
      <c r="EIW381" s="774"/>
      <c r="EIX381" s="776"/>
      <c r="EIY381" s="430"/>
      <c r="EIZ381" s="717"/>
      <c r="EJA381" s="774"/>
      <c r="EJB381" s="774"/>
      <c r="EJC381" s="422"/>
      <c r="EJD381" s="775"/>
      <c r="EJE381" s="774"/>
      <c r="EJF381" s="776"/>
      <c r="EJG381" s="430"/>
      <c r="EJH381" s="717"/>
      <c r="EJI381" s="774"/>
      <c r="EJJ381" s="774"/>
      <c r="EJK381" s="422"/>
      <c r="EJL381" s="775"/>
      <c r="EJM381" s="774"/>
      <c r="EJN381" s="776"/>
      <c r="EJO381" s="430"/>
      <c r="EJP381" s="717"/>
      <c r="EJQ381" s="774"/>
      <c r="EJR381" s="774"/>
      <c r="EJS381" s="422"/>
      <c r="EJT381" s="775"/>
      <c r="EJU381" s="774"/>
      <c r="EJV381" s="776"/>
      <c r="EJW381" s="430"/>
      <c r="EJX381" s="717"/>
      <c r="EJY381" s="774"/>
      <c r="EJZ381" s="774"/>
      <c r="EKA381" s="422"/>
      <c r="EKB381" s="775"/>
      <c r="EKC381" s="774"/>
      <c r="EKD381" s="776"/>
      <c r="EKE381" s="430"/>
      <c r="EKF381" s="717"/>
      <c r="EKG381" s="774"/>
      <c r="EKH381" s="774"/>
      <c r="EKI381" s="422"/>
      <c r="EKJ381" s="775"/>
      <c r="EKK381" s="774"/>
      <c r="EKL381" s="776"/>
      <c r="EKM381" s="430"/>
      <c r="EKN381" s="717"/>
      <c r="EKO381" s="774"/>
      <c r="EKP381" s="774"/>
      <c r="EKQ381" s="422"/>
      <c r="EKR381" s="775"/>
      <c r="EKS381" s="774"/>
      <c r="EKT381" s="776"/>
      <c r="EKU381" s="430"/>
      <c r="EKV381" s="717"/>
      <c r="EKW381" s="774"/>
      <c r="EKX381" s="774"/>
      <c r="EKY381" s="422"/>
      <c r="EKZ381" s="775"/>
      <c r="ELA381" s="774"/>
      <c r="ELB381" s="776"/>
      <c r="ELC381" s="430"/>
      <c r="ELD381" s="717"/>
      <c r="ELE381" s="774"/>
      <c r="ELF381" s="774"/>
      <c r="ELG381" s="422"/>
      <c r="ELH381" s="775"/>
      <c r="ELI381" s="774"/>
      <c r="ELJ381" s="776"/>
      <c r="ELK381" s="430"/>
      <c r="ELL381" s="717"/>
      <c r="ELM381" s="774"/>
      <c r="ELN381" s="774"/>
      <c r="ELO381" s="422"/>
      <c r="ELP381" s="775"/>
      <c r="ELQ381" s="774"/>
      <c r="ELR381" s="776"/>
      <c r="ELS381" s="430"/>
      <c r="ELT381" s="717"/>
      <c r="ELU381" s="774"/>
      <c r="ELV381" s="774"/>
      <c r="ELW381" s="422"/>
      <c r="ELX381" s="775"/>
      <c r="ELY381" s="774"/>
      <c r="ELZ381" s="776"/>
      <c r="EMA381" s="430"/>
      <c r="EMB381" s="717"/>
      <c r="EMC381" s="774"/>
      <c r="EMD381" s="774"/>
      <c r="EME381" s="422"/>
      <c r="EMF381" s="775"/>
      <c r="EMG381" s="774"/>
      <c r="EMH381" s="776"/>
      <c r="EMI381" s="430"/>
      <c r="EMJ381" s="717"/>
      <c r="EMK381" s="774"/>
      <c r="EML381" s="774"/>
      <c r="EMM381" s="422"/>
      <c r="EMN381" s="775"/>
      <c r="EMO381" s="774"/>
      <c r="EMP381" s="776"/>
      <c r="EMQ381" s="430"/>
      <c r="EMR381" s="717"/>
      <c r="EMS381" s="774"/>
      <c r="EMT381" s="774"/>
      <c r="EMU381" s="422"/>
      <c r="EMV381" s="775"/>
      <c r="EMW381" s="774"/>
      <c r="EMX381" s="776"/>
      <c r="EMY381" s="430"/>
      <c r="EMZ381" s="717"/>
      <c r="ENA381" s="774"/>
      <c r="ENB381" s="774"/>
      <c r="ENC381" s="422"/>
      <c r="END381" s="775"/>
      <c r="ENE381" s="774"/>
      <c r="ENF381" s="776"/>
      <c r="ENG381" s="430"/>
      <c r="ENH381" s="717"/>
      <c r="ENI381" s="774"/>
      <c r="ENJ381" s="774"/>
      <c r="ENK381" s="422"/>
      <c r="ENL381" s="775"/>
      <c r="ENM381" s="774"/>
      <c r="ENN381" s="776"/>
      <c r="ENO381" s="430"/>
      <c r="ENP381" s="717"/>
      <c r="ENQ381" s="774"/>
      <c r="ENR381" s="774"/>
      <c r="ENS381" s="422"/>
      <c r="ENT381" s="775"/>
      <c r="ENU381" s="774"/>
      <c r="ENV381" s="776"/>
      <c r="ENW381" s="430"/>
      <c r="ENX381" s="717"/>
      <c r="ENY381" s="774"/>
      <c r="ENZ381" s="774"/>
      <c r="EOA381" s="422"/>
      <c r="EOB381" s="775"/>
      <c r="EOC381" s="774"/>
      <c r="EOD381" s="776"/>
      <c r="EOE381" s="430"/>
      <c r="EOF381" s="717"/>
      <c r="EOG381" s="774"/>
      <c r="EOH381" s="774"/>
      <c r="EOI381" s="422"/>
      <c r="EOJ381" s="775"/>
      <c r="EOK381" s="774"/>
      <c r="EOL381" s="776"/>
      <c r="EOM381" s="430"/>
      <c r="EON381" s="717"/>
      <c r="EOO381" s="774"/>
      <c r="EOP381" s="774"/>
      <c r="EOQ381" s="422"/>
      <c r="EOR381" s="775"/>
      <c r="EOS381" s="774"/>
      <c r="EOT381" s="776"/>
      <c r="EOU381" s="430"/>
      <c r="EOV381" s="717"/>
      <c r="EOW381" s="774"/>
      <c r="EOX381" s="774"/>
      <c r="EOY381" s="422"/>
      <c r="EOZ381" s="775"/>
      <c r="EPA381" s="774"/>
      <c r="EPB381" s="776"/>
      <c r="EPC381" s="430"/>
      <c r="EPD381" s="717"/>
      <c r="EPE381" s="774"/>
      <c r="EPF381" s="774"/>
      <c r="EPG381" s="422"/>
      <c r="EPH381" s="775"/>
      <c r="EPI381" s="774"/>
      <c r="EPJ381" s="776"/>
      <c r="EPK381" s="430"/>
      <c r="EPL381" s="717"/>
      <c r="EPM381" s="774"/>
      <c r="EPN381" s="774"/>
      <c r="EPO381" s="422"/>
      <c r="EPP381" s="775"/>
      <c r="EPQ381" s="774"/>
      <c r="EPR381" s="776"/>
      <c r="EPS381" s="430"/>
      <c r="EPT381" s="717"/>
      <c r="EPU381" s="774"/>
      <c r="EPV381" s="774"/>
      <c r="EPW381" s="422"/>
      <c r="EPX381" s="775"/>
      <c r="EPY381" s="774"/>
      <c r="EPZ381" s="776"/>
      <c r="EQA381" s="430"/>
      <c r="EQB381" s="717"/>
      <c r="EQC381" s="774"/>
      <c r="EQD381" s="774"/>
      <c r="EQE381" s="422"/>
      <c r="EQF381" s="775"/>
      <c r="EQG381" s="774"/>
      <c r="EQH381" s="776"/>
      <c r="EQI381" s="430"/>
      <c r="EQJ381" s="717"/>
      <c r="EQK381" s="774"/>
      <c r="EQL381" s="774"/>
      <c r="EQM381" s="422"/>
      <c r="EQN381" s="775"/>
      <c r="EQO381" s="774"/>
      <c r="EQP381" s="776"/>
      <c r="EQQ381" s="430"/>
      <c r="EQR381" s="717"/>
      <c r="EQS381" s="774"/>
      <c r="EQT381" s="774"/>
      <c r="EQU381" s="422"/>
      <c r="EQV381" s="775"/>
      <c r="EQW381" s="774"/>
      <c r="EQX381" s="776"/>
      <c r="EQY381" s="430"/>
      <c r="EQZ381" s="717"/>
      <c r="ERA381" s="774"/>
      <c r="ERB381" s="774"/>
      <c r="ERC381" s="422"/>
      <c r="ERD381" s="775"/>
      <c r="ERE381" s="774"/>
      <c r="ERF381" s="776"/>
      <c r="ERG381" s="430"/>
      <c r="ERH381" s="717"/>
      <c r="ERI381" s="774"/>
      <c r="ERJ381" s="774"/>
      <c r="ERK381" s="422"/>
      <c r="ERL381" s="775"/>
      <c r="ERM381" s="774"/>
      <c r="ERN381" s="776"/>
      <c r="ERO381" s="430"/>
      <c r="ERP381" s="717"/>
      <c r="ERQ381" s="774"/>
      <c r="ERR381" s="774"/>
      <c r="ERS381" s="422"/>
      <c r="ERT381" s="775"/>
      <c r="ERU381" s="774"/>
      <c r="ERV381" s="776"/>
      <c r="ERW381" s="430"/>
      <c r="ERX381" s="717"/>
      <c r="ERY381" s="774"/>
      <c r="ERZ381" s="774"/>
      <c r="ESA381" s="422"/>
      <c r="ESB381" s="775"/>
      <c r="ESC381" s="774"/>
      <c r="ESD381" s="776"/>
      <c r="ESE381" s="430"/>
      <c r="ESF381" s="717"/>
      <c r="ESG381" s="774"/>
      <c r="ESH381" s="774"/>
      <c r="ESI381" s="422"/>
      <c r="ESJ381" s="775"/>
      <c r="ESK381" s="774"/>
      <c r="ESL381" s="776"/>
      <c r="ESM381" s="430"/>
      <c r="ESN381" s="717"/>
      <c r="ESO381" s="774"/>
      <c r="ESP381" s="774"/>
      <c r="ESQ381" s="422"/>
      <c r="ESR381" s="775"/>
      <c r="ESS381" s="774"/>
      <c r="EST381" s="776"/>
      <c r="ESU381" s="430"/>
      <c r="ESV381" s="717"/>
      <c r="ESW381" s="774"/>
      <c r="ESX381" s="774"/>
      <c r="ESY381" s="422"/>
      <c r="ESZ381" s="775"/>
      <c r="ETA381" s="774"/>
      <c r="ETB381" s="776"/>
      <c r="ETC381" s="430"/>
      <c r="ETD381" s="717"/>
      <c r="ETE381" s="774"/>
      <c r="ETF381" s="774"/>
      <c r="ETG381" s="422"/>
      <c r="ETH381" s="775"/>
      <c r="ETI381" s="774"/>
      <c r="ETJ381" s="776"/>
      <c r="ETK381" s="430"/>
      <c r="ETL381" s="717"/>
      <c r="ETM381" s="774"/>
      <c r="ETN381" s="774"/>
      <c r="ETO381" s="422"/>
      <c r="ETP381" s="775"/>
      <c r="ETQ381" s="774"/>
      <c r="ETR381" s="776"/>
      <c r="ETS381" s="430"/>
      <c r="ETT381" s="717"/>
      <c r="ETU381" s="774"/>
      <c r="ETV381" s="774"/>
      <c r="ETW381" s="422"/>
      <c r="ETX381" s="775"/>
      <c r="ETY381" s="774"/>
      <c r="ETZ381" s="776"/>
      <c r="EUA381" s="430"/>
      <c r="EUB381" s="717"/>
      <c r="EUC381" s="774"/>
      <c r="EUD381" s="774"/>
      <c r="EUE381" s="422"/>
      <c r="EUF381" s="775"/>
      <c r="EUG381" s="774"/>
      <c r="EUH381" s="776"/>
      <c r="EUI381" s="430"/>
      <c r="EUJ381" s="717"/>
      <c r="EUK381" s="774"/>
      <c r="EUL381" s="774"/>
      <c r="EUM381" s="422"/>
      <c r="EUN381" s="775"/>
      <c r="EUO381" s="774"/>
      <c r="EUP381" s="776"/>
      <c r="EUQ381" s="430"/>
      <c r="EUR381" s="717"/>
      <c r="EUS381" s="774"/>
      <c r="EUT381" s="774"/>
      <c r="EUU381" s="422"/>
      <c r="EUV381" s="775"/>
      <c r="EUW381" s="774"/>
      <c r="EUX381" s="776"/>
      <c r="EUY381" s="430"/>
      <c r="EUZ381" s="717"/>
      <c r="EVA381" s="774"/>
      <c r="EVB381" s="774"/>
      <c r="EVC381" s="422"/>
      <c r="EVD381" s="775"/>
      <c r="EVE381" s="774"/>
      <c r="EVF381" s="776"/>
      <c r="EVG381" s="430"/>
      <c r="EVH381" s="717"/>
      <c r="EVI381" s="774"/>
      <c r="EVJ381" s="774"/>
      <c r="EVK381" s="422"/>
      <c r="EVL381" s="775"/>
      <c r="EVM381" s="774"/>
      <c r="EVN381" s="776"/>
      <c r="EVO381" s="430"/>
      <c r="EVP381" s="717"/>
      <c r="EVQ381" s="774"/>
      <c r="EVR381" s="774"/>
      <c r="EVS381" s="422"/>
      <c r="EVT381" s="775"/>
      <c r="EVU381" s="774"/>
      <c r="EVV381" s="776"/>
      <c r="EVW381" s="430"/>
      <c r="EVX381" s="717"/>
      <c r="EVY381" s="774"/>
      <c r="EVZ381" s="774"/>
      <c r="EWA381" s="422"/>
      <c r="EWB381" s="775"/>
      <c r="EWC381" s="774"/>
      <c r="EWD381" s="776"/>
      <c r="EWE381" s="430"/>
      <c r="EWF381" s="717"/>
      <c r="EWG381" s="774"/>
      <c r="EWH381" s="774"/>
      <c r="EWI381" s="422"/>
      <c r="EWJ381" s="775"/>
      <c r="EWK381" s="774"/>
      <c r="EWL381" s="776"/>
      <c r="EWM381" s="430"/>
      <c r="EWN381" s="717"/>
      <c r="EWO381" s="774"/>
      <c r="EWP381" s="774"/>
      <c r="EWQ381" s="422"/>
      <c r="EWR381" s="775"/>
      <c r="EWS381" s="774"/>
      <c r="EWT381" s="776"/>
      <c r="EWU381" s="430"/>
      <c r="EWV381" s="717"/>
      <c r="EWW381" s="774"/>
      <c r="EWX381" s="774"/>
      <c r="EWY381" s="422"/>
      <c r="EWZ381" s="775"/>
      <c r="EXA381" s="774"/>
      <c r="EXB381" s="776"/>
      <c r="EXC381" s="430"/>
      <c r="EXD381" s="717"/>
      <c r="EXE381" s="774"/>
      <c r="EXF381" s="774"/>
      <c r="EXG381" s="422"/>
      <c r="EXH381" s="775"/>
      <c r="EXI381" s="774"/>
      <c r="EXJ381" s="776"/>
      <c r="EXK381" s="430"/>
      <c r="EXL381" s="717"/>
      <c r="EXM381" s="774"/>
      <c r="EXN381" s="774"/>
      <c r="EXO381" s="422"/>
      <c r="EXP381" s="775"/>
      <c r="EXQ381" s="774"/>
      <c r="EXR381" s="776"/>
      <c r="EXS381" s="430"/>
      <c r="EXT381" s="717"/>
      <c r="EXU381" s="774"/>
      <c r="EXV381" s="774"/>
      <c r="EXW381" s="422"/>
      <c r="EXX381" s="775"/>
      <c r="EXY381" s="774"/>
      <c r="EXZ381" s="776"/>
      <c r="EYA381" s="430"/>
      <c r="EYB381" s="717"/>
      <c r="EYC381" s="774"/>
      <c r="EYD381" s="774"/>
      <c r="EYE381" s="422"/>
      <c r="EYF381" s="775"/>
      <c r="EYG381" s="774"/>
      <c r="EYH381" s="776"/>
      <c r="EYI381" s="430"/>
      <c r="EYJ381" s="717"/>
      <c r="EYK381" s="774"/>
      <c r="EYL381" s="774"/>
      <c r="EYM381" s="422"/>
      <c r="EYN381" s="775"/>
      <c r="EYO381" s="774"/>
      <c r="EYP381" s="776"/>
      <c r="EYQ381" s="430"/>
      <c r="EYR381" s="717"/>
      <c r="EYS381" s="774"/>
      <c r="EYT381" s="774"/>
      <c r="EYU381" s="422"/>
      <c r="EYV381" s="775"/>
      <c r="EYW381" s="774"/>
      <c r="EYX381" s="776"/>
      <c r="EYY381" s="430"/>
      <c r="EYZ381" s="717"/>
      <c r="EZA381" s="774"/>
      <c r="EZB381" s="774"/>
      <c r="EZC381" s="422"/>
      <c r="EZD381" s="775"/>
      <c r="EZE381" s="774"/>
      <c r="EZF381" s="776"/>
      <c r="EZG381" s="430"/>
      <c r="EZH381" s="717"/>
      <c r="EZI381" s="774"/>
      <c r="EZJ381" s="774"/>
      <c r="EZK381" s="422"/>
      <c r="EZL381" s="775"/>
      <c r="EZM381" s="774"/>
      <c r="EZN381" s="776"/>
      <c r="EZO381" s="430"/>
      <c r="EZP381" s="717"/>
      <c r="EZQ381" s="774"/>
      <c r="EZR381" s="774"/>
      <c r="EZS381" s="422"/>
      <c r="EZT381" s="775"/>
      <c r="EZU381" s="774"/>
      <c r="EZV381" s="776"/>
      <c r="EZW381" s="430"/>
      <c r="EZX381" s="717"/>
      <c r="EZY381" s="774"/>
      <c r="EZZ381" s="774"/>
      <c r="FAA381" s="422"/>
      <c r="FAB381" s="775"/>
      <c r="FAC381" s="774"/>
      <c r="FAD381" s="776"/>
      <c r="FAE381" s="430"/>
      <c r="FAF381" s="717"/>
      <c r="FAG381" s="774"/>
      <c r="FAH381" s="774"/>
      <c r="FAI381" s="422"/>
      <c r="FAJ381" s="775"/>
      <c r="FAK381" s="774"/>
      <c r="FAL381" s="776"/>
      <c r="FAM381" s="430"/>
      <c r="FAN381" s="717"/>
      <c r="FAO381" s="774"/>
      <c r="FAP381" s="774"/>
      <c r="FAQ381" s="422"/>
      <c r="FAR381" s="775"/>
      <c r="FAS381" s="774"/>
      <c r="FAT381" s="776"/>
      <c r="FAU381" s="430"/>
      <c r="FAV381" s="717"/>
      <c r="FAW381" s="774"/>
      <c r="FAX381" s="774"/>
      <c r="FAY381" s="422"/>
      <c r="FAZ381" s="775"/>
      <c r="FBA381" s="774"/>
      <c r="FBB381" s="776"/>
      <c r="FBC381" s="430"/>
      <c r="FBD381" s="717"/>
      <c r="FBE381" s="774"/>
      <c r="FBF381" s="774"/>
      <c r="FBG381" s="422"/>
      <c r="FBH381" s="775"/>
      <c r="FBI381" s="774"/>
      <c r="FBJ381" s="776"/>
      <c r="FBK381" s="430"/>
      <c r="FBL381" s="717"/>
      <c r="FBM381" s="774"/>
      <c r="FBN381" s="774"/>
      <c r="FBO381" s="422"/>
      <c r="FBP381" s="775"/>
      <c r="FBQ381" s="774"/>
      <c r="FBR381" s="776"/>
      <c r="FBS381" s="430"/>
      <c r="FBT381" s="717"/>
      <c r="FBU381" s="774"/>
      <c r="FBV381" s="774"/>
      <c r="FBW381" s="422"/>
      <c r="FBX381" s="775"/>
      <c r="FBY381" s="774"/>
      <c r="FBZ381" s="776"/>
      <c r="FCA381" s="430"/>
      <c r="FCB381" s="717"/>
      <c r="FCC381" s="774"/>
      <c r="FCD381" s="774"/>
      <c r="FCE381" s="422"/>
      <c r="FCF381" s="775"/>
      <c r="FCG381" s="774"/>
      <c r="FCH381" s="776"/>
      <c r="FCI381" s="430"/>
      <c r="FCJ381" s="717"/>
      <c r="FCK381" s="774"/>
      <c r="FCL381" s="774"/>
      <c r="FCM381" s="422"/>
      <c r="FCN381" s="775"/>
      <c r="FCO381" s="774"/>
      <c r="FCP381" s="776"/>
      <c r="FCQ381" s="430"/>
      <c r="FCR381" s="717"/>
      <c r="FCS381" s="774"/>
      <c r="FCT381" s="774"/>
      <c r="FCU381" s="422"/>
      <c r="FCV381" s="775"/>
      <c r="FCW381" s="774"/>
      <c r="FCX381" s="776"/>
      <c r="FCY381" s="430"/>
      <c r="FCZ381" s="717"/>
      <c r="FDA381" s="774"/>
      <c r="FDB381" s="774"/>
      <c r="FDC381" s="422"/>
      <c r="FDD381" s="775"/>
      <c r="FDE381" s="774"/>
      <c r="FDF381" s="776"/>
      <c r="FDG381" s="430"/>
      <c r="FDH381" s="717"/>
      <c r="FDI381" s="774"/>
      <c r="FDJ381" s="774"/>
      <c r="FDK381" s="422"/>
      <c r="FDL381" s="775"/>
      <c r="FDM381" s="774"/>
      <c r="FDN381" s="776"/>
      <c r="FDO381" s="430"/>
      <c r="FDP381" s="717"/>
      <c r="FDQ381" s="774"/>
      <c r="FDR381" s="774"/>
      <c r="FDS381" s="422"/>
      <c r="FDT381" s="775"/>
      <c r="FDU381" s="774"/>
      <c r="FDV381" s="776"/>
      <c r="FDW381" s="430"/>
      <c r="FDX381" s="717"/>
      <c r="FDY381" s="774"/>
      <c r="FDZ381" s="774"/>
      <c r="FEA381" s="422"/>
      <c r="FEB381" s="775"/>
      <c r="FEC381" s="774"/>
      <c r="FED381" s="776"/>
      <c r="FEE381" s="430"/>
      <c r="FEF381" s="717"/>
      <c r="FEG381" s="774"/>
      <c r="FEH381" s="774"/>
      <c r="FEI381" s="422"/>
      <c r="FEJ381" s="775"/>
      <c r="FEK381" s="774"/>
      <c r="FEL381" s="776"/>
      <c r="FEM381" s="430"/>
      <c r="FEN381" s="717"/>
      <c r="FEO381" s="774"/>
      <c r="FEP381" s="774"/>
      <c r="FEQ381" s="422"/>
      <c r="FER381" s="775"/>
      <c r="FES381" s="774"/>
      <c r="FET381" s="776"/>
      <c r="FEU381" s="430"/>
      <c r="FEV381" s="717"/>
      <c r="FEW381" s="774"/>
      <c r="FEX381" s="774"/>
      <c r="FEY381" s="422"/>
      <c r="FEZ381" s="775"/>
      <c r="FFA381" s="774"/>
      <c r="FFB381" s="776"/>
      <c r="FFC381" s="430"/>
      <c r="FFD381" s="717"/>
      <c r="FFE381" s="774"/>
      <c r="FFF381" s="774"/>
      <c r="FFG381" s="422"/>
      <c r="FFH381" s="775"/>
      <c r="FFI381" s="774"/>
      <c r="FFJ381" s="776"/>
      <c r="FFK381" s="430"/>
      <c r="FFL381" s="717"/>
      <c r="FFM381" s="774"/>
      <c r="FFN381" s="774"/>
      <c r="FFO381" s="422"/>
      <c r="FFP381" s="775"/>
      <c r="FFQ381" s="774"/>
      <c r="FFR381" s="776"/>
      <c r="FFS381" s="430"/>
      <c r="FFT381" s="717"/>
      <c r="FFU381" s="774"/>
      <c r="FFV381" s="774"/>
      <c r="FFW381" s="422"/>
      <c r="FFX381" s="775"/>
      <c r="FFY381" s="774"/>
      <c r="FFZ381" s="776"/>
      <c r="FGA381" s="430"/>
      <c r="FGB381" s="717"/>
      <c r="FGC381" s="774"/>
      <c r="FGD381" s="774"/>
      <c r="FGE381" s="422"/>
      <c r="FGF381" s="775"/>
      <c r="FGG381" s="774"/>
      <c r="FGH381" s="776"/>
      <c r="FGI381" s="430"/>
      <c r="FGJ381" s="717"/>
      <c r="FGK381" s="774"/>
      <c r="FGL381" s="774"/>
      <c r="FGM381" s="422"/>
      <c r="FGN381" s="775"/>
      <c r="FGO381" s="774"/>
      <c r="FGP381" s="776"/>
      <c r="FGQ381" s="430"/>
      <c r="FGR381" s="717"/>
      <c r="FGS381" s="774"/>
      <c r="FGT381" s="774"/>
      <c r="FGU381" s="422"/>
      <c r="FGV381" s="775"/>
      <c r="FGW381" s="774"/>
      <c r="FGX381" s="776"/>
      <c r="FGY381" s="430"/>
      <c r="FGZ381" s="717"/>
      <c r="FHA381" s="774"/>
      <c r="FHB381" s="774"/>
      <c r="FHC381" s="422"/>
      <c r="FHD381" s="775"/>
      <c r="FHE381" s="774"/>
      <c r="FHF381" s="776"/>
      <c r="FHG381" s="430"/>
      <c r="FHH381" s="717"/>
      <c r="FHI381" s="774"/>
      <c r="FHJ381" s="774"/>
      <c r="FHK381" s="422"/>
      <c r="FHL381" s="775"/>
      <c r="FHM381" s="774"/>
      <c r="FHN381" s="776"/>
      <c r="FHO381" s="430"/>
      <c r="FHP381" s="717"/>
      <c r="FHQ381" s="774"/>
      <c r="FHR381" s="774"/>
      <c r="FHS381" s="422"/>
      <c r="FHT381" s="775"/>
      <c r="FHU381" s="774"/>
      <c r="FHV381" s="776"/>
      <c r="FHW381" s="430"/>
      <c r="FHX381" s="717"/>
      <c r="FHY381" s="774"/>
      <c r="FHZ381" s="774"/>
      <c r="FIA381" s="422"/>
      <c r="FIB381" s="775"/>
      <c r="FIC381" s="774"/>
      <c r="FID381" s="776"/>
      <c r="FIE381" s="430"/>
      <c r="FIF381" s="717"/>
      <c r="FIG381" s="774"/>
      <c r="FIH381" s="774"/>
      <c r="FII381" s="422"/>
      <c r="FIJ381" s="775"/>
      <c r="FIK381" s="774"/>
      <c r="FIL381" s="776"/>
      <c r="FIM381" s="430"/>
      <c r="FIN381" s="717"/>
      <c r="FIO381" s="774"/>
      <c r="FIP381" s="774"/>
      <c r="FIQ381" s="422"/>
      <c r="FIR381" s="775"/>
      <c r="FIS381" s="774"/>
      <c r="FIT381" s="776"/>
      <c r="FIU381" s="430"/>
      <c r="FIV381" s="717"/>
      <c r="FIW381" s="774"/>
      <c r="FIX381" s="774"/>
      <c r="FIY381" s="422"/>
      <c r="FIZ381" s="775"/>
      <c r="FJA381" s="774"/>
      <c r="FJB381" s="776"/>
      <c r="FJC381" s="430"/>
      <c r="FJD381" s="717"/>
      <c r="FJE381" s="774"/>
      <c r="FJF381" s="774"/>
      <c r="FJG381" s="422"/>
      <c r="FJH381" s="775"/>
      <c r="FJI381" s="774"/>
      <c r="FJJ381" s="776"/>
      <c r="FJK381" s="430"/>
      <c r="FJL381" s="717"/>
      <c r="FJM381" s="774"/>
      <c r="FJN381" s="774"/>
      <c r="FJO381" s="422"/>
      <c r="FJP381" s="775"/>
      <c r="FJQ381" s="774"/>
      <c r="FJR381" s="776"/>
      <c r="FJS381" s="430"/>
      <c r="FJT381" s="717"/>
      <c r="FJU381" s="774"/>
      <c r="FJV381" s="774"/>
      <c r="FJW381" s="422"/>
      <c r="FJX381" s="775"/>
      <c r="FJY381" s="774"/>
      <c r="FJZ381" s="776"/>
      <c r="FKA381" s="430"/>
      <c r="FKB381" s="717"/>
      <c r="FKC381" s="774"/>
      <c r="FKD381" s="774"/>
      <c r="FKE381" s="422"/>
      <c r="FKF381" s="775"/>
      <c r="FKG381" s="774"/>
      <c r="FKH381" s="776"/>
      <c r="FKI381" s="430"/>
      <c r="FKJ381" s="717"/>
      <c r="FKK381" s="774"/>
      <c r="FKL381" s="774"/>
      <c r="FKM381" s="422"/>
      <c r="FKN381" s="775"/>
      <c r="FKO381" s="774"/>
      <c r="FKP381" s="776"/>
      <c r="FKQ381" s="430"/>
      <c r="FKR381" s="717"/>
      <c r="FKS381" s="774"/>
      <c r="FKT381" s="774"/>
      <c r="FKU381" s="422"/>
      <c r="FKV381" s="775"/>
      <c r="FKW381" s="774"/>
      <c r="FKX381" s="776"/>
      <c r="FKY381" s="430"/>
      <c r="FKZ381" s="717"/>
      <c r="FLA381" s="774"/>
      <c r="FLB381" s="774"/>
      <c r="FLC381" s="422"/>
      <c r="FLD381" s="775"/>
      <c r="FLE381" s="774"/>
      <c r="FLF381" s="776"/>
      <c r="FLG381" s="430"/>
      <c r="FLH381" s="717"/>
      <c r="FLI381" s="774"/>
      <c r="FLJ381" s="774"/>
      <c r="FLK381" s="422"/>
      <c r="FLL381" s="775"/>
      <c r="FLM381" s="774"/>
      <c r="FLN381" s="776"/>
      <c r="FLO381" s="430"/>
      <c r="FLP381" s="717"/>
      <c r="FLQ381" s="774"/>
      <c r="FLR381" s="774"/>
      <c r="FLS381" s="422"/>
      <c r="FLT381" s="775"/>
      <c r="FLU381" s="774"/>
      <c r="FLV381" s="776"/>
      <c r="FLW381" s="430"/>
      <c r="FLX381" s="717"/>
      <c r="FLY381" s="774"/>
      <c r="FLZ381" s="774"/>
      <c r="FMA381" s="422"/>
      <c r="FMB381" s="775"/>
      <c r="FMC381" s="774"/>
      <c r="FMD381" s="776"/>
      <c r="FME381" s="430"/>
      <c r="FMF381" s="717"/>
      <c r="FMG381" s="774"/>
      <c r="FMH381" s="774"/>
      <c r="FMI381" s="422"/>
      <c r="FMJ381" s="775"/>
      <c r="FMK381" s="774"/>
      <c r="FML381" s="776"/>
      <c r="FMM381" s="430"/>
      <c r="FMN381" s="717"/>
      <c r="FMO381" s="774"/>
      <c r="FMP381" s="774"/>
      <c r="FMQ381" s="422"/>
      <c r="FMR381" s="775"/>
      <c r="FMS381" s="774"/>
      <c r="FMT381" s="776"/>
      <c r="FMU381" s="430"/>
      <c r="FMV381" s="717"/>
      <c r="FMW381" s="774"/>
      <c r="FMX381" s="774"/>
      <c r="FMY381" s="422"/>
      <c r="FMZ381" s="775"/>
      <c r="FNA381" s="774"/>
      <c r="FNB381" s="776"/>
      <c r="FNC381" s="430"/>
      <c r="FND381" s="717"/>
      <c r="FNE381" s="774"/>
      <c r="FNF381" s="774"/>
      <c r="FNG381" s="422"/>
      <c r="FNH381" s="775"/>
      <c r="FNI381" s="774"/>
      <c r="FNJ381" s="776"/>
      <c r="FNK381" s="430"/>
      <c r="FNL381" s="717"/>
      <c r="FNM381" s="774"/>
      <c r="FNN381" s="774"/>
      <c r="FNO381" s="422"/>
      <c r="FNP381" s="775"/>
      <c r="FNQ381" s="774"/>
      <c r="FNR381" s="776"/>
      <c r="FNS381" s="430"/>
      <c r="FNT381" s="717"/>
      <c r="FNU381" s="774"/>
      <c r="FNV381" s="774"/>
      <c r="FNW381" s="422"/>
      <c r="FNX381" s="775"/>
      <c r="FNY381" s="774"/>
      <c r="FNZ381" s="776"/>
      <c r="FOA381" s="430"/>
      <c r="FOB381" s="717"/>
      <c r="FOC381" s="774"/>
      <c r="FOD381" s="774"/>
      <c r="FOE381" s="422"/>
      <c r="FOF381" s="775"/>
      <c r="FOG381" s="774"/>
      <c r="FOH381" s="776"/>
      <c r="FOI381" s="430"/>
      <c r="FOJ381" s="717"/>
      <c r="FOK381" s="774"/>
      <c r="FOL381" s="774"/>
      <c r="FOM381" s="422"/>
      <c r="FON381" s="775"/>
      <c r="FOO381" s="774"/>
      <c r="FOP381" s="776"/>
      <c r="FOQ381" s="430"/>
      <c r="FOR381" s="717"/>
      <c r="FOS381" s="774"/>
      <c r="FOT381" s="774"/>
      <c r="FOU381" s="422"/>
      <c r="FOV381" s="775"/>
      <c r="FOW381" s="774"/>
      <c r="FOX381" s="776"/>
      <c r="FOY381" s="430"/>
      <c r="FOZ381" s="717"/>
      <c r="FPA381" s="774"/>
      <c r="FPB381" s="774"/>
      <c r="FPC381" s="422"/>
      <c r="FPD381" s="775"/>
      <c r="FPE381" s="774"/>
      <c r="FPF381" s="776"/>
      <c r="FPG381" s="430"/>
      <c r="FPH381" s="717"/>
      <c r="FPI381" s="774"/>
      <c r="FPJ381" s="774"/>
      <c r="FPK381" s="422"/>
      <c r="FPL381" s="775"/>
      <c r="FPM381" s="774"/>
      <c r="FPN381" s="776"/>
      <c r="FPO381" s="430"/>
      <c r="FPP381" s="717"/>
      <c r="FPQ381" s="774"/>
      <c r="FPR381" s="774"/>
      <c r="FPS381" s="422"/>
      <c r="FPT381" s="775"/>
      <c r="FPU381" s="774"/>
      <c r="FPV381" s="776"/>
      <c r="FPW381" s="430"/>
      <c r="FPX381" s="717"/>
      <c r="FPY381" s="774"/>
      <c r="FPZ381" s="774"/>
      <c r="FQA381" s="422"/>
      <c r="FQB381" s="775"/>
      <c r="FQC381" s="774"/>
      <c r="FQD381" s="776"/>
      <c r="FQE381" s="430"/>
      <c r="FQF381" s="717"/>
      <c r="FQG381" s="774"/>
      <c r="FQH381" s="774"/>
      <c r="FQI381" s="422"/>
      <c r="FQJ381" s="775"/>
      <c r="FQK381" s="774"/>
      <c r="FQL381" s="776"/>
      <c r="FQM381" s="430"/>
      <c r="FQN381" s="717"/>
      <c r="FQO381" s="774"/>
      <c r="FQP381" s="774"/>
      <c r="FQQ381" s="422"/>
      <c r="FQR381" s="775"/>
      <c r="FQS381" s="774"/>
      <c r="FQT381" s="776"/>
      <c r="FQU381" s="430"/>
      <c r="FQV381" s="717"/>
      <c r="FQW381" s="774"/>
      <c r="FQX381" s="774"/>
      <c r="FQY381" s="422"/>
      <c r="FQZ381" s="775"/>
      <c r="FRA381" s="774"/>
      <c r="FRB381" s="776"/>
      <c r="FRC381" s="430"/>
      <c r="FRD381" s="717"/>
      <c r="FRE381" s="774"/>
      <c r="FRF381" s="774"/>
      <c r="FRG381" s="422"/>
      <c r="FRH381" s="775"/>
      <c r="FRI381" s="774"/>
      <c r="FRJ381" s="776"/>
      <c r="FRK381" s="430"/>
      <c r="FRL381" s="717"/>
      <c r="FRM381" s="774"/>
      <c r="FRN381" s="774"/>
      <c r="FRO381" s="422"/>
      <c r="FRP381" s="775"/>
      <c r="FRQ381" s="774"/>
      <c r="FRR381" s="776"/>
      <c r="FRS381" s="430"/>
      <c r="FRT381" s="717"/>
      <c r="FRU381" s="774"/>
      <c r="FRV381" s="774"/>
      <c r="FRW381" s="422"/>
      <c r="FRX381" s="775"/>
      <c r="FRY381" s="774"/>
      <c r="FRZ381" s="776"/>
      <c r="FSA381" s="430"/>
      <c r="FSB381" s="717"/>
      <c r="FSC381" s="774"/>
      <c r="FSD381" s="774"/>
      <c r="FSE381" s="422"/>
      <c r="FSF381" s="775"/>
      <c r="FSG381" s="774"/>
      <c r="FSH381" s="776"/>
      <c r="FSI381" s="430"/>
      <c r="FSJ381" s="717"/>
      <c r="FSK381" s="774"/>
      <c r="FSL381" s="774"/>
      <c r="FSM381" s="422"/>
      <c r="FSN381" s="775"/>
      <c r="FSO381" s="774"/>
      <c r="FSP381" s="776"/>
      <c r="FSQ381" s="430"/>
      <c r="FSR381" s="717"/>
      <c r="FSS381" s="774"/>
      <c r="FST381" s="774"/>
      <c r="FSU381" s="422"/>
      <c r="FSV381" s="775"/>
      <c r="FSW381" s="774"/>
      <c r="FSX381" s="776"/>
      <c r="FSY381" s="430"/>
      <c r="FSZ381" s="717"/>
      <c r="FTA381" s="774"/>
      <c r="FTB381" s="774"/>
      <c r="FTC381" s="422"/>
      <c r="FTD381" s="775"/>
      <c r="FTE381" s="774"/>
      <c r="FTF381" s="776"/>
      <c r="FTG381" s="430"/>
      <c r="FTH381" s="717"/>
      <c r="FTI381" s="774"/>
      <c r="FTJ381" s="774"/>
      <c r="FTK381" s="422"/>
      <c r="FTL381" s="775"/>
      <c r="FTM381" s="774"/>
      <c r="FTN381" s="776"/>
      <c r="FTO381" s="430"/>
      <c r="FTP381" s="717"/>
      <c r="FTQ381" s="774"/>
      <c r="FTR381" s="774"/>
      <c r="FTS381" s="422"/>
      <c r="FTT381" s="775"/>
      <c r="FTU381" s="774"/>
      <c r="FTV381" s="776"/>
      <c r="FTW381" s="430"/>
      <c r="FTX381" s="717"/>
      <c r="FTY381" s="774"/>
      <c r="FTZ381" s="774"/>
      <c r="FUA381" s="422"/>
      <c r="FUB381" s="775"/>
      <c r="FUC381" s="774"/>
      <c r="FUD381" s="776"/>
      <c r="FUE381" s="430"/>
      <c r="FUF381" s="717"/>
      <c r="FUG381" s="774"/>
      <c r="FUH381" s="774"/>
      <c r="FUI381" s="422"/>
      <c r="FUJ381" s="775"/>
      <c r="FUK381" s="774"/>
      <c r="FUL381" s="776"/>
      <c r="FUM381" s="430"/>
      <c r="FUN381" s="717"/>
      <c r="FUO381" s="774"/>
      <c r="FUP381" s="774"/>
      <c r="FUQ381" s="422"/>
      <c r="FUR381" s="775"/>
      <c r="FUS381" s="774"/>
      <c r="FUT381" s="776"/>
      <c r="FUU381" s="430"/>
      <c r="FUV381" s="717"/>
      <c r="FUW381" s="774"/>
      <c r="FUX381" s="774"/>
      <c r="FUY381" s="422"/>
      <c r="FUZ381" s="775"/>
      <c r="FVA381" s="774"/>
      <c r="FVB381" s="776"/>
      <c r="FVC381" s="430"/>
      <c r="FVD381" s="717"/>
      <c r="FVE381" s="774"/>
      <c r="FVF381" s="774"/>
      <c r="FVG381" s="422"/>
      <c r="FVH381" s="775"/>
      <c r="FVI381" s="774"/>
      <c r="FVJ381" s="776"/>
      <c r="FVK381" s="430"/>
      <c r="FVL381" s="717"/>
      <c r="FVM381" s="774"/>
      <c r="FVN381" s="774"/>
      <c r="FVO381" s="422"/>
      <c r="FVP381" s="775"/>
      <c r="FVQ381" s="774"/>
      <c r="FVR381" s="776"/>
      <c r="FVS381" s="430"/>
      <c r="FVT381" s="717"/>
      <c r="FVU381" s="774"/>
      <c r="FVV381" s="774"/>
      <c r="FVW381" s="422"/>
      <c r="FVX381" s="775"/>
      <c r="FVY381" s="774"/>
      <c r="FVZ381" s="776"/>
      <c r="FWA381" s="430"/>
      <c r="FWB381" s="717"/>
      <c r="FWC381" s="774"/>
      <c r="FWD381" s="774"/>
      <c r="FWE381" s="422"/>
      <c r="FWF381" s="775"/>
      <c r="FWG381" s="774"/>
      <c r="FWH381" s="776"/>
      <c r="FWI381" s="430"/>
      <c r="FWJ381" s="717"/>
      <c r="FWK381" s="774"/>
      <c r="FWL381" s="774"/>
      <c r="FWM381" s="422"/>
      <c r="FWN381" s="775"/>
      <c r="FWO381" s="774"/>
      <c r="FWP381" s="776"/>
      <c r="FWQ381" s="430"/>
      <c r="FWR381" s="717"/>
      <c r="FWS381" s="774"/>
      <c r="FWT381" s="774"/>
      <c r="FWU381" s="422"/>
      <c r="FWV381" s="775"/>
      <c r="FWW381" s="774"/>
      <c r="FWX381" s="776"/>
      <c r="FWY381" s="430"/>
      <c r="FWZ381" s="717"/>
      <c r="FXA381" s="774"/>
      <c r="FXB381" s="774"/>
      <c r="FXC381" s="422"/>
      <c r="FXD381" s="775"/>
      <c r="FXE381" s="774"/>
      <c r="FXF381" s="776"/>
      <c r="FXG381" s="430"/>
      <c r="FXH381" s="717"/>
      <c r="FXI381" s="774"/>
      <c r="FXJ381" s="774"/>
      <c r="FXK381" s="422"/>
      <c r="FXL381" s="775"/>
      <c r="FXM381" s="774"/>
      <c r="FXN381" s="776"/>
      <c r="FXO381" s="430"/>
      <c r="FXP381" s="717"/>
      <c r="FXQ381" s="774"/>
      <c r="FXR381" s="774"/>
      <c r="FXS381" s="422"/>
      <c r="FXT381" s="775"/>
      <c r="FXU381" s="774"/>
      <c r="FXV381" s="776"/>
      <c r="FXW381" s="430"/>
      <c r="FXX381" s="717"/>
      <c r="FXY381" s="774"/>
      <c r="FXZ381" s="774"/>
      <c r="FYA381" s="422"/>
      <c r="FYB381" s="775"/>
      <c r="FYC381" s="774"/>
      <c r="FYD381" s="776"/>
      <c r="FYE381" s="430"/>
      <c r="FYF381" s="717"/>
      <c r="FYG381" s="774"/>
      <c r="FYH381" s="774"/>
      <c r="FYI381" s="422"/>
      <c r="FYJ381" s="775"/>
      <c r="FYK381" s="774"/>
      <c r="FYL381" s="776"/>
      <c r="FYM381" s="430"/>
      <c r="FYN381" s="717"/>
      <c r="FYO381" s="774"/>
      <c r="FYP381" s="774"/>
      <c r="FYQ381" s="422"/>
      <c r="FYR381" s="775"/>
      <c r="FYS381" s="774"/>
      <c r="FYT381" s="776"/>
      <c r="FYU381" s="430"/>
      <c r="FYV381" s="717"/>
      <c r="FYW381" s="774"/>
      <c r="FYX381" s="774"/>
      <c r="FYY381" s="422"/>
      <c r="FYZ381" s="775"/>
      <c r="FZA381" s="774"/>
      <c r="FZB381" s="776"/>
      <c r="FZC381" s="430"/>
      <c r="FZD381" s="717"/>
      <c r="FZE381" s="774"/>
      <c r="FZF381" s="774"/>
      <c r="FZG381" s="422"/>
      <c r="FZH381" s="775"/>
      <c r="FZI381" s="774"/>
      <c r="FZJ381" s="776"/>
      <c r="FZK381" s="430"/>
      <c r="FZL381" s="717"/>
      <c r="FZM381" s="774"/>
      <c r="FZN381" s="774"/>
      <c r="FZO381" s="422"/>
      <c r="FZP381" s="775"/>
      <c r="FZQ381" s="774"/>
      <c r="FZR381" s="776"/>
      <c r="FZS381" s="430"/>
      <c r="FZT381" s="717"/>
      <c r="FZU381" s="774"/>
      <c r="FZV381" s="774"/>
      <c r="FZW381" s="422"/>
      <c r="FZX381" s="775"/>
      <c r="FZY381" s="774"/>
      <c r="FZZ381" s="776"/>
      <c r="GAA381" s="430"/>
      <c r="GAB381" s="717"/>
      <c r="GAC381" s="774"/>
      <c r="GAD381" s="774"/>
      <c r="GAE381" s="422"/>
      <c r="GAF381" s="775"/>
      <c r="GAG381" s="774"/>
      <c r="GAH381" s="776"/>
      <c r="GAI381" s="430"/>
      <c r="GAJ381" s="717"/>
      <c r="GAK381" s="774"/>
      <c r="GAL381" s="774"/>
      <c r="GAM381" s="422"/>
      <c r="GAN381" s="775"/>
      <c r="GAO381" s="774"/>
      <c r="GAP381" s="776"/>
      <c r="GAQ381" s="430"/>
      <c r="GAR381" s="717"/>
      <c r="GAS381" s="774"/>
      <c r="GAT381" s="774"/>
      <c r="GAU381" s="422"/>
      <c r="GAV381" s="775"/>
      <c r="GAW381" s="774"/>
      <c r="GAX381" s="776"/>
      <c r="GAY381" s="430"/>
      <c r="GAZ381" s="717"/>
      <c r="GBA381" s="774"/>
      <c r="GBB381" s="774"/>
      <c r="GBC381" s="422"/>
      <c r="GBD381" s="775"/>
      <c r="GBE381" s="774"/>
      <c r="GBF381" s="776"/>
      <c r="GBG381" s="430"/>
      <c r="GBH381" s="717"/>
      <c r="GBI381" s="774"/>
      <c r="GBJ381" s="774"/>
      <c r="GBK381" s="422"/>
      <c r="GBL381" s="775"/>
      <c r="GBM381" s="774"/>
      <c r="GBN381" s="776"/>
      <c r="GBO381" s="430"/>
      <c r="GBP381" s="717"/>
      <c r="GBQ381" s="774"/>
      <c r="GBR381" s="774"/>
      <c r="GBS381" s="422"/>
      <c r="GBT381" s="775"/>
      <c r="GBU381" s="774"/>
      <c r="GBV381" s="776"/>
      <c r="GBW381" s="430"/>
      <c r="GBX381" s="717"/>
      <c r="GBY381" s="774"/>
      <c r="GBZ381" s="774"/>
      <c r="GCA381" s="422"/>
      <c r="GCB381" s="775"/>
      <c r="GCC381" s="774"/>
      <c r="GCD381" s="776"/>
      <c r="GCE381" s="430"/>
      <c r="GCF381" s="717"/>
      <c r="GCG381" s="774"/>
      <c r="GCH381" s="774"/>
      <c r="GCI381" s="422"/>
      <c r="GCJ381" s="775"/>
      <c r="GCK381" s="774"/>
      <c r="GCL381" s="776"/>
      <c r="GCM381" s="430"/>
      <c r="GCN381" s="717"/>
      <c r="GCO381" s="774"/>
      <c r="GCP381" s="774"/>
      <c r="GCQ381" s="422"/>
      <c r="GCR381" s="775"/>
      <c r="GCS381" s="774"/>
      <c r="GCT381" s="776"/>
      <c r="GCU381" s="430"/>
      <c r="GCV381" s="717"/>
      <c r="GCW381" s="774"/>
      <c r="GCX381" s="774"/>
      <c r="GCY381" s="422"/>
      <c r="GCZ381" s="775"/>
      <c r="GDA381" s="774"/>
      <c r="GDB381" s="776"/>
      <c r="GDC381" s="430"/>
      <c r="GDD381" s="717"/>
      <c r="GDE381" s="774"/>
      <c r="GDF381" s="774"/>
      <c r="GDG381" s="422"/>
      <c r="GDH381" s="775"/>
      <c r="GDI381" s="774"/>
      <c r="GDJ381" s="776"/>
      <c r="GDK381" s="430"/>
      <c r="GDL381" s="717"/>
      <c r="GDM381" s="774"/>
      <c r="GDN381" s="774"/>
      <c r="GDO381" s="422"/>
      <c r="GDP381" s="775"/>
      <c r="GDQ381" s="774"/>
      <c r="GDR381" s="776"/>
      <c r="GDS381" s="430"/>
      <c r="GDT381" s="717"/>
      <c r="GDU381" s="774"/>
      <c r="GDV381" s="774"/>
      <c r="GDW381" s="422"/>
      <c r="GDX381" s="775"/>
      <c r="GDY381" s="774"/>
      <c r="GDZ381" s="776"/>
      <c r="GEA381" s="430"/>
      <c r="GEB381" s="717"/>
      <c r="GEC381" s="774"/>
      <c r="GED381" s="774"/>
      <c r="GEE381" s="422"/>
      <c r="GEF381" s="775"/>
      <c r="GEG381" s="774"/>
      <c r="GEH381" s="776"/>
      <c r="GEI381" s="430"/>
      <c r="GEJ381" s="717"/>
      <c r="GEK381" s="774"/>
      <c r="GEL381" s="774"/>
      <c r="GEM381" s="422"/>
      <c r="GEN381" s="775"/>
      <c r="GEO381" s="774"/>
      <c r="GEP381" s="776"/>
      <c r="GEQ381" s="430"/>
      <c r="GER381" s="717"/>
      <c r="GES381" s="774"/>
      <c r="GET381" s="774"/>
      <c r="GEU381" s="422"/>
      <c r="GEV381" s="775"/>
      <c r="GEW381" s="774"/>
      <c r="GEX381" s="776"/>
      <c r="GEY381" s="430"/>
      <c r="GEZ381" s="717"/>
      <c r="GFA381" s="774"/>
      <c r="GFB381" s="774"/>
      <c r="GFC381" s="422"/>
      <c r="GFD381" s="775"/>
      <c r="GFE381" s="774"/>
      <c r="GFF381" s="776"/>
      <c r="GFG381" s="430"/>
      <c r="GFH381" s="717"/>
      <c r="GFI381" s="774"/>
      <c r="GFJ381" s="774"/>
      <c r="GFK381" s="422"/>
      <c r="GFL381" s="775"/>
      <c r="GFM381" s="774"/>
      <c r="GFN381" s="776"/>
      <c r="GFO381" s="430"/>
      <c r="GFP381" s="717"/>
      <c r="GFQ381" s="774"/>
      <c r="GFR381" s="774"/>
      <c r="GFS381" s="422"/>
      <c r="GFT381" s="775"/>
      <c r="GFU381" s="774"/>
      <c r="GFV381" s="776"/>
      <c r="GFW381" s="430"/>
      <c r="GFX381" s="717"/>
      <c r="GFY381" s="774"/>
      <c r="GFZ381" s="774"/>
      <c r="GGA381" s="422"/>
      <c r="GGB381" s="775"/>
      <c r="GGC381" s="774"/>
      <c r="GGD381" s="776"/>
      <c r="GGE381" s="430"/>
      <c r="GGF381" s="717"/>
      <c r="GGG381" s="774"/>
      <c r="GGH381" s="774"/>
      <c r="GGI381" s="422"/>
      <c r="GGJ381" s="775"/>
      <c r="GGK381" s="774"/>
      <c r="GGL381" s="776"/>
      <c r="GGM381" s="430"/>
      <c r="GGN381" s="717"/>
      <c r="GGO381" s="774"/>
      <c r="GGP381" s="774"/>
      <c r="GGQ381" s="422"/>
      <c r="GGR381" s="775"/>
      <c r="GGS381" s="774"/>
      <c r="GGT381" s="776"/>
      <c r="GGU381" s="430"/>
      <c r="GGV381" s="717"/>
      <c r="GGW381" s="774"/>
      <c r="GGX381" s="774"/>
      <c r="GGY381" s="422"/>
      <c r="GGZ381" s="775"/>
      <c r="GHA381" s="774"/>
      <c r="GHB381" s="776"/>
      <c r="GHC381" s="430"/>
      <c r="GHD381" s="717"/>
      <c r="GHE381" s="774"/>
      <c r="GHF381" s="774"/>
      <c r="GHG381" s="422"/>
      <c r="GHH381" s="775"/>
      <c r="GHI381" s="774"/>
      <c r="GHJ381" s="776"/>
      <c r="GHK381" s="430"/>
      <c r="GHL381" s="717"/>
      <c r="GHM381" s="774"/>
      <c r="GHN381" s="774"/>
      <c r="GHO381" s="422"/>
      <c r="GHP381" s="775"/>
      <c r="GHQ381" s="774"/>
      <c r="GHR381" s="776"/>
      <c r="GHS381" s="430"/>
      <c r="GHT381" s="717"/>
      <c r="GHU381" s="774"/>
      <c r="GHV381" s="774"/>
      <c r="GHW381" s="422"/>
      <c r="GHX381" s="775"/>
      <c r="GHY381" s="774"/>
      <c r="GHZ381" s="776"/>
      <c r="GIA381" s="430"/>
      <c r="GIB381" s="717"/>
      <c r="GIC381" s="774"/>
      <c r="GID381" s="774"/>
      <c r="GIE381" s="422"/>
      <c r="GIF381" s="775"/>
      <c r="GIG381" s="774"/>
      <c r="GIH381" s="776"/>
      <c r="GII381" s="430"/>
      <c r="GIJ381" s="717"/>
      <c r="GIK381" s="774"/>
      <c r="GIL381" s="774"/>
      <c r="GIM381" s="422"/>
      <c r="GIN381" s="775"/>
      <c r="GIO381" s="774"/>
      <c r="GIP381" s="776"/>
      <c r="GIQ381" s="430"/>
      <c r="GIR381" s="717"/>
      <c r="GIS381" s="774"/>
      <c r="GIT381" s="774"/>
      <c r="GIU381" s="422"/>
      <c r="GIV381" s="775"/>
      <c r="GIW381" s="774"/>
      <c r="GIX381" s="776"/>
      <c r="GIY381" s="430"/>
      <c r="GIZ381" s="717"/>
      <c r="GJA381" s="774"/>
      <c r="GJB381" s="774"/>
      <c r="GJC381" s="422"/>
      <c r="GJD381" s="775"/>
      <c r="GJE381" s="774"/>
      <c r="GJF381" s="776"/>
      <c r="GJG381" s="430"/>
      <c r="GJH381" s="717"/>
      <c r="GJI381" s="774"/>
      <c r="GJJ381" s="774"/>
      <c r="GJK381" s="422"/>
      <c r="GJL381" s="775"/>
      <c r="GJM381" s="774"/>
      <c r="GJN381" s="776"/>
      <c r="GJO381" s="430"/>
      <c r="GJP381" s="717"/>
      <c r="GJQ381" s="774"/>
      <c r="GJR381" s="774"/>
      <c r="GJS381" s="422"/>
      <c r="GJT381" s="775"/>
      <c r="GJU381" s="774"/>
      <c r="GJV381" s="776"/>
      <c r="GJW381" s="430"/>
      <c r="GJX381" s="717"/>
      <c r="GJY381" s="774"/>
      <c r="GJZ381" s="774"/>
      <c r="GKA381" s="422"/>
      <c r="GKB381" s="775"/>
      <c r="GKC381" s="774"/>
      <c r="GKD381" s="776"/>
      <c r="GKE381" s="430"/>
      <c r="GKF381" s="717"/>
      <c r="GKG381" s="774"/>
      <c r="GKH381" s="774"/>
      <c r="GKI381" s="422"/>
      <c r="GKJ381" s="775"/>
      <c r="GKK381" s="774"/>
      <c r="GKL381" s="776"/>
      <c r="GKM381" s="430"/>
      <c r="GKN381" s="717"/>
      <c r="GKO381" s="774"/>
      <c r="GKP381" s="774"/>
      <c r="GKQ381" s="422"/>
      <c r="GKR381" s="775"/>
      <c r="GKS381" s="774"/>
      <c r="GKT381" s="776"/>
      <c r="GKU381" s="430"/>
      <c r="GKV381" s="717"/>
      <c r="GKW381" s="774"/>
      <c r="GKX381" s="774"/>
      <c r="GKY381" s="422"/>
      <c r="GKZ381" s="775"/>
      <c r="GLA381" s="774"/>
      <c r="GLB381" s="776"/>
      <c r="GLC381" s="430"/>
      <c r="GLD381" s="717"/>
      <c r="GLE381" s="774"/>
      <c r="GLF381" s="774"/>
      <c r="GLG381" s="422"/>
      <c r="GLH381" s="775"/>
      <c r="GLI381" s="774"/>
      <c r="GLJ381" s="776"/>
      <c r="GLK381" s="430"/>
      <c r="GLL381" s="717"/>
      <c r="GLM381" s="774"/>
      <c r="GLN381" s="774"/>
      <c r="GLO381" s="422"/>
      <c r="GLP381" s="775"/>
      <c r="GLQ381" s="774"/>
      <c r="GLR381" s="776"/>
      <c r="GLS381" s="430"/>
      <c r="GLT381" s="717"/>
      <c r="GLU381" s="774"/>
      <c r="GLV381" s="774"/>
      <c r="GLW381" s="422"/>
      <c r="GLX381" s="775"/>
      <c r="GLY381" s="774"/>
      <c r="GLZ381" s="776"/>
      <c r="GMA381" s="430"/>
      <c r="GMB381" s="717"/>
      <c r="GMC381" s="774"/>
      <c r="GMD381" s="774"/>
      <c r="GME381" s="422"/>
      <c r="GMF381" s="775"/>
      <c r="GMG381" s="774"/>
      <c r="GMH381" s="776"/>
      <c r="GMI381" s="430"/>
      <c r="GMJ381" s="717"/>
      <c r="GMK381" s="774"/>
      <c r="GML381" s="774"/>
      <c r="GMM381" s="422"/>
      <c r="GMN381" s="775"/>
      <c r="GMO381" s="774"/>
      <c r="GMP381" s="776"/>
      <c r="GMQ381" s="430"/>
      <c r="GMR381" s="717"/>
      <c r="GMS381" s="774"/>
      <c r="GMT381" s="774"/>
      <c r="GMU381" s="422"/>
      <c r="GMV381" s="775"/>
      <c r="GMW381" s="774"/>
      <c r="GMX381" s="776"/>
      <c r="GMY381" s="430"/>
      <c r="GMZ381" s="717"/>
      <c r="GNA381" s="774"/>
      <c r="GNB381" s="774"/>
      <c r="GNC381" s="422"/>
      <c r="GND381" s="775"/>
      <c r="GNE381" s="774"/>
      <c r="GNF381" s="776"/>
      <c r="GNG381" s="430"/>
      <c r="GNH381" s="717"/>
      <c r="GNI381" s="774"/>
      <c r="GNJ381" s="774"/>
      <c r="GNK381" s="422"/>
      <c r="GNL381" s="775"/>
      <c r="GNM381" s="774"/>
      <c r="GNN381" s="776"/>
      <c r="GNO381" s="430"/>
      <c r="GNP381" s="717"/>
      <c r="GNQ381" s="774"/>
      <c r="GNR381" s="774"/>
      <c r="GNS381" s="422"/>
      <c r="GNT381" s="775"/>
      <c r="GNU381" s="774"/>
      <c r="GNV381" s="776"/>
      <c r="GNW381" s="430"/>
      <c r="GNX381" s="717"/>
      <c r="GNY381" s="774"/>
      <c r="GNZ381" s="774"/>
      <c r="GOA381" s="422"/>
      <c r="GOB381" s="775"/>
      <c r="GOC381" s="774"/>
      <c r="GOD381" s="776"/>
      <c r="GOE381" s="430"/>
      <c r="GOF381" s="717"/>
      <c r="GOG381" s="774"/>
      <c r="GOH381" s="774"/>
      <c r="GOI381" s="422"/>
      <c r="GOJ381" s="775"/>
      <c r="GOK381" s="774"/>
      <c r="GOL381" s="776"/>
      <c r="GOM381" s="430"/>
      <c r="GON381" s="717"/>
      <c r="GOO381" s="774"/>
      <c r="GOP381" s="774"/>
      <c r="GOQ381" s="422"/>
      <c r="GOR381" s="775"/>
      <c r="GOS381" s="774"/>
      <c r="GOT381" s="776"/>
      <c r="GOU381" s="430"/>
      <c r="GOV381" s="717"/>
      <c r="GOW381" s="774"/>
      <c r="GOX381" s="774"/>
      <c r="GOY381" s="422"/>
      <c r="GOZ381" s="775"/>
      <c r="GPA381" s="774"/>
      <c r="GPB381" s="776"/>
      <c r="GPC381" s="430"/>
      <c r="GPD381" s="717"/>
      <c r="GPE381" s="774"/>
      <c r="GPF381" s="774"/>
      <c r="GPG381" s="422"/>
      <c r="GPH381" s="775"/>
      <c r="GPI381" s="774"/>
      <c r="GPJ381" s="776"/>
      <c r="GPK381" s="430"/>
      <c r="GPL381" s="717"/>
      <c r="GPM381" s="774"/>
      <c r="GPN381" s="774"/>
      <c r="GPO381" s="422"/>
      <c r="GPP381" s="775"/>
      <c r="GPQ381" s="774"/>
      <c r="GPR381" s="776"/>
      <c r="GPS381" s="430"/>
      <c r="GPT381" s="717"/>
      <c r="GPU381" s="774"/>
      <c r="GPV381" s="774"/>
      <c r="GPW381" s="422"/>
      <c r="GPX381" s="775"/>
      <c r="GPY381" s="774"/>
      <c r="GPZ381" s="776"/>
      <c r="GQA381" s="430"/>
      <c r="GQB381" s="717"/>
      <c r="GQC381" s="774"/>
      <c r="GQD381" s="774"/>
      <c r="GQE381" s="422"/>
      <c r="GQF381" s="775"/>
      <c r="GQG381" s="774"/>
      <c r="GQH381" s="776"/>
      <c r="GQI381" s="430"/>
      <c r="GQJ381" s="717"/>
      <c r="GQK381" s="774"/>
      <c r="GQL381" s="774"/>
      <c r="GQM381" s="422"/>
      <c r="GQN381" s="775"/>
      <c r="GQO381" s="774"/>
      <c r="GQP381" s="776"/>
      <c r="GQQ381" s="430"/>
      <c r="GQR381" s="717"/>
      <c r="GQS381" s="774"/>
      <c r="GQT381" s="774"/>
      <c r="GQU381" s="422"/>
      <c r="GQV381" s="775"/>
      <c r="GQW381" s="774"/>
      <c r="GQX381" s="776"/>
      <c r="GQY381" s="430"/>
      <c r="GQZ381" s="717"/>
      <c r="GRA381" s="774"/>
      <c r="GRB381" s="774"/>
      <c r="GRC381" s="422"/>
      <c r="GRD381" s="775"/>
      <c r="GRE381" s="774"/>
      <c r="GRF381" s="776"/>
      <c r="GRG381" s="430"/>
      <c r="GRH381" s="717"/>
      <c r="GRI381" s="774"/>
      <c r="GRJ381" s="774"/>
      <c r="GRK381" s="422"/>
      <c r="GRL381" s="775"/>
      <c r="GRM381" s="774"/>
      <c r="GRN381" s="776"/>
      <c r="GRO381" s="430"/>
      <c r="GRP381" s="717"/>
      <c r="GRQ381" s="774"/>
      <c r="GRR381" s="774"/>
      <c r="GRS381" s="422"/>
      <c r="GRT381" s="775"/>
      <c r="GRU381" s="774"/>
      <c r="GRV381" s="776"/>
      <c r="GRW381" s="430"/>
      <c r="GRX381" s="717"/>
      <c r="GRY381" s="774"/>
      <c r="GRZ381" s="774"/>
      <c r="GSA381" s="422"/>
      <c r="GSB381" s="775"/>
      <c r="GSC381" s="774"/>
      <c r="GSD381" s="776"/>
      <c r="GSE381" s="430"/>
      <c r="GSF381" s="717"/>
      <c r="GSG381" s="774"/>
      <c r="GSH381" s="774"/>
      <c r="GSI381" s="422"/>
      <c r="GSJ381" s="775"/>
      <c r="GSK381" s="774"/>
      <c r="GSL381" s="776"/>
      <c r="GSM381" s="430"/>
      <c r="GSN381" s="717"/>
      <c r="GSO381" s="774"/>
      <c r="GSP381" s="774"/>
      <c r="GSQ381" s="422"/>
      <c r="GSR381" s="775"/>
      <c r="GSS381" s="774"/>
      <c r="GST381" s="776"/>
      <c r="GSU381" s="430"/>
      <c r="GSV381" s="717"/>
      <c r="GSW381" s="774"/>
      <c r="GSX381" s="774"/>
      <c r="GSY381" s="422"/>
      <c r="GSZ381" s="775"/>
      <c r="GTA381" s="774"/>
      <c r="GTB381" s="776"/>
      <c r="GTC381" s="430"/>
      <c r="GTD381" s="717"/>
      <c r="GTE381" s="774"/>
      <c r="GTF381" s="774"/>
      <c r="GTG381" s="422"/>
      <c r="GTH381" s="775"/>
      <c r="GTI381" s="774"/>
      <c r="GTJ381" s="776"/>
      <c r="GTK381" s="430"/>
      <c r="GTL381" s="717"/>
      <c r="GTM381" s="774"/>
      <c r="GTN381" s="774"/>
      <c r="GTO381" s="422"/>
      <c r="GTP381" s="775"/>
      <c r="GTQ381" s="774"/>
      <c r="GTR381" s="776"/>
      <c r="GTS381" s="430"/>
      <c r="GTT381" s="717"/>
      <c r="GTU381" s="774"/>
      <c r="GTV381" s="774"/>
      <c r="GTW381" s="422"/>
      <c r="GTX381" s="775"/>
      <c r="GTY381" s="774"/>
      <c r="GTZ381" s="776"/>
      <c r="GUA381" s="430"/>
      <c r="GUB381" s="717"/>
      <c r="GUC381" s="774"/>
      <c r="GUD381" s="774"/>
      <c r="GUE381" s="422"/>
      <c r="GUF381" s="775"/>
      <c r="GUG381" s="774"/>
      <c r="GUH381" s="776"/>
      <c r="GUI381" s="430"/>
      <c r="GUJ381" s="717"/>
      <c r="GUK381" s="774"/>
      <c r="GUL381" s="774"/>
      <c r="GUM381" s="422"/>
      <c r="GUN381" s="775"/>
      <c r="GUO381" s="774"/>
      <c r="GUP381" s="776"/>
      <c r="GUQ381" s="430"/>
      <c r="GUR381" s="717"/>
      <c r="GUS381" s="774"/>
      <c r="GUT381" s="774"/>
      <c r="GUU381" s="422"/>
      <c r="GUV381" s="775"/>
      <c r="GUW381" s="774"/>
      <c r="GUX381" s="776"/>
      <c r="GUY381" s="430"/>
      <c r="GUZ381" s="717"/>
      <c r="GVA381" s="774"/>
      <c r="GVB381" s="774"/>
      <c r="GVC381" s="422"/>
      <c r="GVD381" s="775"/>
      <c r="GVE381" s="774"/>
      <c r="GVF381" s="776"/>
      <c r="GVG381" s="430"/>
      <c r="GVH381" s="717"/>
      <c r="GVI381" s="774"/>
      <c r="GVJ381" s="774"/>
      <c r="GVK381" s="422"/>
      <c r="GVL381" s="775"/>
      <c r="GVM381" s="774"/>
      <c r="GVN381" s="776"/>
      <c r="GVO381" s="430"/>
      <c r="GVP381" s="717"/>
      <c r="GVQ381" s="774"/>
      <c r="GVR381" s="774"/>
      <c r="GVS381" s="422"/>
      <c r="GVT381" s="775"/>
      <c r="GVU381" s="774"/>
      <c r="GVV381" s="776"/>
      <c r="GVW381" s="430"/>
      <c r="GVX381" s="717"/>
      <c r="GVY381" s="774"/>
      <c r="GVZ381" s="774"/>
      <c r="GWA381" s="422"/>
      <c r="GWB381" s="775"/>
      <c r="GWC381" s="774"/>
      <c r="GWD381" s="776"/>
      <c r="GWE381" s="430"/>
      <c r="GWF381" s="717"/>
      <c r="GWG381" s="774"/>
      <c r="GWH381" s="774"/>
      <c r="GWI381" s="422"/>
      <c r="GWJ381" s="775"/>
      <c r="GWK381" s="774"/>
      <c r="GWL381" s="776"/>
      <c r="GWM381" s="430"/>
      <c r="GWN381" s="717"/>
      <c r="GWO381" s="774"/>
      <c r="GWP381" s="774"/>
      <c r="GWQ381" s="422"/>
      <c r="GWR381" s="775"/>
      <c r="GWS381" s="774"/>
      <c r="GWT381" s="776"/>
      <c r="GWU381" s="430"/>
      <c r="GWV381" s="717"/>
      <c r="GWW381" s="774"/>
      <c r="GWX381" s="774"/>
      <c r="GWY381" s="422"/>
      <c r="GWZ381" s="775"/>
      <c r="GXA381" s="774"/>
      <c r="GXB381" s="776"/>
      <c r="GXC381" s="430"/>
      <c r="GXD381" s="717"/>
      <c r="GXE381" s="774"/>
      <c r="GXF381" s="774"/>
      <c r="GXG381" s="422"/>
      <c r="GXH381" s="775"/>
      <c r="GXI381" s="774"/>
      <c r="GXJ381" s="776"/>
      <c r="GXK381" s="430"/>
      <c r="GXL381" s="717"/>
      <c r="GXM381" s="774"/>
      <c r="GXN381" s="774"/>
      <c r="GXO381" s="422"/>
      <c r="GXP381" s="775"/>
      <c r="GXQ381" s="774"/>
      <c r="GXR381" s="776"/>
      <c r="GXS381" s="430"/>
      <c r="GXT381" s="717"/>
      <c r="GXU381" s="774"/>
      <c r="GXV381" s="774"/>
      <c r="GXW381" s="422"/>
      <c r="GXX381" s="775"/>
      <c r="GXY381" s="774"/>
      <c r="GXZ381" s="776"/>
      <c r="GYA381" s="430"/>
      <c r="GYB381" s="717"/>
      <c r="GYC381" s="774"/>
      <c r="GYD381" s="774"/>
      <c r="GYE381" s="422"/>
      <c r="GYF381" s="775"/>
      <c r="GYG381" s="774"/>
      <c r="GYH381" s="776"/>
      <c r="GYI381" s="430"/>
      <c r="GYJ381" s="717"/>
      <c r="GYK381" s="774"/>
      <c r="GYL381" s="774"/>
      <c r="GYM381" s="422"/>
      <c r="GYN381" s="775"/>
      <c r="GYO381" s="774"/>
      <c r="GYP381" s="776"/>
      <c r="GYQ381" s="430"/>
      <c r="GYR381" s="717"/>
      <c r="GYS381" s="774"/>
      <c r="GYT381" s="774"/>
      <c r="GYU381" s="422"/>
      <c r="GYV381" s="775"/>
      <c r="GYW381" s="774"/>
      <c r="GYX381" s="776"/>
      <c r="GYY381" s="430"/>
      <c r="GYZ381" s="717"/>
      <c r="GZA381" s="774"/>
      <c r="GZB381" s="774"/>
      <c r="GZC381" s="422"/>
      <c r="GZD381" s="775"/>
      <c r="GZE381" s="774"/>
      <c r="GZF381" s="776"/>
      <c r="GZG381" s="430"/>
      <c r="GZH381" s="717"/>
      <c r="GZI381" s="774"/>
      <c r="GZJ381" s="774"/>
      <c r="GZK381" s="422"/>
      <c r="GZL381" s="775"/>
      <c r="GZM381" s="774"/>
      <c r="GZN381" s="776"/>
      <c r="GZO381" s="430"/>
      <c r="GZP381" s="717"/>
      <c r="GZQ381" s="774"/>
      <c r="GZR381" s="774"/>
      <c r="GZS381" s="422"/>
      <c r="GZT381" s="775"/>
      <c r="GZU381" s="774"/>
      <c r="GZV381" s="776"/>
      <c r="GZW381" s="430"/>
      <c r="GZX381" s="717"/>
      <c r="GZY381" s="774"/>
      <c r="GZZ381" s="774"/>
      <c r="HAA381" s="422"/>
      <c r="HAB381" s="775"/>
      <c r="HAC381" s="774"/>
      <c r="HAD381" s="776"/>
      <c r="HAE381" s="430"/>
      <c r="HAF381" s="717"/>
      <c r="HAG381" s="774"/>
      <c r="HAH381" s="774"/>
      <c r="HAI381" s="422"/>
      <c r="HAJ381" s="775"/>
      <c r="HAK381" s="774"/>
      <c r="HAL381" s="776"/>
      <c r="HAM381" s="430"/>
      <c r="HAN381" s="717"/>
      <c r="HAO381" s="774"/>
      <c r="HAP381" s="774"/>
      <c r="HAQ381" s="422"/>
      <c r="HAR381" s="775"/>
      <c r="HAS381" s="774"/>
      <c r="HAT381" s="776"/>
      <c r="HAU381" s="430"/>
      <c r="HAV381" s="717"/>
      <c r="HAW381" s="774"/>
      <c r="HAX381" s="774"/>
      <c r="HAY381" s="422"/>
      <c r="HAZ381" s="775"/>
      <c r="HBA381" s="774"/>
      <c r="HBB381" s="776"/>
      <c r="HBC381" s="430"/>
      <c r="HBD381" s="717"/>
      <c r="HBE381" s="774"/>
      <c r="HBF381" s="774"/>
      <c r="HBG381" s="422"/>
      <c r="HBH381" s="775"/>
      <c r="HBI381" s="774"/>
      <c r="HBJ381" s="776"/>
      <c r="HBK381" s="430"/>
      <c r="HBL381" s="717"/>
      <c r="HBM381" s="774"/>
      <c r="HBN381" s="774"/>
      <c r="HBO381" s="422"/>
      <c r="HBP381" s="775"/>
      <c r="HBQ381" s="774"/>
      <c r="HBR381" s="776"/>
      <c r="HBS381" s="430"/>
      <c r="HBT381" s="717"/>
      <c r="HBU381" s="774"/>
      <c r="HBV381" s="774"/>
      <c r="HBW381" s="422"/>
      <c r="HBX381" s="775"/>
      <c r="HBY381" s="774"/>
      <c r="HBZ381" s="776"/>
      <c r="HCA381" s="430"/>
      <c r="HCB381" s="717"/>
      <c r="HCC381" s="774"/>
      <c r="HCD381" s="774"/>
      <c r="HCE381" s="422"/>
      <c r="HCF381" s="775"/>
      <c r="HCG381" s="774"/>
      <c r="HCH381" s="776"/>
      <c r="HCI381" s="430"/>
      <c r="HCJ381" s="717"/>
      <c r="HCK381" s="774"/>
      <c r="HCL381" s="774"/>
      <c r="HCM381" s="422"/>
      <c r="HCN381" s="775"/>
      <c r="HCO381" s="774"/>
      <c r="HCP381" s="776"/>
      <c r="HCQ381" s="430"/>
      <c r="HCR381" s="717"/>
      <c r="HCS381" s="774"/>
      <c r="HCT381" s="774"/>
      <c r="HCU381" s="422"/>
      <c r="HCV381" s="775"/>
      <c r="HCW381" s="774"/>
      <c r="HCX381" s="776"/>
      <c r="HCY381" s="430"/>
      <c r="HCZ381" s="717"/>
      <c r="HDA381" s="774"/>
      <c r="HDB381" s="774"/>
      <c r="HDC381" s="422"/>
      <c r="HDD381" s="775"/>
      <c r="HDE381" s="774"/>
      <c r="HDF381" s="776"/>
      <c r="HDG381" s="430"/>
      <c r="HDH381" s="717"/>
      <c r="HDI381" s="774"/>
      <c r="HDJ381" s="774"/>
      <c r="HDK381" s="422"/>
      <c r="HDL381" s="775"/>
      <c r="HDM381" s="774"/>
      <c r="HDN381" s="776"/>
      <c r="HDO381" s="430"/>
      <c r="HDP381" s="717"/>
      <c r="HDQ381" s="774"/>
      <c r="HDR381" s="774"/>
      <c r="HDS381" s="422"/>
      <c r="HDT381" s="775"/>
      <c r="HDU381" s="774"/>
      <c r="HDV381" s="776"/>
      <c r="HDW381" s="430"/>
      <c r="HDX381" s="717"/>
      <c r="HDY381" s="774"/>
      <c r="HDZ381" s="774"/>
      <c r="HEA381" s="422"/>
      <c r="HEB381" s="775"/>
      <c r="HEC381" s="774"/>
      <c r="HED381" s="776"/>
      <c r="HEE381" s="430"/>
      <c r="HEF381" s="717"/>
      <c r="HEG381" s="774"/>
      <c r="HEH381" s="774"/>
      <c r="HEI381" s="422"/>
      <c r="HEJ381" s="775"/>
      <c r="HEK381" s="774"/>
      <c r="HEL381" s="776"/>
      <c r="HEM381" s="430"/>
      <c r="HEN381" s="717"/>
      <c r="HEO381" s="774"/>
      <c r="HEP381" s="774"/>
      <c r="HEQ381" s="422"/>
      <c r="HER381" s="775"/>
      <c r="HES381" s="774"/>
      <c r="HET381" s="776"/>
      <c r="HEU381" s="430"/>
      <c r="HEV381" s="717"/>
      <c r="HEW381" s="774"/>
      <c r="HEX381" s="774"/>
      <c r="HEY381" s="422"/>
      <c r="HEZ381" s="775"/>
      <c r="HFA381" s="774"/>
      <c r="HFB381" s="776"/>
      <c r="HFC381" s="430"/>
      <c r="HFD381" s="717"/>
      <c r="HFE381" s="774"/>
      <c r="HFF381" s="774"/>
      <c r="HFG381" s="422"/>
      <c r="HFH381" s="775"/>
      <c r="HFI381" s="774"/>
      <c r="HFJ381" s="776"/>
      <c r="HFK381" s="430"/>
      <c r="HFL381" s="717"/>
      <c r="HFM381" s="774"/>
      <c r="HFN381" s="774"/>
      <c r="HFO381" s="422"/>
      <c r="HFP381" s="775"/>
      <c r="HFQ381" s="774"/>
      <c r="HFR381" s="776"/>
      <c r="HFS381" s="430"/>
      <c r="HFT381" s="717"/>
      <c r="HFU381" s="774"/>
      <c r="HFV381" s="774"/>
      <c r="HFW381" s="422"/>
      <c r="HFX381" s="775"/>
      <c r="HFY381" s="774"/>
      <c r="HFZ381" s="776"/>
      <c r="HGA381" s="430"/>
      <c r="HGB381" s="717"/>
      <c r="HGC381" s="774"/>
      <c r="HGD381" s="774"/>
      <c r="HGE381" s="422"/>
      <c r="HGF381" s="775"/>
      <c r="HGG381" s="774"/>
      <c r="HGH381" s="776"/>
      <c r="HGI381" s="430"/>
      <c r="HGJ381" s="717"/>
      <c r="HGK381" s="774"/>
      <c r="HGL381" s="774"/>
      <c r="HGM381" s="422"/>
      <c r="HGN381" s="775"/>
      <c r="HGO381" s="774"/>
      <c r="HGP381" s="776"/>
      <c r="HGQ381" s="430"/>
      <c r="HGR381" s="717"/>
      <c r="HGS381" s="774"/>
      <c r="HGT381" s="774"/>
      <c r="HGU381" s="422"/>
      <c r="HGV381" s="775"/>
      <c r="HGW381" s="774"/>
      <c r="HGX381" s="776"/>
      <c r="HGY381" s="430"/>
      <c r="HGZ381" s="717"/>
      <c r="HHA381" s="774"/>
      <c r="HHB381" s="774"/>
      <c r="HHC381" s="422"/>
      <c r="HHD381" s="775"/>
      <c r="HHE381" s="774"/>
      <c r="HHF381" s="776"/>
      <c r="HHG381" s="430"/>
      <c r="HHH381" s="717"/>
      <c r="HHI381" s="774"/>
      <c r="HHJ381" s="774"/>
      <c r="HHK381" s="422"/>
      <c r="HHL381" s="775"/>
      <c r="HHM381" s="774"/>
      <c r="HHN381" s="776"/>
      <c r="HHO381" s="430"/>
      <c r="HHP381" s="717"/>
      <c r="HHQ381" s="774"/>
      <c r="HHR381" s="774"/>
      <c r="HHS381" s="422"/>
      <c r="HHT381" s="775"/>
      <c r="HHU381" s="774"/>
      <c r="HHV381" s="776"/>
      <c r="HHW381" s="430"/>
      <c r="HHX381" s="717"/>
      <c r="HHY381" s="774"/>
      <c r="HHZ381" s="774"/>
      <c r="HIA381" s="422"/>
      <c r="HIB381" s="775"/>
      <c r="HIC381" s="774"/>
      <c r="HID381" s="776"/>
      <c r="HIE381" s="430"/>
      <c r="HIF381" s="717"/>
      <c r="HIG381" s="774"/>
      <c r="HIH381" s="774"/>
      <c r="HII381" s="422"/>
      <c r="HIJ381" s="775"/>
      <c r="HIK381" s="774"/>
      <c r="HIL381" s="776"/>
      <c r="HIM381" s="430"/>
      <c r="HIN381" s="717"/>
      <c r="HIO381" s="774"/>
      <c r="HIP381" s="774"/>
      <c r="HIQ381" s="422"/>
      <c r="HIR381" s="775"/>
      <c r="HIS381" s="774"/>
      <c r="HIT381" s="776"/>
      <c r="HIU381" s="430"/>
      <c r="HIV381" s="717"/>
      <c r="HIW381" s="774"/>
      <c r="HIX381" s="774"/>
      <c r="HIY381" s="422"/>
      <c r="HIZ381" s="775"/>
      <c r="HJA381" s="774"/>
      <c r="HJB381" s="776"/>
      <c r="HJC381" s="430"/>
      <c r="HJD381" s="717"/>
      <c r="HJE381" s="774"/>
      <c r="HJF381" s="774"/>
      <c r="HJG381" s="422"/>
      <c r="HJH381" s="775"/>
      <c r="HJI381" s="774"/>
      <c r="HJJ381" s="776"/>
      <c r="HJK381" s="430"/>
      <c r="HJL381" s="717"/>
      <c r="HJM381" s="774"/>
      <c r="HJN381" s="774"/>
      <c r="HJO381" s="422"/>
      <c r="HJP381" s="775"/>
      <c r="HJQ381" s="774"/>
      <c r="HJR381" s="776"/>
      <c r="HJS381" s="430"/>
      <c r="HJT381" s="717"/>
      <c r="HJU381" s="774"/>
      <c r="HJV381" s="774"/>
      <c r="HJW381" s="422"/>
      <c r="HJX381" s="775"/>
      <c r="HJY381" s="774"/>
      <c r="HJZ381" s="776"/>
      <c r="HKA381" s="430"/>
      <c r="HKB381" s="717"/>
      <c r="HKC381" s="774"/>
      <c r="HKD381" s="774"/>
      <c r="HKE381" s="422"/>
      <c r="HKF381" s="775"/>
      <c r="HKG381" s="774"/>
      <c r="HKH381" s="776"/>
      <c r="HKI381" s="430"/>
      <c r="HKJ381" s="717"/>
      <c r="HKK381" s="774"/>
      <c r="HKL381" s="774"/>
      <c r="HKM381" s="422"/>
      <c r="HKN381" s="775"/>
      <c r="HKO381" s="774"/>
      <c r="HKP381" s="776"/>
      <c r="HKQ381" s="430"/>
      <c r="HKR381" s="717"/>
      <c r="HKS381" s="774"/>
      <c r="HKT381" s="774"/>
      <c r="HKU381" s="422"/>
      <c r="HKV381" s="775"/>
      <c r="HKW381" s="774"/>
      <c r="HKX381" s="776"/>
      <c r="HKY381" s="430"/>
      <c r="HKZ381" s="717"/>
      <c r="HLA381" s="774"/>
      <c r="HLB381" s="774"/>
      <c r="HLC381" s="422"/>
      <c r="HLD381" s="775"/>
      <c r="HLE381" s="774"/>
      <c r="HLF381" s="776"/>
      <c r="HLG381" s="430"/>
      <c r="HLH381" s="717"/>
      <c r="HLI381" s="774"/>
      <c r="HLJ381" s="774"/>
      <c r="HLK381" s="422"/>
      <c r="HLL381" s="775"/>
      <c r="HLM381" s="774"/>
      <c r="HLN381" s="776"/>
      <c r="HLO381" s="430"/>
      <c r="HLP381" s="717"/>
      <c r="HLQ381" s="774"/>
      <c r="HLR381" s="774"/>
      <c r="HLS381" s="422"/>
      <c r="HLT381" s="775"/>
      <c r="HLU381" s="774"/>
      <c r="HLV381" s="776"/>
      <c r="HLW381" s="430"/>
      <c r="HLX381" s="717"/>
      <c r="HLY381" s="774"/>
      <c r="HLZ381" s="774"/>
      <c r="HMA381" s="422"/>
      <c r="HMB381" s="775"/>
      <c r="HMC381" s="774"/>
      <c r="HMD381" s="776"/>
      <c r="HME381" s="430"/>
      <c r="HMF381" s="717"/>
      <c r="HMG381" s="774"/>
      <c r="HMH381" s="774"/>
      <c r="HMI381" s="422"/>
      <c r="HMJ381" s="775"/>
      <c r="HMK381" s="774"/>
      <c r="HML381" s="776"/>
      <c r="HMM381" s="430"/>
      <c r="HMN381" s="717"/>
      <c r="HMO381" s="774"/>
      <c r="HMP381" s="774"/>
      <c r="HMQ381" s="422"/>
      <c r="HMR381" s="775"/>
      <c r="HMS381" s="774"/>
      <c r="HMT381" s="776"/>
      <c r="HMU381" s="430"/>
      <c r="HMV381" s="717"/>
      <c r="HMW381" s="774"/>
      <c r="HMX381" s="774"/>
      <c r="HMY381" s="422"/>
      <c r="HMZ381" s="775"/>
      <c r="HNA381" s="774"/>
      <c r="HNB381" s="776"/>
      <c r="HNC381" s="430"/>
      <c r="HND381" s="717"/>
      <c r="HNE381" s="774"/>
      <c r="HNF381" s="774"/>
      <c r="HNG381" s="422"/>
      <c r="HNH381" s="775"/>
      <c r="HNI381" s="774"/>
      <c r="HNJ381" s="776"/>
      <c r="HNK381" s="430"/>
      <c r="HNL381" s="717"/>
      <c r="HNM381" s="774"/>
      <c r="HNN381" s="774"/>
      <c r="HNO381" s="422"/>
      <c r="HNP381" s="775"/>
      <c r="HNQ381" s="774"/>
      <c r="HNR381" s="776"/>
      <c r="HNS381" s="430"/>
      <c r="HNT381" s="717"/>
      <c r="HNU381" s="774"/>
      <c r="HNV381" s="774"/>
      <c r="HNW381" s="422"/>
      <c r="HNX381" s="775"/>
      <c r="HNY381" s="774"/>
      <c r="HNZ381" s="776"/>
      <c r="HOA381" s="430"/>
      <c r="HOB381" s="717"/>
      <c r="HOC381" s="774"/>
      <c r="HOD381" s="774"/>
      <c r="HOE381" s="422"/>
      <c r="HOF381" s="775"/>
      <c r="HOG381" s="774"/>
      <c r="HOH381" s="776"/>
      <c r="HOI381" s="430"/>
      <c r="HOJ381" s="717"/>
      <c r="HOK381" s="774"/>
      <c r="HOL381" s="774"/>
      <c r="HOM381" s="422"/>
      <c r="HON381" s="775"/>
      <c r="HOO381" s="774"/>
      <c r="HOP381" s="776"/>
      <c r="HOQ381" s="430"/>
      <c r="HOR381" s="717"/>
      <c r="HOS381" s="774"/>
      <c r="HOT381" s="774"/>
      <c r="HOU381" s="422"/>
      <c r="HOV381" s="775"/>
      <c r="HOW381" s="774"/>
      <c r="HOX381" s="776"/>
      <c r="HOY381" s="430"/>
      <c r="HOZ381" s="717"/>
      <c r="HPA381" s="774"/>
      <c r="HPB381" s="774"/>
      <c r="HPC381" s="422"/>
      <c r="HPD381" s="775"/>
      <c r="HPE381" s="774"/>
      <c r="HPF381" s="776"/>
      <c r="HPG381" s="430"/>
      <c r="HPH381" s="717"/>
      <c r="HPI381" s="774"/>
      <c r="HPJ381" s="774"/>
      <c r="HPK381" s="422"/>
      <c r="HPL381" s="775"/>
      <c r="HPM381" s="774"/>
      <c r="HPN381" s="776"/>
      <c r="HPO381" s="430"/>
      <c r="HPP381" s="717"/>
      <c r="HPQ381" s="774"/>
      <c r="HPR381" s="774"/>
      <c r="HPS381" s="422"/>
      <c r="HPT381" s="775"/>
      <c r="HPU381" s="774"/>
      <c r="HPV381" s="776"/>
      <c r="HPW381" s="430"/>
      <c r="HPX381" s="717"/>
      <c r="HPY381" s="774"/>
      <c r="HPZ381" s="774"/>
      <c r="HQA381" s="422"/>
      <c r="HQB381" s="775"/>
      <c r="HQC381" s="774"/>
      <c r="HQD381" s="776"/>
      <c r="HQE381" s="430"/>
      <c r="HQF381" s="717"/>
      <c r="HQG381" s="774"/>
      <c r="HQH381" s="774"/>
      <c r="HQI381" s="422"/>
      <c r="HQJ381" s="775"/>
      <c r="HQK381" s="774"/>
      <c r="HQL381" s="776"/>
      <c r="HQM381" s="430"/>
      <c r="HQN381" s="717"/>
      <c r="HQO381" s="774"/>
      <c r="HQP381" s="774"/>
      <c r="HQQ381" s="422"/>
      <c r="HQR381" s="775"/>
      <c r="HQS381" s="774"/>
      <c r="HQT381" s="776"/>
      <c r="HQU381" s="430"/>
      <c r="HQV381" s="717"/>
      <c r="HQW381" s="774"/>
      <c r="HQX381" s="774"/>
      <c r="HQY381" s="422"/>
      <c r="HQZ381" s="775"/>
      <c r="HRA381" s="774"/>
      <c r="HRB381" s="776"/>
      <c r="HRC381" s="430"/>
      <c r="HRD381" s="717"/>
      <c r="HRE381" s="774"/>
      <c r="HRF381" s="774"/>
      <c r="HRG381" s="422"/>
      <c r="HRH381" s="775"/>
      <c r="HRI381" s="774"/>
      <c r="HRJ381" s="776"/>
      <c r="HRK381" s="430"/>
      <c r="HRL381" s="717"/>
      <c r="HRM381" s="774"/>
      <c r="HRN381" s="774"/>
      <c r="HRO381" s="422"/>
      <c r="HRP381" s="775"/>
      <c r="HRQ381" s="774"/>
      <c r="HRR381" s="776"/>
      <c r="HRS381" s="430"/>
      <c r="HRT381" s="717"/>
      <c r="HRU381" s="774"/>
      <c r="HRV381" s="774"/>
      <c r="HRW381" s="422"/>
      <c r="HRX381" s="775"/>
      <c r="HRY381" s="774"/>
      <c r="HRZ381" s="776"/>
      <c r="HSA381" s="430"/>
      <c r="HSB381" s="717"/>
      <c r="HSC381" s="774"/>
      <c r="HSD381" s="774"/>
      <c r="HSE381" s="422"/>
      <c r="HSF381" s="775"/>
      <c r="HSG381" s="774"/>
      <c r="HSH381" s="776"/>
      <c r="HSI381" s="430"/>
      <c r="HSJ381" s="717"/>
      <c r="HSK381" s="774"/>
      <c r="HSL381" s="774"/>
      <c r="HSM381" s="422"/>
      <c r="HSN381" s="775"/>
      <c r="HSO381" s="774"/>
      <c r="HSP381" s="776"/>
      <c r="HSQ381" s="430"/>
      <c r="HSR381" s="717"/>
      <c r="HSS381" s="774"/>
      <c r="HST381" s="774"/>
      <c r="HSU381" s="422"/>
      <c r="HSV381" s="775"/>
      <c r="HSW381" s="774"/>
      <c r="HSX381" s="776"/>
      <c r="HSY381" s="430"/>
      <c r="HSZ381" s="717"/>
      <c r="HTA381" s="774"/>
      <c r="HTB381" s="774"/>
      <c r="HTC381" s="422"/>
      <c r="HTD381" s="775"/>
      <c r="HTE381" s="774"/>
      <c r="HTF381" s="776"/>
      <c r="HTG381" s="430"/>
      <c r="HTH381" s="717"/>
      <c r="HTI381" s="774"/>
      <c r="HTJ381" s="774"/>
      <c r="HTK381" s="422"/>
      <c r="HTL381" s="775"/>
      <c r="HTM381" s="774"/>
      <c r="HTN381" s="776"/>
      <c r="HTO381" s="430"/>
      <c r="HTP381" s="717"/>
      <c r="HTQ381" s="774"/>
      <c r="HTR381" s="774"/>
      <c r="HTS381" s="422"/>
      <c r="HTT381" s="775"/>
      <c r="HTU381" s="774"/>
      <c r="HTV381" s="776"/>
      <c r="HTW381" s="430"/>
      <c r="HTX381" s="717"/>
      <c r="HTY381" s="774"/>
      <c r="HTZ381" s="774"/>
      <c r="HUA381" s="422"/>
      <c r="HUB381" s="775"/>
      <c r="HUC381" s="774"/>
      <c r="HUD381" s="776"/>
      <c r="HUE381" s="430"/>
      <c r="HUF381" s="717"/>
      <c r="HUG381" s="774"/>
      <c r="HUH381" s="774"/>
      <c r="HUI381" s="422"/>
      <c r="HUJ381" s="775"/>
      <c r="HUK381" s="774"/>
      <c r="HUL381" s="776"/>
      <c r="HUM381" s="430"/>
      <c r="HUN381" s="717"/>
      <c r="HUO381" s="774"/>
      <c r="HUP381" s="774"/>
      <c r="HUQ381" s="422"/>
      <c r="HUR381" s="775"/>
      <c r="HUS381" s="774"/>
      <c r="HUT381" s="776"/>
      <c r="HUU381" s="430"/>
      <c r="HUV381" s="717"/>
      <c r="HUW381" s="774"/>
      <c r="HUX381" s="774"/>
      <c r="HUY381" s="422"/>
      <c r="HUZ381" s="775"/>
      <c r="HVA381" s="774"/>
      <c r="HVB381" s="776"/>
      <c r="HVC381" s="430"/>
      <c r="HVD381" s="717"/>
      <c r="HVE381" s="774"/>
      <c r="HVF381" s="774"/>
      <c r="HVG381" s="422"/>
      <c r="HVH381" s="775"/>
      <c r="HVI381" s="774"/>
      <c r="HVJ381" s="776"/>
      <c r="HVK381" s="430"/>
      <c r="HVL381" s="717"/>
      <c r="HVM381" s="774"/>
      <c r="HVN381" s="774"/>
      <c r="HVO381" s="422"/>
      <c r="HVP381" s="775"/>
      <c r="HVQ381" s="774"/>
      <c r="HVR381" s="776"/>
      <c r="HVS381" s="430"/>
      <c r="HVT381" s="717"/>
      <c r="HVU381" s="774"/>
      <c r="HVV381" s="774"/>
      <c r="HVW381" s="422"/>
      <c r="HVX381" s="775"/>
      <c r="HVY381" s="774"/>
      <c r="HVZ381" s="776"/>
      <c r="HWA381" s="430"/>
      <c r="HWB381" s="717"/>
      <c r="HWC381" s="774"/>
      <c r="HWD381" s="774"/>
      <c r="HWE381" s="422"/>
      <c r="HWF381" s="775"/>
      <c r="HWG381" s="774"/>
      <c r="HWH381" s="776"/>
      <c r="HWI381" s="430"/>
      <c r="HWJ381" s="717"/>
      <c r="HWK381" s="774"/>
      <c r="HWL381" s="774"/>
      <c r="HWM381" s="422"/>
      <c r="HWN381" s="775"/>
      <c r="HWO381" s="774"/>
      <c r="HWP381" s="776"/>
      <c r="HWQ381" s="430"/>
      <c r="HWR381" s="717"/>
      <c r="HWS381" s="774"/>
      <c r="HWT381" s="774"/>
      <c r="HWU381" s="422"/>
      <c r="HWV381" s="775"/>
      <c r="HWW381" s="774"/>
      <c r="HWX381" s="776"/>
      <c r="HWY381" s="430"/>
      <c r="HWZ381" s="717"/>
      <c r="HXA381" s="774"/>
      <c r="HXB381" s="774"/>
      <c r="HXC381" s="422"/>
      <c r="HXD381" s="775"/>
      <c r="HXE381" s="774"/>
      <c r="HXF381" s="776"/>
      <c r="HXG381" s="430"/>
      <c r="HXH381" s="717"/>
      <c r="HXI381" s="774"/>
      <c r="HXJ381" s="774"/>
      <c r="HXK381" s="422"/>
      <c r="HXL381" s="775"/>
      <c r="HXM381" s="774"/>
      <c r="HXN381" s="776"/>
      <c r="HXO381" s="430"/>
      <c r="HXP381" s="717"/>
      <c r="HXQ381" s="774"/>
      <c r="HXR381" s="774"/>
      <c r="HXS381" s="422"/>
      <c r="HXT381" s="775"/>
      <c r="HXU381" s="774"/>
      <c r="HXV381" s="776"/>
      <c r="HXW381" s="430"/>
      <c r="HXX381" s="717"/>
      <c r="HXY381" s="774"/>
      <c r="HXZ381" s="774"/>
      <c r="HYA381" s="422"/>
      <c r="HYB381" s="775"/>
      <c r="HYC381" s="774"/>
      <c r="HYD381" s="776"/>
      <c r="HYE381" s="430"/>
      <c r="HYF381" s="717"/>
      <c r="HYG381" s="774"/>
      <c r="HYH381" s="774"/>
      <c r="HYI381" s="422"/>
      <c r="HYJ381" s="775"/>
      <c r="HYK381" s="774"/>
      <c r="HYL381" s="776"/>
      <c r="HYM381" s="430"/>
      <c r="HYN381" s="717"/>
      <c r="HYO381" s="774"/>
      <c r="HYP381" s="774"/>
      <c r="HYQ381" s="422"/>
      <c r="HYR381" s="775"/>
      <c r="HYS381" s="774"/>
      <c r="HYT381" s="776"/>
      <c r="HYU381" s="430"/>
      <c r="HYV381" s="717"/>
      <c r="HYW381" s="774"/>
      <c r="HYX381" s="774"/>
      <c r="HYY381" s="422"/>
      <c r="HYZ381" s="775"/>
      <c r="HZA381" s="774"/>
      <c r="HZB381" s="776"/>
      <c r="HZC381" s="430"/>
      <c r="HZD381" s="717"/>
      <c r="HZE381" s="774"/>
      <c r="HZF381" s="774"/>
      <c r="HZG381" s="422"/>
      <c r="HZH381" s="775"/>
      <c r="HZI381" s="774"/>
      <c r="HZJ381" s="776"/>
      <c r="HZK381" s="430"/>
      <c r="HZL381" s="717"/>
      <c r="HZM381" s="774"/>
      <c r="HZN381" s="774"/>
      <c r="HZO381" s="422"/>
      <c r="HZP381" s="775"/>
      <c r="HZQ381" s="774"/>
      <c r="HZR381" s="776"/>
      <c r="HZS381" s="430"/>
      <c r="HZT381" s="717"/>
      <c r="HZU381" s="774"/>
      <c r="HZV381" s="774"/>
      <c r="HZW381" s="422"/>
      <c r="HZX381" s="775"/>
      <c r="HZY381" s="774"/>
      <c r="HZZ381" s="776"/>
      <c r="IAA381" s="430"/>
      <c r="IAB381" s="717"/>
      <c r="IAC381" s="774"/>
      <c r="IAD381" s="774"/>
      <c r="IAE381" s="422"/>
      <c r="IAF381" s="775"/>
      <c r="IAG381" s="774"/>
      <c r="IAH381" s="776"/>
      <c r="IAI381" s="430"/>
      <c r="IAJ381" s="717"/>
      <c r="IAK381" s="774"/>
      <c r="IAL381" s="774"/>
      <c r="IAM381" s="422"/>
      <c r="IAN381" s="775"/>
      <c r="IAO381" s="774"/>
      <c r="IAP381" s="776"/>
      <c r="IAQ381" s="430"/>
      <c r="IAR381" s="717"/>
      <c r="IAS381" s="774"/>
      <c r="IAT381" s="774"/>
      <c r="IAU381" s="422"/>
      <c r="IAV381" s="775"/>
      <c r="IAW381" s="774"/>
      <c r="IAX381" s="776"/>
      <c r="IAY381" s="430"/>
      <c r="IAZ381" s="717"/>
      <c r="IBA381" s="774"/>
      <c r="IBB381" s="774"/>
      <c r="IBC381" s="422"/>
      <c r="IBD381" s="775"/>
      <c r="IBE381" s="774"/>
      <c r="IBF381" s="776"/>
      <c r="IBG381" s="430"/>
      <c r="IBH381" s="717"/>
      <c r="IBI381" s="774"/>
      <c r="IBJ381" s="774"/>
      <c r="IBK381" s="422"/>
      <c r="IBL381" s="775"/>
      <c r="IBM381" s="774"/>
      <c r="IBN381" s="776"/>
      <c r="IBO381" s="430"/>
      <c r="IBP381" s="717"/>
      <c r="IBQ381" s="774"/>
      <c r="IBR381" s="774"/>
      <c r="IBS381" s="422"/>
      <c r="IBT381" s="775"/>
      <c r="IBU381" s="774"/>
      <c r="IBV381" s="776"/>
      <c r="IBW381" s="430"/>
      <c r="IBX381" s="717"/>
      <c r="IBY381" s="774"/>
      <c r="IBZ381" s="774"/>
      <c r="ICA381" s="422"/>
      <c r="ICB381" s="775"/>
      <c r="ICC381" s="774"/>
      <c r="ICD381" s="776"/>
      <c r="ICE381" s="430"/>
      <c r="ICF381" s="717"/>
      <c r="ICG381" s="774"/>
      <c r="ICH381" s="774"/>
      <c r="ICI381" s="422"/>
      <c r="ICJ381" s="775"/>
      <c r="ICK381" s="774"/>
      <c r="ICL381" s="776"/>
      <c r="ICM381" s="430"/>
      <c r="ICN381" s="717"/>
      <c r="ICO381" s="774"/>
      <c r="ICP381" s="774"/>
      <c r="ICQ381" s="422"/>
      <c r="ICR381" s="775"/>
      <c r="ICS381" s="774"/>
      <c r="ICT381" s="776"/>
      <c r="ICU381" s="430"/>
      <c r="ICV381" s="717"/>
      <c r="ICW381" s="774"/>
      <c r="ICX381" s="774"/>
      <c r="ICY381" s="422"/>
      <c r="ICZ381" s="775"/>
      <c r="IDA381" s="774"/>
      <c r="IDB381" s="776"/>
      <c r="IDC381" s="430"/>
      <c r="IDD381" s="717"/>
      <c r="IDE381" s="774"/>
      <c r="IDF381" s="774"/>
      <c r="IDG381" s="422"/>
      <c r="IDH381" s="775"/>
      <c r="IDI381" s="774"/>
      <c r="IDJ381" s="776"/>
      <c r="IDK381" s="430"/>
      <c r="IDL381" s="717"/>
      <c r="IDM381" s="774"/>
      <c r="IDN381" s="774"/>
      <c r="IDO381" s="422"/>
      <c r="IDP381" s="775"/>
      <c r="IDQ381" s="774"/>
      <c r="IDR381" s="776"/>
      <c r="IDS381" s="430"/>
      <c r="IDT381" s="717"/>
      <c r="IDU381" s="774"/>
      <c r="IDV381" s="774"/>
      <c r="IDW381" s="422"/>
      <c r="IDX381" s="775"/>
      <c r="IDY381" s="774"/>
      <c r="IDZ381" s="776"/>
      <c r="IEA381" s="430"/>
      <c r="IEB381" s="717"/>
      <c r="IEC381" s="774"/>
      <c r="IED381" s="774"/>
      <c r="IEE381" s="422"/>
      <c r="IEF381" s="775"/>
      <c r="IEG381" s="774"/>
      <c r="IEH381" s="776"/>
      <c r="IEI381" s="430"/>
      <c r="IEJ381" s="717"/>
      <c r="IEK381" s="774"/>
      <c r="IEL381" s="774"/>
      <c r="IEM381" s="422"/>
      <c r="IEN381" s="775"/>
      <c r="IEO381" s="774"/>
      <c r="IEP381" s="776"/>
      <c r="IEQ381" s="430"/>
      <c r="IER381" s="717"/>
      <c r="IES381" s="774"/>
      <c r="IET381" s="774"/>
      <c r="IEU381" s="422"/>
      <c r="IEV381" s="775"/>
      <c r="IEW381" s="774"/>
      <c r="IEX381" s="776"/>
      <c r="IEY381" s="430"/>
      <c r="IEZ381" s="717"/>
      <c r="IFA381" s="774"/>
      <c r="IFB381" s="774"/>
      <c r="IFC381" s="422"/>
      <c r="IFD381" s="775"/>
      <c r="IFE381" s="774"/>
      <c r="IFF381" s="776"/>
      <c r="IFG381" s="430"/>
      <c r="IFH381" s="717"/>
      <c r="IFI381" s="774"/>
      <c r="IFJ381" s="774"/>
      <c r="IFK381" s="422"/>
      <c r="IFL381" s="775"/>
      <c r="IFM381" s="774"/>
      <c r="IFN381" s="776"/>
      <c r="IFO381" s="430"/>
      <c r="IFP381" s="717"/>
      <c r="IFQ381" s="774"/>
      <c r="IFR381" s="774"/>
      <c r="IFS381" s="422"/>
      <c r="IFT381" s="775"/>
      <c r="IFU381" s="774"/>
      <c r="IFV381" s="776"/>
      <c r="IFW381" s="430"/>
      <c r="IFX381" s="717"/>
      <c r="IFY381" s="774"/>
      <c r="IFZ381" s="774"/>
      <c r="IGA381" s="422"/>
      <c r="IGB381" s="775"/>
      <c r="IGC381" s="774"/>
      <c r="IGD381" s="776"/>
      <c r="IGE381" s="430"/>
      <c r="IGF381" s="717"/>
      <c r="IGG381" s="774"/>
      <c r="IGH381" s="774"/>
      <c r="IGI381" s="422"/>
      <c r="IGJ381" s="775"/>
      <c r="IGK381" s="774"/>
      <c r="IGL381" s="776"/>
      <c r="IGM381" s="430"/>
      <c r="IGN381" s="717"/>
      <c r="IGO381" s="774"/>
      <c r="IGP381" s="774"/>
      <c r="IGQ381" s="422"/>
      <c r="IGR381" s="775"/>
      <c r="IGS381" s="774"/>
      <c r="IGT381" s="776"/>
      <c r="IGU381" s="430"/>
      <c r="IGV381" s="717"/>
      <c r="IGW381" s="774"/>
      <c r="IGX381" s="774"/>
      <c r="IGY381" s="422"/>
      <c r="IGZ381" s="775"/>
      <c r="IHA381" s="774"/>
      <c r="IHB381" s="776"/>
      <c r="IHC381" s="430"/>
      <c r="IHD381" s="717"/>
      <c r="IHE381" s="774"/>
      <c r="IHF381" s="774"/>
      <c r="IHG381" s="422"/>
      <c r="IHH381" s="775"/>
      <c r="IHI381" s="774"/>
      <c r="IHJ381" s="776"/>
      <c r="IHK381" s="430"/>
      <c r="IHL381" s="717"/>
      <c r="IHM381" s="774"/>
      <c r="IHN381" s="774"/>
      <c r="IHO381" s="422"/>
      <c r="IHP381" s="775"/>
      <c r="IHQ381" s="774"/>
      <c r="IHR381" s="776"/>
      <c r="IHS381" s="430"/>
      <c r="IHT381" s="717"/>
      <c r="IHU381" s="774"/>
      <c r="IHV381" s="774"/>
      <c r="IHW381" s="422"/>
      <c r="IHX381" s="775"/>
      <c r="IHY381" s="774"/>
      <c r="IHZ381" s="776"/>
      <c r="IIA381" s="430"/>
      <c r="IIB381" s="717"/>
      <c r="IIC381" s="774"/>
      <c r="IID381" s="774"/>
      <c r="IIE381" s="422"/>
      <c r="IIF381" s="775"/>
      <c r="IIG381" s="774"/>
      <c r="IIH381" s="776"/>
      <c r="III381" s="430"/>
      <c r="IIJ381" s="717"/>
      <c r="IIK381" s="774"/>
      <c r="IIL381" s="774"/>
      <c r="IIM381" s="422"/>
      <c r="IIN381" s="775"/>
      <c r="IIO381" s="774"/>
      <c r="IIP381" s="776"/>
      <c r="IIQ381" s="430"/>
      <c r="IIR381" s="717"/>
      <c r="IIS381" s="774"/>
      <c r="IIT381" s="774"/>
      <c r="IIU381" s="422"/>
      <c r="IIV381" s="775"/>
      <c r="IIW381" s="774"/>
      <c r="IIX381" s="776"/>
      <c r="IIY381" s="430"/>
      <c r="IIZ381" s="717"/>
      <c r="IJA381" s="774"/>
      <c r="IJB381" s="774"/>
      <c r="IJC381" s="422"/>
      <c r="IJD381" s="775"/>
      <c r="IJE381" s="774"/>
      <c r="IJF381" s="776"/>
      <c r="IJG381" s="430"/>
      <c r="IJH381" s="717"/>
      <c r="IJI381" s="774"/>
      <c r="IJJ381" s="774"/>
      <c r="IJK381" s="422"/>
      <c r="IJL381" s="775"/>
      <c r="IJM381" s="774"/>
      <c r="IJN381" s="776"/>
      <c r="IJO381" s="430"/>
      <c r="IJP381" s="717"/>
      <c r="IJQ381" s="774"/>
      <c r="IJR381" s="774"/>
      <c r="IJS381" s="422"/>
      <c r="IJT381" s="775"/>
      <c r="IJU381" s="774"/>
      <c r="IJV381" s="776"/>
      <c r="IJW381" s="430"/>
      <c r="IJX381" s="717"/>
      <c r="IJY381" s="774"/>
      <c r="IJZ381" s="774"/>
      <c r="IKA381" s="422"/>
      <c r="IKB381" s="775"/>
      <c r="IKC381" s="774"/>
      <c r="IKD381" s="776"/>
      <c r="IKE381" s="430"/>
      <c r="IKF381" s="717"/>
      <c r="IKG381" s="774"/>
      <c r="IKH381" s="774"/>
      <c r="IKI381" s="422"/>
      <c r="IKJ381" s="775"/>
      <c r="IKK381" s="774"/>
      <c r="IKL381" s="776"/>
      <c r="IKM381" s="430"/>
      <c r="IKN381" s="717"/>
      <c r="IKO381" s="774"/>
      <c r="IKP381" s="774"/>
      <c r="IKQ381" s="422"/>
      <c r="IKR381" s="775"/>
      <c r="IKS381" s="774"/>
      <c r="IKT381" s="776"/>
      <c r="IKU381" s="430"/>
      <c r="IKV381" s="717"/>
      <c r="IKW381" s="774"/>
      <c r="IKX381" s="774"/>
      <c r="IKY381" s="422"/>
      <c r="IKZ381" s="775"/>
      <c r="ILA381" s="774"/>
      <c r="ILB381" s="776"/>
      <c r="ILC381" s="430"/>
      <c r="ILD381" s="717"/>
      <c r="ILE381" s="774"/>
      <c r="ILF381" s="774"/>
      <c r="ILG381" s="422"/>
      <c r="ILH381" s="775"/>
      <c r="ILI381" s="774"/>
      <c r="ILJ381" s="776"/>
      <c r="ILK381" s="430"/>
      <c r="ILL381" s="717"/>
      <c r="ILM381" s="774"/>
      <c r="ILN381" s="774"/>
      <c r="ILO381" s="422"/>
      <c r="ILP381" s="775"/>
      <c r="ILQ381" s="774"/>
      <c r="ILR381" s="776"/>
      <c r="ILS381" s="430"/>
      <c r="ILT381" s="717"/>
      <c r="ILU381" s="774"/>
      <c r="ILV381" s="774"/>
      <c r="ILW381" s="422"/>
      <c r="ILX381" s="775"/>
      <c r="ILY381" s="774"/>
      <c r="ILZ381" s="776"/>
      <c r="IMA381" s="430"/>
      <c r="IMB381" s="717"/>
      <c r="IMC381" s="774"/>
      <c r="IMD381" s="774"/>
      <c r="IME381" s="422"/>
      <c r="IMF381" s="775"/>
      <c r="IMG381" s="774"/>
      <c r="IMH381" s="776"/>
      <c r="IMI381" s="430"/>
      <c r="IMJ381" s="717"/>
      <c r="IMK381" s="774"/>
      <c r="IML381" s="774"/>
      <c r="IMM381" s="422"/>
      <c r="IMN381" s="775"/>
      <c r="IMO381" s="774"/>
      <c r="IMP381" s="776"/>
      <c r="IMQ381" s="430"/>
      <c r="IMR381" s="717"/>
      <c r="IMS381" s="774"/>
      <c r="IMT381" s="774"/>
      <c r="IMU381" s="422"/>
      <c r="IMV381" s="775"/>
      <c r="IMW381" s="774"/>
      <c r="IMX381" s="776"/>
      <c r="IMY381" s="430"/>
      <c r="IMZ381" s="717"/>
      <c r="INA381" s="774"/>
      <c r="INB381" s="774"/>
      <c r="INC381" s="422"/>
      <c r="IND381" s="775"/>
      <c r="INE381" s="774"/>
      <c r="INF381" s="776"/>
      <c r="ING381" s="430"/>
      <c r="INH381" s="717"/>
      <c r="INI381" s="774"/>
      <c r="INJ381" s="774"/>
      <c r="INK381" s="422"/>
      <c r="INL381" s="775"/>
      <c r="INM381" s="774"/>
      <c r="INN381" s="776"/>
      <c r="INO381" s="430"/>
      <c r="INP381" s="717"/>
      <c r="INQ381" s="774"/>
      <c r="INR381" s="774"/>
      <c r="INS381" s="422"/>
      <c r="INT381" s="775"/>
      <c r="INU381" s="774"/>
      <c r="INV381" s="776"/>
      <c r="INW381" s="430"/>
      <c r="INX381" s="717"/>
      <c r="INY381" s="774"/>
      <c r="INZ381" s="774"/>
      <c r="IOA381" s="422"/>
      <c r="IOB381" s="775"/>
      <c r="IOC381" s="774"/>
      <c r="IOD381" s="776"/>
      <c r="IOE381" s="430"/>
      <c r="IOF381" s="717"/>
      <c r="IOG381" s="774"/>
      <c r="IOH381" s="774"/>
      <c r="IOI381" s="422"/>
      <c r="IOJ381" s="775"/>
      <c r="IOK381" s="774"/>
      <c r="IOL381" s="776"/>
      <c r="IOM381" s="430"/>
      <c r="ION381" s="717"/>
      <c r="IOO381" s="774"/>
      <c r="IOP381" s="774"/>
      <c r="IOQ381" s="422"/>
      <c r="IOR381" s="775"/>
      <c r="IOS381" s="774"/>
      <c r="IOT381" s="776"/>
      <c r="IOU381" s="430"/>
      <c r="IOV381" s="717"/>
      <c r="IOW381" s="774"/>
      <c r="IOX381" s="774"/>
      <c r="IOY381" s="422"/>
      <c r="IOZ381" s="775"/>
      <c r="IPA381" s="774"/>
      <c r="IPB381" s="776"/>
      <c r="IPC381" s="430"/>
      <c r="IPD381" s="717"/>
      <c r="IPE381" s="774"/>
      <c r="IPF381" s="774"/>
      <c r="IPG381" s="422"/>
      <c r="IPH381" s="775"/>
      <c r="IPI381" s="774"/>
      <c r="IPJ381" s="776"/>
      <c r="IPK381" s="430"/>
      <c r="IPL381" s="717"/>
      <c r="IPM381" s="774"/>
      <c r="IPN381" s="774"/>
      <c r="IPO381" s="422"/>
      <c r="IPP381" s="775"/>
      <c r="IPQ381" s="774"/>
      <c r="IPR381" s="776"/>
      <c r="IPS381" s="430"/>
      <c r="IPT381" s="717"/>
      <c r="IPU381" s="774"/>
      <c r="IPV381" s="774"/>
      <c r="IPW381" s="422"/>
      <c r="IPX381" s="775"/>
      <c r="IPY381" s="774"/>
      <c r="IPZ381" s="776"/>
      <c r="IQA381" s="430"/>
      <c r="IQB381" s="717"/>
      <c r="IQC381" s="774"/>
      <c r="IQD381" s="774"/>
      <c r="IQE381" s="422"/>
      <c r="IQF381" s="775"/>
      <c r="IQG381" s="774"/>
      <c r="IQH381" s="776"/>
      <c r="IQI381" s="430"/>
      <c r="IQJ381" s="717"/>
      <c r="IQK381" s="774"/>
      <c r="IQL381" s="774"/>
      <c r="IQM381" s="422"/>
      <c r="IQN381" s="775"/>
      <c r="IQO381" s="774"/>
      <c r="IQP381" s="776"/>
      <c r="IQQ381" s="430"/>
      <c r="IQR381" s="717"/>
      <c r="IQS381" s="774"/>
      <c r="IQT381" s="774"/>
      <c r="IQU381" s="422"/>
      <c r="IQV381" s="775"/>
      <c r="IQW381" s="774"/>
      <c r="IQX381" s="776"/>
      <c r="IQY381" s="430"/>
      <c r="IQZ381" s="717"/>
      <c r="IRA381" s="774"/>
      <c r="IRB381" s="774"/>
      <c r="IRC381" s="422"/>
      <c r="IRD381" s="775"/>
      <c r="IRE381" s="774"/>
      <c r="IRF381" s="776"/>
      <c r="IRG381" s="430"/>
      <c r="IRH381" s="717"/>
      <c r="IRI381" s="774"/>
      <c r="IRJ381" s="774"/>
      <c r="IRK381" s="422"/>
      <c r="IRL381" s="775"/>
      <c r="IRM381" s="774"/>
      <c r="IRN381" s="776"/>
      <c r="IRO381" s="430"/>
      <c r="IRP381" s="717"/>
      <c r="IRQ381" s="774"/>
      <c r="IRR381" s="774"/>
      <c r="IRS381" s="422"/>
      <c r="IRT381" s="775"/>
      <c r="IRU381" s="774"/>
      <c r="IRV381" s="776"/>
      <c r="IRW381" s="430"/>
      <c r="IRX381" s="717"/>
      <c r="IRY381" s="774"/>
      <c r="IRZ381" s="774"/>
      <c r="ISA381" s="422"/>
      <c r="ISB381" s="775"/>
      <c r="ISC381" s="774"/>
      <c r="ISD381" s="776"/>
      <c r="ISE381" s="430"/>
      <c r="ISF381" s="717"/>
      <c r="ISG381" s="774"/>
      <c r="ISH381" s="774"/>
      <c r="ISI381" s="422"/>
      <c r="ISJ381" s="775"/>
      <c r="ISK381" s="774"/>
      <c r="ISL381" s="776"/>
      <c r="ISM381" s="430"/>
      <c r="ISN381" s="717"/>
      <c r="ISO381" s="774"/>
      <c r="ISP381" s="774"/>
      <c r="ISQ381" s="422"/>
      <c r="ISR381" s="775"/>
      <c r="ISS381" s="774"/>
      <c r="IST381" s="776"/>
      <c r="ISU381" s="430"/>
      <c r="ISV381" s="717"/>
      <c r="ISW381" s="774"/>
      <c r="ISX381" s="774"/>
      <c r="ISY381" s="422"/>
      <c r="ISZ381" s="775"/>
      <c r="ITA381" s="774"/>
      <c r="ITB381" s="776"/>
      <c r="ITC381" s="430"/>
      <c r="ITD381" s="717"/>
      <c r="ITE381" s="774"/>
      <c r="ITF381" s="774"/>
      <c r="ITG381" s="422"/>
      <c r="ITH381" s="775"/>
      <c r="ITI381" s="774"/>
      <c r="ITJ381" s="776"/>
      <c r="ITK381" s="430"/>
      <c r="ITL381" s="717"/>
      <c r="ITM381" s="774"/>
      <c r="ITN381" s="774"/>
      <c r="ITO381" s="422"/>
      <c r="ITP381" s="775"/>
      <c r="ITQ381" s="774"/>
      <c r="ITR381" s="776"/>
      <c r="ITS381" s="430"/>
      <c r="ITT381" s="717"/>
      <c r="ITU381" s="774"/>
      <c r="ITV381" s="774"/>
      <c r="ITW381" s="422"/>
      <c r="ITX381" s="775"/>
      <c r="ITY381" s="774"/>
      <c r="ITZ381" s="776"/>
      <c r="IUA381" s="430"/>
      <c r="IUB381" s="717"/>
      <c r="IUC381" s="774"/>
      <c r="IUD381" s="774"/>
      <c r="IUE381" s="422"/>
      <c r="IUF381" s="775"/>
      <c r="IUG381" s="774"/>
      <c r="IUH381" s="776"/>
      <c r="IUI381" s="430"/>
      <c r="IUJ381" s="717"/>
      <c r="IUK381" s="774"/>
      <c r="IUL381" s="774"/>
      <c r="IUM381" s="422"/>
      <c r="IUN381" s="775"/>
      <c r="IUO381" s="774"/>
      <c r="IUP381" s="776"/>
      <c r="IUQ381" s="430"/>
      <c r="IUR381" s="717"/>
      <c r="IUS381" s="774"/>
      <c r="IUT381" s="774"/>
      <c r="IUU381" s="422"/>
      <c r="IUV381" s="775"/>
      <c r="IUW381" s="774"/>
      <c r="IUX381" s="776"/>
      <c r="IUY381" s="430"/>
      <c r="IUZ381" s="717"/>
      <c r="IVA381" s="774"/>
      <c r="IVB381" s="774"/>
      <c r="IVC381" s="422"/>
      <c r="IVD381" s="775"/>
      <c r="IVE381" s="774"/>
      <c r="IVF381" s="776"/>
      <c r="IVG381" s="430"/>
      <c r="IVH381" s="717"/>
      <c r="IVI381" s="774"/>
      <c r="IVJ381" s="774"/>
      <c r="IVK381" s="422"/>
      <c r="IVL381" s="775"/>
      <c r="IVM381" s="774"/>
      <c r="IVN381" s="776"/>
      <c r="IVO381" s="430"/>
      <c r="IVP381" s="717"/>
      <c r="IVQ381" s="774"/>
      <c r="IVR381" s="774"/>
      <c r="IVS381" s="422"/>
      <c r="IVT381" s="775"/>
      <c r="IVU381" s="774"/>
      <c r="IVV381" s="776"/>
      <c r="IVW381" s="430"/>
      <c r="IVX381" s="717"/>
      <c r="IVY381" s="774"/>
      <c r="IVZ381" s="774"/>
      <c r="IWA381" s="422"/>
      <c r="IWB381" s="775"/>
      <c r="IWC381" s="774"/>
      <c r="IWD381" s="776"/>
      <c r="IWE381" s="430"/>
      <c r="IWF381" s="717"/>
      <c r="IWG381" s="774"/>
      <c r="IWH381" s="774"/>
      <c r="IWI381" s="422"/>
      <c r="IWJ381" s="775"/>
      <c r="IWK381" s="774"/>
      <c r="IWL381" s="776"/>
      <c r="IWM381" s="430"/>
      <c r="IWN381" s="717"/>
      <c r="IWO381" s="774"/>
      <c r="IWP381" s="774"/>
      <c r="IWQ381" s="422"/>
      <c r="IWR381" s="775"/>
      <c r="IWS381" s="774"/>
      <c r="IWT381" s="776"/>
      <c r="IWU381" s="430"/>
      <c r="IWV381" s="717"/>
      <c r="IWW381" s="774"/>
      <c r="IWX381" s="774"/>
      <c r="IWY381" s="422"/>
      <c r="IWZ381" s="775"/>
      <c r="IXA381" s="774"/>
      <c r="IXB381" s="776"/>
      <c r="IXC381" s="430"/>
      <c r="IXD381" s="717"/>
      <c r="IXE381" s="774"/>
      <c r="IXF381" s="774"/>
      <c r="IXG381" s="422"/>
      <c r="IXH381" s="775"/>
      <c r="IXI381" s="774"/>
      <c r="IXJ381" s="776"/>
      <c r="IXK381" s="430"/>
      <c r="IXL381" s="717"/>
      <c r="IXM381" s="774"/>
      <c r="IXN381" s="774"/>
      <c r="IXO381" s="422"/>
      <c r="IXP381" s="775"/>
      <c r="IXQ381" s="774"/>
      <c r="IXR381" s="776"/>
      <c r="IXS381" s="430"/>
      <c r="IXT381" s="717"/>
      <c r="IXU381" s="774"/>
      <c r="IXV381" s="774"/>
      <c r="IXW381" s="422"/>
      <c r="IXX381" s="775"/>
      <c r="IXY381" s="774"/>
      <c r="IXZ381" s="776"/>
      <c r="IYA381" s="430"/>
      <c r="IYB381" s="717"/>
      <c r="IYC381" s="774"/>
      <c r="IYD381" s="774"/>
      <c r="IYE381" s="422"/>
      <c r="IYF381" s="775"/>
      <c r="IYG381" s="774"/>
      <c r="IYH381" s="776"/>
      <c r="IYI381" s="430"/>
      <c r="IYJ381" s="717"/>
      <c r="IYK381" s="774"/>
      <c r="IYL381" s="774"/>
      <c r="IYM381" s="422"/>
      <c r="IYN381" s="775"/>
      <c r="IYO381" s="774"/>
      <c r="IYP381" s="776"/>
      <c r="IYQ381" s="430"/>
      <c r="IYR381" s="717"/>
      <c r="IYS381" s="774"/>
      <c r="IYT381" s="774"/>
      <c r="IYU381" s="422"/>
      <c r="IYV381" s="775"/>
      <c r="IYW381" s="774"/>
      <c r="IYX381" s="776"/>
      <c r="IYY381" s="430"/>
      <c r="IYZ381" s="717"/>
      <c r="IZA381" s="774"/>
      <c r="IZB381" s="774"/>
      <c r="IZC381" s="422"/>
      <c r="IZD381" s="775"/>
      <c r="IZE381" s="774"/>
      <c r="IZF381" s="776"/>
      <c r="IZG381" s="430"/>
      <c r="IZH381" s="717"/>
      <c r="IZI381" s="774"/>
      <c r="IZJ381" s="774"/>
      <c r="IZK381" s="422"/>
      <c r="IZL381" s="775"/>
      <c r="IZM381" s="774"/>
      <c r="IZN381" s="776"/>
      <c r="IZO381" s="430"/>
      <c r="IZP381" s="717"/>
      <c r="IZQ381" s="774"/>
      <c r="IZR381" s="774"/>
      <c r="IZS381" s="422"/>
      <c r="IZT381" s="775"/>
      <c r="IZU381" s="774"/>
      <c r="IZV381" s="776"/>
      <c r="IZW381" s="430"/>
      <c r="IZX381" s="717"/>
      <c r="IZY381" s="774"/>
      <c r="IZZ381" s="774"/>
      <c r="JAA381" s="422"/>
      <c r="JAB381" s="775"/>
      <c r="JAC381" s="774"/>
      <c r="JAD381" s="776"/>
      <c r="JAE381" s="430"/>
      <c r="JAF381" s="717"/>
      <c r="JAG381" s="774"/>
      <c r="JAH381" s="774"/>
      <c r="JAI381" s="422"/>
      <c r="JAJ381" s="775"/>
      <c r="JAK381" s="774"/>
      <c r="JAL381" s="776"/>
      <c r="JAM381" s="430"/>
      <c r="JAN381" s="717"/>
      <c r="JAO381" s="774"/>
      <c r="JAP381" s="774"/>
      <c r="JAQ381" s="422"/>
      <c r="JAR381" s="775"/>
      <c r="JAS381" s="774"/>
      <c r="JAT381" s="776"/>
      <c r="JAU381" s="430"/>
      <c r="JAV381" s="717"/>
      <c r="JAW381" s="774"/>
      <c r="JAX381" s="774"/>
      <c r="JAY381" s="422"/>
      <c r="JAZ381" s="775"/>
      <c r="JBA381" s="774"/>
      <c r="JBB381" s="776"/>
      <c r="JBC381" s="430"/>
      <c r="JBD381" s="717"/>
      <c r="JBE381" s="774"/>
      <c r="JBF381" s="774"/>
      <c r="JBG381" s="422"/>
      <c r="JBH381" s="775"/>
      <c r="JBI381" s="774"/>
      <c r="JBJ381" s="776"/>
      <c r="JBK381" s="430"/>
      <c r="JBL381" s="717"/>
      <c r="JBM381" s="774"/>
      <c r="JBN381" s="774"/>
      <c r="JBO381" s="422"/>
      <c r="JBP381" s="775"/>
      <c r="JBQ381" s="774"/>
      <c r="JBR381" s="776"/>
      <c r="JBS381" s="430"/>
      <c r="JBT381" s="717"/>
      <c r="JBU381" s="774"/>
      <c r="JBV381" s="774"/>
      <c r="JBW381" s="422"/>
      <c r="JBX381" s="775"/>
      <c r="JBY381" s="774"/>
      <c r="JBZ381" s="776"/>
      <c r="JCA381" s="430"/>
      <c r="JCB381" s="717"/>
      <c r="JCC381" s="774"/>
      <c r="JCD381" s="774"/>
      <c r="JCE381" s="422"/>
      <c r="JCF381" s="775"/>
      <c r="JCG381" s="774"/>
      <c r="JCH381" s="776"/>
      <c r="JCI381" s="430"/>
      <c r="JCJ381" s="717"/>
      <c r="JCK381" s="774"/>
      <c r="JCL381" s="774"/>
      <c r="JCM381" s="422"/>
      <c r="JCN381" s="775"/>
      <c r="JCO381" s="774"/>
      <c r="JCP381" s="776"/>
      <c r="JCQ381" s="430"/>
      <c r="JCR381" s="717"/>
      <c r="JCS381" s="774"/>
      <c r="JCT381" s="774"/>
      <c r="JCU381" s="422"/>
      <c r="JCV381" s="775"/>
      <c r="JCW381" s="774"/>
      <c r="JCX381" s="776"/>
      <c r="JCY381" s="430"/>
      <c r="JCZ381" s="717"/>
      <c r="JDA381" s="774"/>
      <c r="JDB381" s="774"/>
      <c r="JDC381" s="422"/>
      <c r="JDD381" s="775"/>
      <c r="JDE381" s="774"/>
      <c r="JDF381" s="776"/>
      <c r="JDG381" s="430"/>
      <c r="JDH381" s="717"/>
      <c r="JDI381" s="774"/>
      <c r="JDJ381" s="774"/>
      <c r="JDK381" s="422"/>
      <c r="JDL381" s="775"/>
      <c r="JDM381" s="774"/>
      <c r="JDN381" s="776"/>
      <c r="JDO381" s="430"/>
      <c r="JDP381" s="717"/>
      <c r="JDQ381" s="774"/>
      <c r="JDR381" s="774"/>
      <c r="JDS381" s="422"/>
      <c r="JDT381" s="775"/>
      <c r="JDU381" s="774"/>
      <c r="JDV381" s="776"/>
      <c r="JDW381" s="430"/>
      <c r="JDX381" s="717"/>
      <c r="JDY381" s="774"/>
      <c r="JDZ381" s="774"/>
      <c r="JEA381" s="422"/>
      <c r="JEB381" s="775"/>
      <c r="JEC381" s="774"/>
      <c r="JED381" s="776"/>
      <c r="JEE381" s="430"/>
      <c r="JEF381" s="717"/>
      <c r="JEG381" s="774"/>
      <c r="JEH381" s="774"/>
      <c r="JEI381" s="422"/>
      <c r="JEJ381" s="775"/>
      <c r="JEK381" s="774"/>
      <c r="JEL381" s="776"/>
      <c r="JEM381" s="430"/>
      <c r="JEN381" s="717"/>
      <c r="JEO381" s="774"/>
      <c r="JEP381" s="774"/>
      <c r="JEQ381" s="422"/>
      <c r="JER381" s="775"/>
      <c r="JES381" s="774"/>
      <c r="JET381" s="776"/>
      <c r="JEU381" s="430"/>
      <c r="JEV381" s="717"/>
      <c r="JEW381" s="774"/>
      <c r="JEX381" s="774"/>
      <c r="JEY381" s="422"/>
      <c r="JEZ381" s="775"/>
      <c r="JFA381" s="774"/>
      <c r="JFB381" s="776"/>
      <c r="JFC381" s="430"/>
      <c r="JFD381" s="717"/>
      <c r="JFE381" s="774"/>
      <c r="JFF381" s="774"/>
      <c r="JFG381" s="422"/>
      <c r="JFH381" s="775"/>
      <c r="JFI381" s="774"/>
      <c r="JFJ381" s="776"/>
      <c r="JFK381" s="430"/>
      <c r="JFL381" s="717"/>
      <c r="JFM381" s="774"/>
      <c r="JFN381" s="774"/>
      <c r="JFO381" s="422"/>
      <c r="JFP381" s="775"/>
      <c r="JFQ381" s="774"/>
      <c r="JFR381" s="776"/>
      <c r="JFS381" s="430"/>
      <c r="JFT381" s="717"/>
      <c r="JFU381" s="774"/>
      <c r="JFV381" s="774"/>
      <c r="JFW381" s="422"/>
      <c r="JFX381" s="775"/>
      <c r="JFY381" s="774"/>
      <c r="JFZ381" s="776"/>
      <c r="JGA381" s="430"/>
      <c r="JGB381" s="717"/>
      <c r="JGC381" s="774"/>
      <c r="JGD381" s="774"/>
      <c r="JGE381" s="422"/>
      <c r="JGF381" s="775"/>
      <c r="JGG381" s="774"/>
      <c r="JGH381" s="776"/>
      <c r="JGI381" s="430"/>
      <c r="JGJ381" s="717"/>
      <c r="JGK381" s="774"/>
      <c r="JGL381" s="774"/>
      <c r="JGM381" s="422"/>
      <c r="JGN381" s="775"/>
      <c r="JGO381" s="774"/>
      <c r="JGP381" s="776"/>
      <c r="JGQ381" s="430"/>
      <c r="JGR381" s="717"/>
      <c r="JGS381" s="774"/>
      <c r="JGT381" s="774"/>
      <c r="JGU381" s="422"/>
      <c r="JGV381" s="775"/>
      <c r="JGW381" s="774"/>
      <c r="JGX381" s="776"/>
      <c r="JGY381" s="430"/>
      <c r="JGZ381" s="717"/>
      <c r="JHA381" s="774"/>
      <c r="JHB381" s="774"/>
      <c r="JHC381" s="422"/>
      <c r="JHD381" s="775"/>
      <c r="JHE381" s="774"/>
      <c r="JHF381" s="776"/>
      <c r="JHG381" s="430"/>
      <c r="JHH381" s="717"/>
      <c r="JHI381" s="774"/>
      <c r="JHJ381" s="774"/>
      <c r="JHK381" s="422"/>
      <c r="JHL381" s="775"/>
      <c r="JHM381" s="774"/>
      <c r="JHN381" s="776"/>
      <c r="JHO381" s="430"/>
      <c r="JHP381" s="717"/>
      <c r="JHQ381" s="774"/>
      <c r="JHR381" s="774"/>
      <c r="JHS381" s="422"/>
      <c r="JHT381" s="775"/>
      <c r="JHU381" s="774"/>
      <c r="JHV381" s="776"/>
      <c r="JHW381" s="430"/>
      <c r="JHX381" s="717"/>
      <c r="JHY381" s="774"/>
      <c r="JHZ381" s="774"/>
      <c r="JIA381" s="422"/>
      <c r="JIB381" s="775"/>
      <c r="JIC381" s="774"/>
      <c r="JID381" s="776"/>
      <c r="JIE381" s="430"/>
      <c r="JIF381" s="717"/>
      <c r="JIG381" s="774"/>
      <c r="JIH381" s="774"/>
      <c r="JII381" s="422"/>
      <c r="JIJ381" s="775"/>
      <c r="JIK381" s="774"/>
      <c r="JIL381" s="776"/>
      <c r="JIM381" s="430"/>
      <c r="JIN381" s="717"/>
      <c r="JIO381" s="774"/>
      <c r="JIP381" s="774"/>
      <c r="JIQ381" s="422"/>
      <c r="JIR381" s="775"/>
      <c r="JIS381" s="774"/>
      <c r="JIT381" s="776"/>
      <c r="JIU381" s="430"/>
      <c r="JIV381" s="717"/>
      <c r="JIW381" s="774"/>
      <c r="JIX381" s="774"/>
      <c r="JIY381" s="422"/>
      <c r="JIZ381" s="775"/>
      <c r="JJA381" s="774"/>
      <c r="JJB381" s="776"/>
      <c r="JJC381" s="430"/>
      <c r="JJD381" s="717"/>
      <c r="JJE381" s="774"/>
      <c r="JJF381" s="774"/>
      <c r="JJG381" s="422"/>
      <c r="JJH381" s="775"/>
      <c r="JJI381" s="774"/>
      <c r="JJJ381" s="776"/>
      <c r="JJK381" s="430"/>
      <c r="JJL381" s="717"/>
      <c r="JJM381" s="774"/>
      <c r="JJN381" s="774"/>
      <c r="JJO381" s="422"/>
      <c r="JJP381" s="775"/>
      <c r="JJQ381" s="774"/>
      <c r="JJR381" s="776"/>
      <c r="JJS381" s="430"/>
      <c r="JJT381" s="717"/>
      <c r="JJU381" s="774"/>
      <c r="JJV381" s="774"/>
      <c r="JJW381" s="422"/>
      <c r="JJX381" s="775"/>
      <c r="JJY381" s="774"/>
      <c r="JJZ381" s="776"/>
      <c r="JKA381" s="430"/>
      <c r="JKB381" s="717"/>
      <c r="JKC381" s="774"/>
      <c r="JKD381" s="774"/>
      <c r="JKE381" s="422"/>
      <c r="JKF381" s="775"/>
      <c r="JKG381" s="774"/>
      <c r="JKH381" s="776"/>
      <c r="JKI381" s="430"/>
      <c r="JKJ381" s="717"/>
      <c r="JKK381" s="774"/>
      <c r="JKL381" s="774"/>
      <c r="JKM381" s="422"/>
      <c r="JKN381" s="775"/>
      <c r="JKO381" s="774"/>
      <c r="JKP381" s="776"/>
      <c r="JKQ381" s="430"/>
      <c r="JKR381" s="717"/>
      <c r="JKS381" s="774"/>
      <c r="JKT381" s="774"/>
      <c r="JKU381" s="422"/>
      <c r="JKV381" s="775"/>
      <c r="JKW381" s="774"/>
      <c r="JKX381" s="776"/>
      <c r="JKY381" s="430"/>
      <c r="JKZ381" s="717"/>
      <c r="JLA381" s="774"/>
      <c r="JLB381" s="774"/>
      <c r="JLC381" s="422"/>
      <c r="JLD381" s="775"/>
      <c r="JLE381" s="774"/>
      <c r="JLF381" s="776"/>
      <c r="JLG381" s="430"/>
      <c r="JLH381" s="717"/>
      <c r="JLI381" s="774"/>
      <c r="JLJ381" s="774"/>
      <c r="JLK381" s="422"/>
      <c r="JLL381" s="775"/>
      <c r="JLM381" s="774"/>
      <c r="JLN381" s="776"/>
      <c r="JLO381" s="430"/>
      <c r="JLP381" s="717"/>
      <c r="JLQ381" s="774"/>
      <c r="JLR381" s="774"/>
      <c r="JLS381" s="422"/>
      <c r="JLT381" s="775"/>
      <c r="JLU381" s="774"/>
      <c r="JLV381" s="776"/>
      <c r="JLW381" s="430"/>
      <c r="JLX381" s="717"/>
      <c r="JLY381" s="774"/>
      <c r="JLZ381" s="774"/>
      <c r="JMA381" s="422"/>
      <c r="JMB381" s="775"/>
      <c r="JMC381" s="774"/>
      <c r="JMD381" s="776"/>
      <c r="JME381" s="430"/>
      <c r="JMF381" s="717"/>
      <c r="JMG381" s="774"/>
      <c r="JMH381" s="774"/>
      <c r="JMI381" s="422"/>
      <c r="JMJ381" s="775"/>
      <c r="JMK381" s="774"/>
      <c r="JML381" s="776"/>
      <c r="JMM381" s="430"/>
      <c r="JMN381" s="717"/>
      <c r="JMO381" s="774"/>
      <c r="JMP381" s="774"/>
      <c r="JMQ381" s="422"/>
      <c r="JMR381" s="775"/>
      <c r="JMS381" s="774"/>
      <c r="JMT381" s="776"/>
      <c r="JMU381" s="430"/>
      <c r="JMV381" s="717"/>
      <c r="JMW381" s="774"/>
      <c r="JMX381" s="774"/>
      <c r="JMY381" s="422"/>
      <c r="JMZ381" s="775"/>
      <c r="JNA381" s="774"/>
      <c r="JNB381" s="776"/>
      <c r="JNC381" s="430"/>
      <c r="JND381" s="717"/>
      <c r="JNE381" s="774"/>
      <c r="JNF381" s="774"/>
      <c r="JNG381" s="422"/>
      <c r="JNH381" s="775"/>
      <c r="JNI381" s="774"/>
      <c r="JNJ381" s="776"/>
      <c r="JNK381" s="430"/>
      <c r="JNL381" s="717"/>
      <c r="JNM381" s="774"/>
      <c r="JNN381" s="774"/>
      <c r="JNO381" s="422"/>
      <c r="JNP381" s="775"/>
      <c r="JNQ381" s="774"/>
      <c r="JNR381" s="776"/>
      <c r="JNS381" s="430"/>
      <c r="JNT381" s="717"/>
      <c r="JNU381" s="774"/>
      <c r="JNV381" s="774"/>
      <c r="JNW381" s="422"/>
      <c r="JNX381" s="775"/>
      <c r="JNY381" s="774"/>
      <c r="JNZ381" s="776"/>
      <c r="JOA381" s="430"/>
      <c r="JOB381" s="717"/>
      <c r="JOC381" s="774"/>
      <c r="JOD381" s="774"/>
      <c r="JOE381" s="422"/>
      <c r="JOF381" s="775"/>
      <c r="JOG381" s="774"/>
      <c r="JOH381" s="776"/>
      <c r="JOI381" s="430"/>
      <c r="JOJ381" s="717"/>
      <c r="JOK381" s="774"/>
      <c r="JOL381" s="774"/>
      <c r="JOM381" s="422"/>
      <c r="JON381" s="775"/>
      <c r="JOO381" s="774"/>
      <c r="JOP381" s="776"/>
      <c r="JOQ381" s="430"/>
      <c r="JOR381" s="717"/>
      <c r="JOS381" s="774"/>
      <c r="JOT381" s="774"/>
      <c r="JOU381" s="422"/>
      <c r="JOV381" s="775"/>
      <c r="JOW381" s="774"/>
      <c r="JOX381" s="776"/>
      <c r="JOY381" s="430"/>
      <c r="JOZ381" s="717"/>
      <c r="JPA381" s="774"/>
      <c r="JPB381" s="774"/>
      <c r="JPC381" s="422"/>
      <c r="JPD381" s="775"/>
      <c r="JPE381" s="774"/>
      <c r="JPF381" s="776"/>
      <c r="JPG381" s="430"/>
      <c r="JPH381" s="717"/>
      <c r="JPI381" s="774"/>
      <c r="JPJ381" s="774"/>
      <c r="JPK381" s="422"/>
      <c r="JPL381" s="775"/>
      <c r="JPM381" s="774"/>
      <c r="JPN381" s="776"/>
      <c r="JPO381" s="430"/>
      <c r="JPP381" s="717"/>
      <c r="JPQ381" s="774"/>
      <c r="JPR381" s="774"/>
      <c r="JPS381" s="422"/>
      <c r="JPT381" s="775"/>
      <c r="JPU381" s="774"/>
      <c r="JPV381" s="776"/>
      <c r="JPW381" s="430"/>
      <c r="JPX381" s="717"/>
      <c r="JPY381" s="774"/>
      <c r="JPZ381" s="774"/>
      <c r="JQA381" s="422"/>
      <c r="JQB381" s="775"/>
      <c r="JQC381" s="774"/>
      <c r="JQD381" s="776"/>
      <c r="JQE381" s="430"/>
      <c r="JQF381" s="717"/>
      <c r="JQG381" s="774"/>
      <c r="JQH381" s="774"/>
      <c r="JQI381" s="422"/>
      <c r="JQJ381" s="775"/>
      <c r="JQK381" s="774"/>
      <c r="JQL381" s="776"/>
      <c r="JQM381" s="430"/>
      <c r="JQN381" s="717"/>
      <c r="JQO381" s="774"/>
      <c r="JQP381" s="774"/>
      <c r="JQQ381" s="422"/>
      <c r="JQR381" s="775"/>
      <c r="JQS381" s="774"/>
      <c r="JQT381" s="776"/>
      <c r="JQU381" s="430"/>
      <c r="JQV381" s="717"/>
      <c r="JQW381" s="774"/>
      <c r="JQX381" s="774"/>
      <c r="JQY381" s="422"/>
      <c r="JQZ381" s="775"/>
      <c r="JRA381" s="774"/>
      <c r="JRB381" s="776"/>
      <c r="JRC381" s="430"/>
      <c r="JRD381" s="717"/>
      <c r="JRE381" s="774"/>
      <c r="JRF381" s="774"/>
      <c r="JRG381" s="422"/>
      <c r="JRH381" s="775"/>
      <c r="JRI381" s="774"/>
      <c r="JRJ381" s="776"/>
      <c r="JRK381" s="430"/>
      <c r="JRL381" s="717"/>
      <c r="JRM381" s="774"/>
      <c r="JRN381" s="774"/>
      <c r="JRO381" s="422"/>
      <c r="JRP381" s="775"/>
      <c r="JRQ381" s="774"/>
      <c r="JRR381" s="776"/>
      <c r="JRS381" s="430"/>
      <c r="JRT381" s="717"/>
      <c r="JRU381" s="774"/>
      <c r="JRV381" s="774"/>
      <c r="JRW381" s="422"/>
      <c r="JRX381" s="775"/>
      <c r="JRY381" s="774"/>
      <c r="JRZ381" s="776"/>
      <c r="JSA381" s="430"/>
      <c r="JSB381" s="717"/>
      <c r="JSC381" s="774"/>
      <c r="JSD381" s="774"/>
      <c r="JSE381" s="422"/>
      <c r="JSF381" s="775"/>
      <c r="JSG381" s="774"/>
      <c r="JSH381" s="776"/>
      <c r="JSI381" s="430"/>
      <c r="JSJ381" s="717"/>
      <c r="JSK381" s="774"/>
      <c r="JSL381" s="774"/>
      <c r="JSM381" s="422"/>
      <c r="JSN381" s="775"/>
      <c r="JSO381" s="774"/>
      <c r="JSP381" s="776"/>
      <c r="JSQ381" s="430"/>
      <c r="JSR381" s="717"/>
      <c r="JSS381" s="774"/>
      <c r="JST381" s="774"/>
      <c r="JSU381" s="422"/>
      <c r="JSV381" s="775"/>
      <c r="JSW381" s="774"/>
      <c r="JSX381" s="776"/>
      <c r="JSY381" s="430"/>
      <c r="JSZ381" s="717"/>
      <c r="JTA381" s="774"/>
      <c r="JTB381" s="774"/>
      <c r="JTC381" s="422"/>
      <c r="JTD381" s="775"/>
      <c r="JTE381" s="774"/>
      <c r="JTF381" s="776"/>
      <c r="JTG381" s="430"/>
      <c r="JTH381" s="717"/>
      <c r="JTI381" s="774"/>
      <c r="JTJ381" s="774"/>
      <c r="JTK381" s="422"/>
      <c r="JTL381" s="775"/>
      <c r="JTM381" s="774"/>
      <c r="JTN381" s="776"/>
      <c r="JTO381" s="430"/>
      <c r="JTP381" s="717"/>
      <c r="JTQ381" s="774"/>
      <c r="JTR381" s="774"/>
      <c r="JTS381" s="422"/>
      <c r="JTT381" s="775"/>
      <c r="JTU381" s="774"/>
      <c r="JTV381" s="776"/>
      <c r="JTW381" s="430"/>
      <c r="JTX381" s="717"/>
      <c r="JTY381" s="774"/>
      <c r="JTZ381" s="774"/>
      <c r="JUA381" s="422"/>
      <c r="JUB381" s="775"/>
      <c r="JUC381" s="774"/>
      <c r="JUD381" s="776"/>
      <c r="JUE381" s="430"/>
      <c r="JUF381" s="717"/>
      <c r="JUG381" s="774"/>
      <c r="JUH381" s="774"/>
      <c r="JUI381" s="422"/>
      <c r="JUJ381" s="775"/>
      <c r="JUK381" s="774"/>
      <c r="JUL381" s="776"/>
      <c r="JUM381" s="430"/>
      <c r="JUN381" s="717"/>
      <c r="JUO381" s="774"/>
      <c r="JUP381" s="774"/>
      <c r="JUQ381" s="422"/>
      <c r="JUR381" s="775"/>
      <c r="JUS381" s="774"/>
      <c r="JUT381" s="776"/>
      <c r="JUU381" s="430"/>
      <c r="JUV381" s="717"/>
      <c r="JUW381" s="774"/>
      <c r="JUX381" s="774"/>
      <c r="JUY381" s="422"/>
      <c r="JUZ381" s="775"/>
      <c r="JVA381" s="774"/>
      <c r="JVB381" s="776"/>
      <c r="JVC381" s="430"/>
      <c r="JVD381" s="717"/>
      <c r="JVE381" s="774"/>
      <c r="JVF381" s="774"/>
      <c r="JVG381" s="422"/>
      <c r="JVH381" s="775"/>
      <c r="JVI381" s="774"/>
      <c r="JVJ381" s="776"/>
      <c r="JVK381" s="430"/>
      <c r="JVL381" s="717"/>
      <c r="JVM381" s="774"/>
      <c r="JVN381" s="774"/>
      <c r="JVO381" s="422"/>
      <c r="JVP381" s="775"/>
      <c r="JVQ381" s="774"/>
      <c r="JVR381" s="776"/>
      <c r="JVS381" s="430"/>
      <c r="JVT381" s="717"/>
      <c r="JVU381" s="774"/>
      <c r="JVV381" s="774"/>
      <c r="JVW381" s="422"/>
      <c r="JVX381" s="775"/>
      <c r="JVY381" s="774"/>
      <c r="JVZ381" s="776"/>
      <c r="JWA381" s="430"/>
      <c r="JWB381" s="717"/>
      <c r="JWC381" s="774"/>
      <c r="JWD381" s="774"/>
      <c r="JWE381" s="422"/>
      <c r="JWF381" s="775"/>
      <c r="JWG381" s="774"/>
      <c r="JWH381" s="776"/>
      <c r="JWI381" s="430"/>
      <c r="JWJ381" s="717"/>
      <c r="JWK381" s="774"/>
      <c r="JWL381" s="774"/>
      <c r="JWM381" s="422"/>
      <c r="JWN381" s="775"/>
      <c r="JWO381" s="774"/>
      <c r="JWP381" s="776"/>
      <c r="JWQ381" s="430"/>
      <c r="JWR381" s="717"/>
      <c r="JWS381" s="774"/>
      <c r="JWT381" s="774"/>
      <c r="JWU381" s="422"/>
      <c r="JWV381" s="775"/>
      <c r="JWW381" s="774"/>
      <c r="JWX381" s="776"/>
      <c r="JWY381" s="430"/>
      <c r="JWZ381" s="717"/>
      <c r="JXA381" s="774"/>
      <c r="JXB381" s="774"/>
      <c r="JXC381" s="422"/>
      <c r="JXD381" s="775"/>
      <c r="JXE381" s="774"/>
      <c r="JXF381" s="776"/>
      <c r="JXG381" s="430"/>
      <c r="JXH381" s="717"/>
      <c r="JXI381" s="774"/>
      <c r="JXJ381" s="774"/>
      <c r="JXK381" s="422"/>
      <c r="JXL381" s="775"/>
      <c r="JXM381" s="774"/>
      <c r="JXN381" s="776"/>
      <c r="JXO381" s="430"/>
      <c r="JXP381" s="717"/>
      <c r="JXQ381" s="774"/>
      <c r="JXR381" s="774"/>
      <c r="JXS381" s="422"/>
      <c r="JXT381" s="775"/>
      <c r="JXU381" s="774"/>
      <c r="JXV381" s="776"/>
      <c r="JXW381" s="430"/>
      <c r="JXX381" s="717"/>
      <c r="JXY381" s="774"/>
      <c r="JXZ381" s="774"/>
      <c r="JYA381" s="422"/>
      <c r="JYB381" s="775"/>
      <c r="JYC381" s="774"/>
      <c r="JYD381" s="776"/>
      <c r="JYE381" s="430"/>
      <c r="JYF381" s="717"/>
      <c r="JYG381" s="774"/>
      <c r="JYH381" s="774"/>
      <c r="JYI381" s="422"/>
      <c r="JYJ381" s="775"/>
      <c r="JYK381" s="774"/>
      <c r="JYL381" s="776"/>
      <c r="JYM381" s="430"/>
      <c r="JYN381" s="717"/>
      <c r="JYO381" s="774"/>
      <c r="JYP381" s="774"/>
      <c r="JYQ381" s="422"/>
      <c r="JYR381" s="775"/>
      <c r="JYS381" s="774"/>
      <c r="JYT381" s="776"/>
      <c r="JYU381" s="430"/>
      <c r="JYV381" s="717"/>
      <c r="JYW381" s="774"/>
      <c r="JYX381" s="774"/>
      <c r="JYY381" s="422"/>
      <c r="JYZ381" s="775"/>
      <c r="JZA381" s="774"/>
      <c r="JZB381" s="776"/>
      <c r="JZC381" s="430"/>
      <c r="JZD381" s="717"/>
      <c r="JZE381" s="774"/>
      <c r="JZF381" s="774"/>
      <c r="JZG381" s="422"/>
      <c r="JZH381" s="775"/>
      <c r="JZI381" s="774"/>
      <c r="JZJ381" s="776"/>
      <c r="JZK381" s="430"/>
      <c r="JZL381" s="717"/>
      <c r="JZM381" s="774"/>
      <c r="JZN381" s="774"/>
      <c r="JZO381" s="422"/>
      <c r="JZP381" s="775"/>
      <c r="JZQ381" s="774"/>
      <c r="JZR381" s="776"/>
      <c r="JZS381" s="430"/>
      <c r="JZT381" s="717"/>
      <c r="JZU381" s="774"/>
      <c r="JZV381" s="774"/>
      <c r="JZW381" s="422"/>
      <c r="JZX381" s="775"/>
      <c r="JZY381" s="774"/>
      <c r="JZZ381" s="776"/>
      <c r="KAA381" s="430"/>
      <c r="KAB381" s="717"/>
      <c r="KAC381" s="774"/>
      <c r="KAD381" s="774"/>
      <c r="KAE381" s="422"/>
      <c r="KAF381" s="775"/>
      <c r="KAG381" s="774"/>
      <c r="KAH381" s="776"/>
      <c r="KAI381" s="430"/>
      <c r="KAJ381" s="717"/>
      <c r="KAK381" s="774"/>
      <c r="KAL381" s="774"/>
      <c r="KAM381" s="422"/>
      <c r="KAN381" s="775"/>
      <c r="KAO381" s="774"/>
      <c r="KAP381" s="776"/>
      <c r="KAQ381" s="430"/>
      <c r="KAR381" s="717"/>
      <c r="KAS381" s="774"/>
      <c r="KAT381" s="774"/>
      <c r="KAU381" s="422"/>
      <c r="KAV381" s="775"/>
      <c r="KAW381" s="774"/>
      <c r="KAX381" s="776"/>
      <c r="KAY381" s="430"/>
      <c r="KAZ381" s="717"/>
      <c r="KBA381" s="774"/>
      <c r="KBB381" s="774"/>
      <c r="KBC381" s="422"/>
      <c r="KBD381" s="775"/>
      <c r="KBE381" s="774"/>
      <c r="KBF381" s="776"/>
      <c r="KBG381" s="430"/>
      <c r="KBH381" s="717"/>
      <c r="KBI381" s="774"/>
      <c r="KBJ381" s="774"/>
      <c r="KBK381" s="422"/>
      <c r="KBL381" s="775"/>
      <c r="KBM381" s="774"/>
      <c r="KBN381" s="776"/>
      <c r="KBO381" s="430"/>
      <c r="KBP381" s="717"/>
      <c r="KBQ381" s="774"/>
      <c r="KBR381" s="774"/>
      <c r="KBS381" s="422"/>
      <c r="KBT381" s="775"/>
      <c r="KBU381" s="774"/>
      <c r="KBV381" s="776"/>
      <c r="KBW381" s="430"/>
      <c r="KBX381" s="717"/>
      <c r="KBY381" s="774"/>
      <c r="KBZ381" s="774"/>
      <c r="KCA381" s="422"/>
      <c r="KCB381" s="775"/>
      <c r="KCC381" s="774"/>
      <c r="KCD381" s="776"/>
      <c r="KCE381" s="430"/>
      <c r="KCF381" s="717"/>
      <c r="KCG381" s="774"/>
      <c r="KCH381" s="774"/>
      <c r="KCI381" s="422"/>
      <c r="KCJ381" s="775"/>
      <c r="KCK381" s="774"/>
      <c r="KCL381" s="776"/>
      <c r="KCM381" s="430"/>
      <c r="KCN381" s="717"/>
      <c r="KCO381" s="774"/>
      <c r="KCP381" s="774"/>
      <c r="KCQ381" s="422"/>
      <c r="KCR381" s="775"/>
      <c r="KCS381" s="774"/>
      <c r="KCT381" s="776"/>
      <c r="KCU381" s="430"/>
      <c r="KCV381" s="717"/>
      <c r="KCW381" s="774"/>
      <c r="KCX381" s="774"/>
      <c r="KCY381" s="422"/>
      <c r="KCZ381" s="775"/>
      <c r="KDA381" s="774"/>
      <c r="KDB381" s="776"/>
      <c r="KDC381" s="430"/>
      <c r="KDD381" s="717"/>
      <c r="KDE381" s="774"/>
      <c r="KDF381" s="774"/>
      <c r="KDG381" s="422"/>
      <c r="KDH381" s="775"/>
      <c r="KDI381" s="774"/>
      <c r="KDJ381" s="776"/>
      <c r="KDK381" s="430"/>
      <c r="KDL381" s="717"/>
      <c r="KDM381" s="774"/>
      <c r="KDN381" s="774"/>
      <c r="KDO381" s="422"/>
      <c r="KDP381" s="775"/>
      <c r="KDQ381" s="774"/>
      <c r="KDR381" s="776"/>
      <c r="KDS381" s="430"/>
      <c r="KDT381" s="717"/>
      <c r="KDU381" s="774"/>
      <c r="KDV381" s="774"/>
      <c r="KDW381" s="422"/>
      <c r="KDX381" s="775"/>
      <c r="KDY381" s="774"/>
      <c r="KDZ381" s="776"/>
      <c r="KEA381" s="430"/>
      <c r="KEB381" s="717"/>
      <c r="KEC381" s="774"/>
      <c r="KED381" s="774"/>
      <c r="KEE381" s="422"/>
      <c r="KEF381" s="775"/>
      <c r="KEG381" s="774"/>
      <c r="KEH381" s="776"/>
      <c r="KEI381" s="430"/>
      <c r="KEJ381" s="717"/>
      <c r="KEK381" s="774"/>
      <c r="KEL381" s="774"/>
      <c r="KEM381" s="422"/>
      <c r="KEN381" s="775"/>
      <c r="KEO381" s="774"/>
      <c r="KEP381" s="776"/>
      <c r="KEQ381" s="430"/>
      <c r="KER381" s="717"/>
      <c r="KES381" s="774"/>
      <c r="KET381" s="774"/>
      <c r="KEU381" s="422"/>
      <c r="KEV381" s="775"/>
      <c r="KEW381" s="774"/>
      <c r="KEX381" s="776"/>
      <c r="KEY381" s="430"/>
      <c r="KEZ381" s="717"/>
      <c r="KFA381" s="774"/>
      <c r="KFB381" s="774"/>
      <c r="KFC381" s="422"/>
      <c r="KFD381" s="775"/>
      <c r="KFE381" s="774"/>
      <c r="KFF381" s="776"/>
      <c r="KFG381" s="430"/>
      <c r="KFH381" s="717"/>
      <c r="KFI381" s="774"/>
      <c r="KFJ381" s="774"/>
      <c r="KFK381" s="422"/>
      <c r="KFL381" s="775"/>
      <c r="KFM381" s="774"/>
      <c r="KFN381" s="776"/>
      <c r="KFO381" s="430"/>
      <c r="KFP381" s="717"/>
      <c r="KFQ381" s="774"/>
      <c r="KFR381" s="774"/>
      <c r="KFS381" s="422"/>
      <c r="KFT381" s="775"/>
      <c r="KFU381" s="774"/>
      <c r="KFV381" s="776"/>
      <c r="KFW381" s="430"/>
      <c r="KFX381" s="717"/>
      <c r="KFY381" s="774"/>
      <c r="KFZ381" s="774"/>
      <c r="KGA381" s="422"/>
      <c r="KGB381" s="775"/>
      <c r="KGC381" s="774"/>
      <c r="KGD381" s="776"/>
      <c r="KGE381" s="430"/>
      <c r="KGF381" s="717"/>
      <c r="KGG381" s="774"/>
      <c r="KGH381" s="774"/>
      <c r="KGI381" s="422"/>
      <c r="KGJ381" s="775"/>
      <c r="KGK381" s="774"/>
      <c r="KGL381" s="776"/>
      <c r="KGM381" s="430"/>
      <c r="KGN381" s="717"/>
      <c r="KGO381" s="774"/>
      <c r="KGP381" s="774"/>
      <c r="KGQ381" s="422"/>
      <c r="KGR381" s="775"/>
      <c r="KGS381" s="774"/>
      <c r="KGT381" s="776"/>
      <c r="KGU381" s="430"/>
      <c r="KGV381" s="717"/>
      <c r="KGW381" s="774"/>
      <c r="KGX381" s="774"/>
      <c r="KGY381" s="422"/>
      <c r="KGZ381" s="775"/>
      <c r="KHA381" s="774"/>
      <c r="KHB381" s="776"/>
      <c r="KHC381" s="430"/>
      <c r="KHD381" s="717"/>
      <c r="KHE381" s="774"/>
      <c r="KHF381" s="774"/>
      <c r="KHG381" s="422"/>
      <c r="KHH381" s="775"/>
      <c r="KHI381" s="774"/>
      <c r="KHJ381" s="776"/>
      <c r="KHK381" s="430"/>
      <c r="KHL381" s="717"/>
      <c r="KHM381" s="774"/>
      <c r="KHN381" s="774"/>
      <c r="KHO381" s="422"/>
      <c r="KHP381" s="775"/>
      <c r="KHQ381" s="774"/>
      <c r="KHR381" s="776"/>
      <c r="KHS381" s="430"/>
      <c r="KHT381" s="717"/>
      <c r="KHU381" s="774"/>
      <c r="KHV381" s="774"/>
      <c r="KHW381" s="422"/>
      <c r="KHX381" s="775"/>
      <c r="KHY381" s="774"/>
      <c r="KHZ381" s="776"/>
      <c r="KIA381" s="430"/>
      <c r="KIB381" s="717"/>
      <c r="KIC381" s="774"/>
      <c r="KID381" s="774"/>
      <c r="KIE381" s="422"/>
      <c r="KIF381" s="775"/>
      <c r="KIG381" s="774"/>
      <c r="KIH381" s="776"/>
      <c r="KII381" s="430"/>
      <c r="KIJ381" s="717"/>
      <c r="KIK381" s="774"/>
      <c r="KIL381" s="774"/>
      <c r="KIM381" s="422"/>
      <c r="KIN381" s="775"/>
      <c r="KIO381" s="774"/>
      <c r="KIP381" s="776"/>
      <c r="KIQ381" s="430"/>
      <c r="KIR381" s="717"/>
      <c r="KIS381" s="774"/>
      <c r="KIT381" s="774"/>
      <c r="KIU381" s="422"/>
      <c r="KIV381" s="775"/>
      <c r="KIW381" s="774"/>
      <c r="KIX381" s="776"/>
      <c r="KIY381" s="430"/>
      <c r="KIZ381" s="717"/>
      <c r="KJA381" s="774"/>
      <c r="KJB381" s="774"/>
      <c r="KJC381" s="422"/>
      <c r="KJD381" s="775"/>
      <c r="KJE381" s="774"/>
      <c r="KJF381" s="776"/>
      <c r="KJG381" s="430"/>
      <c r="KJH381" s="717"/>
      <c r="KJI381" s="774"/>
      <c r="KJJ381" s="774"/>
      <c r="KJK381" s="422"/>
      <c r="KJL381" s="775"/>
      <c r="KJM381" s="774"/>
      <c r="KJN381" s="776"/>
      <c r="KJO381" s="430"/>
      <c r="KJP381" s="717"/>
      <c r="KJQ381" s="774"/>
      <c r="KJR381" s="774"/>
      <c r="KJS381" s="422"/>
      <c r="KJT381" s="775"/>
      <c r="KJU381" s="774"/>
      <c r="KJV381" s="776"/>
      <c r="KJW381" s="430"/>
      <c r="KJX381" s="717"/>
      <c r="KJY381" s="774"/>
      <c r="KJZ381" s="774"/>
      <c r="KKA381" s="422"/>
      <c r="KKB381" s="775"/>
      <c r="KKC381" s="774"/>
      <c r="KKD381" s="776"/>
      <c r="KKE381" s="430"/>
      <c r="KKF381" s="717"/>
      <c r="KKG381" s="774"/>
      <c r="KKH381" s="774"/>
      <c r="KKI381" s="422"/>
      <c r="KKJ381" s="775"/>
      <c r="KKK381" s="774"/>
      <c r="KKL381" s="776"/>
      <c r="KKM381" s="430"/>
      <c r="KKN381" s="717"/>
      <c r="KKO381" s="774"/>
      <c r="KKP381" s="774"/>
      <c r="KKQ381" s="422"/>
      <c r="KKR381" s="775"/>
      <c r="KKS381" s="774"/>
      <c r="KKT381" s="776"/>
      <c r="KKU381" s="430"/>
      <c r="KKV381" s="717"/>
      <c r="KKW381" s="774"/>
      <c r="KKX381" s="774"/>
      <c r="KKY381" s="422"/>
      <c r="KKZ381" s="775"/>
      <c r="KLA381" s="774"/>
      <c r="KLB381" s="776"/>
      <c r="KLC381" s="430"/>
      <c r="KLD381" s="717"/>
      <c r="KLE381" s="774"/>
      <c r="KLF381" s="774"/>
      <c r="KLG381" s="422"/>
      <c r="KLH381" s="775"/>
      <c r="KLI381" s="774"/>
      <c r="KLJ381" s="776"/>
      <c r="KLK381" s="430"/>
      <c r="KLL381" s="717"/>
      <c r="KLM381" s="774"/>
      <c r="KLN381" s="774"/>
      <c r="KLO381" s="422"/>
      <c r="KLP381" s="775"/>
      <c r="KLQ381" s="774"/>
      <c r="KLR381" s="776"/>
      <c r="KLS381" s="430"/>
      <c r="KLT381" s="717"/>
      <c r="KLU381" s="774"/>
      <c r="KLV381" s="774"/>
      <c r="KLW381" s="422"/>
      <c r="KLX381" s="775"/>
      <c r="KLY381" s="774"/>
      <c r="KLZ381" s="776"/>
      <c r="KMA381" s="430"/>
      <c r="KMB381" s="717"/>
      <c r="KMC381" s="774"/>
      <c r="KMD381" s="774"/>
      <c r="KME381" s="422"/>
      <c r="KMF381" s="775"/>
      <c r="KMG381" s="774"/>
      <c r="KMH381" s="776"/>
      <c r="KMI381" s="430"/>
      <c r="KMJ381" s="717"/>
      <c r="KMK381" s="774"/>
      <c r="KML381" s="774"/>
      <c r="KMM381" s="422"/>
      <c r="KMN381" s="775"/>
      <c r="KMO381" s="774"/>
      <c r="KMP381" s="776"/>
      <c r="KMQ381" s="430"/>
      <c r="KMR381" s="717"/>
      <c r="KMS381" s="774"/>
      <c r="KMT381" s="774"/>
      <c r="KMU381" s="422"/>
      <c r="KMV381" s="775"/>
      <c r="KMW381" s="774"/>
      <c r="KMX381" s="776"/>
      <c r="KMY381" s="430"/>
      <c r="KMZ381" s="717"/>
      <c r="KNA381" s="774"/>
      <c r="KNB381" s="774"/>
      <c r="KNC381" s="422"/>
      <c r="KND381" s="775"/>
      <c r="KNE381" s="774"/>
      <c r="KNF381" s="776"/>
      <c r="KNG381" s="430"/>
      <c r="KNH381" s="717"/>
      <c r="KNI381" s="774"/>
      <c r="KNJ381" s="774"/>
      <c r="KNK381" s="422"/>
      <c r="KNL381" s="775"/>
      <c r="KNM381" s="774"/>
      <c r="KNN381" s="776"/>
      <c r="KNO381" s="430"/>
      <c r="KNP381" s="717"/>
      <c r="KNQ381" s="774"/>
      <c r="KNR381" s="774"/>
      <c r="KNS381" s="422"/>
      <c r="KNT381" s="775"/>
      <c r="KNU381" s="774"/>
      <c r="KNV381" s="776"/>
      <c r="KNW381" s="430"/>
      <c r="KNX381" s="717"/>
      <c r="KNY381" s="774"/>
      <c r="KNZ381" s="774"/>
      <c r="KOA381" s="422"/>
      <c r="KOB381" s="775"/>
      <c r="KOC381" s="774"/>
      <c r="KOD381" s="776"/>
      <c r="KOE381" s="430"/>
      <c r="KOF381" s="717"/>
      <c r="KOG381" s="774"/>
      <c r="KOH381" s="774"/>
      <c r="KOI381" s="422"/>
      <c r="KOJ381" s="775"/>
      <c r="KOK381" s="774"/>
      <c r="KOL381" s="776"/>
      <c r="KOM381" s="430"/>
      <c r="KON381" s="717"/>
      <c r="KOO381" s="774"/>
      <c r="KOP381" s="774"/>
      <c r="KOQ381" s="422"/>
      <c r="KOR381" s="775"/>
      <c r="KOS381" s="774"/>
      <c r="KOT381" s="776"/>
      <c r="KOU381" s="430"/>
      <c r="KOV381" s="717"/>
      <c r="KOW381" s="774"/>
      <c r="KOX381" s="774"/>
      <c r="KOY381" s="422"/>
      <c r="KOZ381" s="775"/>
      <c r="KPA381" s="774"/>
      <c r="KPB381" s="776"/>
      <c r="KPC381" s="430"/>
      <c r="KPD381" s="717"/>
      <c r="KPE381" s="774"/>
      <c r="KPF381" s="774"/>
      <c r="KPG381" s="422"/>
      <c r="KPH381" s="775"/>
      <c r="KPI381" s="774"/>
      <c r="KPJ381" s="776"/>
      <c r="KPK381" s="430"/>
      <c r="KPL381" s="717"/>
      <c r="KPM381" s="774"/>
      <c r="KPN381" s="774"/>
      <c r="KPO381" s="422"/>
      <c r="KPP381" s="775"/>
      <c r="KPQ381" s="774"/>
      <c r="KPR381" s="776"/>
      <c r="KPS381" s="430"/>
      <c r="KPT381" s="717"/>
      <c r="KPU381" s="774"/>
      <c r="KPV381" s="774"/>
      <c r="KPW381" s="422"/>
      <c r="KPX381" s="775"/>
      <c r="KPY381" s="774"/>
      <c r="KPZ381" s="776"/>
      <c r="KQA381" s="430"/>
      <c r="KQB381" s="717"/>
      <c r="KQC381" s="774"/>
      <c r="KQD381" s="774"/>
      <c r="KQE381" s="422"/>
      <c r="KQF381" s="775"/>
      <c r="KQG381" s="774"/>
      <c r="KQH381" s="776"/>
      <c r="KQI381" s="430"/>
      <c r="KQJ381" s="717"/>
      <c r="KQK381" s="774"/>
      <c r="KQL381" s="774"/>
      <c r="KQM381" s="422"/>
      <c r="KQN381" s="775"/>
      <c r="KQO381" s="774"/>
      <c r="KQP381" s="776"/>
      <c r="KQQ381" s="430"/>
      <c r="KQR381" s="717"/>
      <c r="KQS381" s="774"/>
      <c r="KQT381" s="774"/>
      <c r="KQU381" s="422"/>
      <c r="KQV381" s="775"/>
      <c r="KQW381" s="774"/>
      <c r="KQX381" s="776"/>
      <c r="KQY381" s="430"/>
      <c r="KQZ381" s="717"/>
      <c r="KRA381" s="774"/>
      <c r="KRB381" s="774"/>
      <c r="KRC381" s="422"/>
      <c r="KRD381" s="775"/>
      <c r="KRE381" s="774"/>
      <c r="KRF381" s="776"/>
      <c r="KRG381" s="430"/>
      <c r="KRH381" s="717"/>
      <c r="KRI381" s="774"/>
      <c r="KRJ381" s="774"/>
      <c r="KRK381" s="422"/>
      <c r="KRL381" s="775"/>
      <c r="KRM381" s="774"/>
      <c r="KRN381" s="776"/>
      <c r="KRO381" s="430"/>
      <c r="KRP381" s="717"/>
      <c r="KRQ381" s="774"/>
      <c r="KRR381" s="774"/>
      <c r="KRS381" s="422"/>
      <c r="KRT381" s="775"/>
      <c r="KRU381" s="774"/>
      <c r="KRV381" s="776"/>
      <c r="KRW381" s="430"/>
      <c r="KRX381" s="717"/>
      <c r="KRY381" s="774"/>
      <c r="KRZ381" s="774"/>
      <c r="KSA381" s="422"/>
      <c r="KSB381" s="775"/>
      <c r="KSC381" s="774"/>
      <c r="KSD381" s="776"/>
      <c r="KSE381" s="430"/>
      <c r="KSF381" s="717"/>
      <c r="KSG381" s="774"/>
      <c r="KSH381" s="774"/>
      <c r="KSI381" s="422"/>
      <c r="KSJ381" s="775"/>
      <c r="KSK381" s="774"/>
      <c r="KSL381" s="776"/>
      <c r="KSM381" s="430"/>
      <c r="KSN381" s="717"/>
      <c r="KSO381" s="774"/>
      <c r="KSP381" s="774"/>
      <c r="KSQ381" s="422"/>
      <c r="KSR381" s="775"/>
      <c r="KSS381" s="774"/>
      <c r="KST381" s="776"/>
      <c r="KSU381" s="430"/>
      <c r="KSV381" s="717"/>
      <c r="KSW381" s="774"/>
      <c r="KSX381" s="774"/>
      <c r="KSY381" s="422"/>
      <c r="KSZ381" s="775"/>
      <c r="KTA381" s="774"/>
      <c r="KTB381" s="776"/>
      <c r="KTC381" s="430"/>
      <c r="KTD381" s="717"/>
      <c r="KTE381" s="774"/>
      <c r="KTF381" s="774"/>
      <c r="KTG381" s="422"/>
      <c r="KTH381" s="775"/>
      <c r="KTI381" s="774"/>
      <c r="KTJ381" s="776"/>
      <c r="KTK381" s="430"/>
      <c r="KTL381" s="717"/>
      <c r="KTM381" s="774"/>
      <c r="KTN381" s="774"/>
      <c r="KTO381" s="422"/>
      <c r="KTP381" s="775"/>
      <c r="KTQ381" s="774"/>
      <c r="KTR381" s="776"/>
      <c r="KTS381" s="430"/>
      <c r="KTT381" s="717"/>
      <c r="KTU381" s="774"/>
      <c r="KTV381" s="774"/>
      <c r="KTW381" s="422"/>
      <c r="KTX381" s="775"/>
      <c r="KTY381" s="774"/>
      <c r="KTZ381" s="776"/>
      <c r="KUA381" s="430"/>
      <c r="KUB381" s="717"/>
      <c r="KUC381" s="774"/>
      <c r="KUD381" s="774"/>
      <c r="KUE381" s="422"/>
      <c r="KUF381" s="775"/>
      <c r="KUG381" s="774"/>
      <c r="KUH381" s="776"/>
      <c r="KUI381" s="430"/>
      <c r="KUJ381" s="717"/>
      <c r="KUK381" s="774"/>
      <c r="KUL381" s="774"/>
      <c r="KUM381" s="422"/>
      <c r="KUN381" s="775"/>
      <c r="KUO381" s="774"/>
      <c r="KUP381" s="776"/>
      <c r="KUQ381" s="430"/>
      <c r="KUR381" s="717"/>
      <c r="KUS381" s="774"/>
      <c r="KUT381" s="774"/>
      <c r="KUU381" s="422"/>
      <c r="KUV381" s="775"/>
      <c r="KUW381" s="774"/>
      <c r="KUX381" s="776"/>
      <c r="KUY381" s="430"/>
      <c r="KUZ381" s="717"/>
      <c r="KVA381" s="774"/>
      <c r="KVB381" s="774"/>
      <c r="KVC381" s="422"/>
      <c r="KVD381" s="775"/>
      <c r="KVE381" s="774"/>
      <c r="KVF381" s="776"/>
      <c r="KVG381" s="430"/>
      <c r="KVH381" s="717"/>
      <c r="KVI381" s="774"/>
      <c r="KVJ381" s="774"/>
      <c r="KVK381" s="422"/>
      <c r="KVL381" s="775"/>
      <c r="KVM381" s="774"/>
      <c r="KVN381" s="776"/>
      <c r="KVO381" s="430"/>
      <c r="KVP381" s="717"/>
      <c r="KVQ381" s="774"/>
      <c r="KVR381" s="774"/>
      <c r="KVS381" s="422"/>
      <c r="KVT381" s="775"/>
      <c r="KVU381" s="774"/>
      <c r="KVV381" s="776"/>
      <c r="KVW381" s="430"/>
      <c r="KVX381" s="717"/>
      <c r="KVY381" s="774"/>
      <c r="KVZ381" s="774"/>
      <c r="KWA381" s="422"/>
      <c r="KWB381" s="775"/>
      <c r="KWC381" s="774"/>
      <c r="KWD381" s="776"/>
      <c r="KWE381" s="430"/>
      <c r="KWF381" s="717"/>
      <c r="KWG381" s="774"/>
      <c r="KWH381" s="774"/>
      <c r="KWI381" s="422"/>
      <c r="KWJ381" s="775"/>
      <c r="KWK381" s="774"/>
      <c r="KWL381" s="776"/>
      <c r="KWM381" s="430"/>
      <c r="KWN381" s="717"/>
      <c r="KWO381" s="774"/>
      <c r="KWP381" s="774"/>
      <c r="KWQ381" s="422"/>
      <c r="KWR381" s="775"/>
      <c r="KWS381" s="774"/>
      <c r="KWT381" s="776"/>
      <c r="KWU381" s="430"/>
      <c r="KWV381" s="717"/>
      <c r="KWW381" s="774"/>
      <c r="KWX381" s="774"/>
      <c r="KWY381" s="422"/>
      <c r="KWZ381" s="775"/>
      <c r="KXA381" s="774"/>
      <c r="KXB381" s="776"/>
      <c r="KXC381" s="430"/>
      <c r="KXD381" s="717"/>
      <c r="KXE381" s="774"/>
      <c r="KXF381" s="774"/>
      <c r="KXG381" s="422"/>
      <c r="KXH381" s="775"/>
      <c r="KXI381" s="774"/>
      <c r="KXJ381" s="776"/>
      <c r="KXK381" s="430"/>
      <c r="KXL381" s="717"/>
      <c r="KXM381" s="774"/>
      <c r="KXN381" s="774"/>
      <c r="KXO381" s="422"/>
      <c r="KXP381" s="775"/>
      <c r="KXQ381" s="774"/>
      <c r="KXR381" s="776"/>
      <c r="KXS381" s="430"/>
      <c r="KXT381" s="717"/>
      <c r="KXU381" s="774"/>
      <c r="KXV381" s="774"/>
      <c r="KXW381" s="422"/>
      <c r="KXX381" s="775"/>
      <c r="KXY381" s="774"/>
      <c r="KXZ381" s="776"/>
      <c r="KYA381" s="430"/>
      <c r="KYB381" s="717"/>
      <c r="KYC381" s="774"/>
      <c r="KYD381" s="774"/>
      <c r="KYE381" s="422"/>
      <c r="KYF381" s="775"/>
      <c r="KYG381" s="774"/>
      <c r="KYH381" s="776"/>
      <c r="KYI381" s="430"/>
      <c r="KYJ381" s="717"/>
      <c r="KYK381" s="774"/>
      <c r="KYL381" s="774"/>
      <c r="KYM381" s="422"/>
      <c r="KYN381" s="775"/>
      <c r="KYO381" s="774"/>
      <c r="KYP381" s="776"/>
      <c r="KYQ381" s="430"/>
      <c r="KYR381" s="717"/>
      <c r="KYS381" s="774"/>
      <c r="KYT381" s="774"/>
      <c r="KYU381" s="422"/>
      <c r="KYV381" s="775"/>
      <c r="KYW381" s="774"/>
      <c r="KYX381" s="776"/>
      <c r="KYY381" s="430"/>
      <c r="KYZ381" s="717"/>
      <c r="KZA381" s="774"/>
      <c r="KZB381" s="774"/>
      <c r="KZC381" s="422"/>
      <c r="KZD381" s="775"/>
      <c r="KZE381" s="774"/>
      <c r="KZF381" s="776"/>
      <c r="KZG381" s="430"/>
      <c r="KZH381" s="717"/>
      <c r="KZI381" s="774"/>
      <c r="KZJ381" s="774"/>
      <c r="KZK381" s="422"/>
      <c r="KZL381" s="775"/>
      <c r="KZM381" s="774"/>
      <c r="KZN381" s="776"/>
      <c r="KZO381" s="430"/>
      <c r="KZP381" s="717"/>
      <c r="KZQ381" s="774"/>
      <c r="KZR381" s="774"/>
      <c r="KZS381" s="422"/>
      <c r="KZT381" s="775"/>
      <c r="KZU381" s="774"/>
      <c r="KZV381" s="776"/>
      <c r="KZW381" s="430"/>
      <c r="KZX381" s="717"/>
      <c r="KZY381" s="774"/>
      <c r="KZZ381" s="774"/>
      <c r="LAA381" s="422"/>
      <c r="LAB381" s="775"/>
      <c r="LAC381" s="774"/>
      <c r="LAD381" s="776"/>
      <c r="LAE381" s="430"/>
      <c r="LAF381" s="717"/>
      <c r="LAG381" s="774"/>
      <c r="LAH381" s="774"/>
      <c r="LAI381" s="422"/>
      <c r="LAJ381" s="775"/>
      <c r="LAK381" s="774"/>
      <c r="LAL381" s="776"/>
      <c r="LAM381" s="430"/>
      <c r="LAN381" s="717"/>
      <c r="LAO381" s="774"/>
      <c r="LAP381" s="774"/>
      <c r="LAQ381" s="422"/>
      <c r="LAR381" s="775"/>
      <c r="LAS381" s="774"/>
      <c r="LAT381" s="776"/>
      <c r="LAU381" s="430"/>
      <c r="LAV381" s="717"/>
      <c r="LAW381" s="774"/>
      <c r="LAX381" s="774"/>
      <c r="LAY381" s="422"/>
      <c r="LAZ381" s="775"/>
      <c r="LBA381" s="774"/>
      <c r="LBB381" s="776"/>
      <c r="LBC381" s="430"/>
      <c r="LBD381" s="717"/>
      <c r="LBE381" s="774"/>
      <c r="LBF381" s="774"/>
      <c r="LBG381" s="422"/>
      <c r="LBH381" s="775"/>
      <c r="LBI381" s="774"/>
      <c r="LBJ381" s="776"/>
      <c r="LBK381" s="430"/>
      <c r="LBL381" s="717"/>
      <c r="LBM381" s="774"/>
      <c r="LBN381" s="774"/>
      <c r="LBO381" s="422"/>
      <c r="LBP381" s="775"/>
      <c r="LBQ381" s="774"/>
      <c r="LBR381" s="776"/>
      <c r="LBS381" s="430"/>
      <c r="LBT381" s="717"/>
      <c r="LBU381" s="774"/>
      <c r="LBV381" s="774"/>
      <c r="LBW381" s="422"/>
      <c r="LBX381" s="775"/>
      <c r="LBY381" s="774"/>
      <c r="LBZ381" s="776"/>
      <c r="LCA381" s="430"/>
      <c r="LCB381" s="717"/>
      <c r="LCC381" s="774"/>
      <c r="LCD381" s="774"/>
      <c r="LCE381" s="422"/>
      <c r="LCF381" s="775"/>
      <c r="LCG381" s="774"/>
      <c r="LCH381" s="776"/>
      <c r="LCI381" s="430"/>
      <c r="LCJ381" s="717"/>
      <c r="LCK381" s="774"/>
      <c r="LCL381" s="774"/>
      <c r="LCM381" s="422"/>
      <c r="LCN381" s="775"/>
      <c r="LCO381" s="774"/>
      <c r="LCP381" s="776"/>
      <c r="LCQ381" s="430"/>
      <c r="LCR381" s="717"/>
      <c r="LCS381" s="774"/>
      <c r="LCT381" s="774"/>
      <c r="LCU381" s="422"/>
      <c r="LCV381" s="775"/>
      <c r="LCW381" s="774"/>
      <c r="LCX381" s="776"/>
      <c r="LCY381" s="430"/>
      <c r="LCZ381" s="717"/>
      <c r="LDA381" s="774"/>
      <c r="LDB381" s="774"/>
      <c r="LDC381" s="422"/>
      <c r="LDD381" s="775"/>
      <c r="LDE381" s="774"/>
      <c r="LDF381" s="776"/>
      <c r="LDG381" s="430"/>
      <c r="LDH381" s="717"/>
      <c r="LDI381" s="774"/>
      <c r="LDJ381" s="774"/>
      <c r="LDK381" s="422"/>
      <c r="LDL381" s="775"/>
      <c r="LDM381" s="774"/>
      <c r="LDN381" s="776"/>
      <c r="LDO381" s="430"/>
      <c r="LDP381" s="717"/>
      <c r="LDQ381" s="774"/>
      <c r="LDR381" s="774"/>
      <c r="LDS381" s="422"/>
      <c r="LDT381" s="775"/>
      <c r="LDU381" s="774"/>
      <c r="LDV381" s="776"/>
      <c r="LDW381" s="430"/>
      <c r="LDX381" s="717"/>
      <c r="LDY381" s="774"/>
      <c r="LDZ381" s="774"/>
      <c r="LEA381" s="422"/>
      <c r="LEB381" s="775"/>
      <c r="LEC381" s="774"/>
      <c r="LED381" s="776"/>
      <c r="LEE381" s="430"/>
      <c r="LEF381" s="717"/>
      <c r="LEG381" s="774"/>
      <c r="LEH381" s="774"/>
      <c r="LEI381" s="422"/>
      <c r="LEJ381" s="775"/>
      <c r="LEK381" s="774"/>
      <c r="LEL381" s="776"/>
      <c r="LEM381" s="430"/>
      <c r="LEN381" s="717"/>
      <c r="LEO381" s="774"/>
      <c r="LEP381" s="774"/>
      <c r="LEQ381" s="422"/>
      <c r="LER381" s="775"/>
      <c r="LES381" s="774"/>
      <c r="LET381" s="776"/>
      <c r="LEU381" s="430"/>
      <c r="LEV381" s="717"/>
      <c r="LEW381" s="774"/>
      <c r="LEX381" s="774"/>
      <c r="LEY381" s="422"/>
      <c r="LEZ381" s="775"/>
      <c r="LFA381" s="774"/>
      <c r="LFB381" s="776"/>
      <c r="LFC381" s="430"/>
      <c r="LFD381" s="717"/>
      <c r="LFE381" s="774"/>
      <c r="LFF381" s="774"/>
      <c r="LFG381" s="422"/>
      <c r="LFH381" s="775"/>
      <c r="LFI381" s="774"/>
      <c r="LFJ381" s="776"/>
      <c r="LFK381" s="430"/>
      <c r="LFL381" s="717"/>
      <c r="LFM381" s="774"/>
      <c r="LFN381" s="774"/>
      <c r="LFO381" s="422"/>
      <c r="LFP381" s="775"/>
      <c r="LFQ381" s="774"/>
      <c r="LFR381" s="776"/>
      <c r="LFS381" s="430"/>
      <c r="LFT381" s="717"/>
      <c r="LFU381" s="774"/>
      <c r="LFV381" s="774"/>
      <c r="LFW381" s="422"/>
      <c r="LFX381" s="775"/>
      <c r="LFY381" s="774"/>
      <c r="LFZ381" s="776"/>
      <c r="LGA381" s="430"/>
      <c r="LGB381" s="717"/>
      <c r="LGC381" s="774"/>
      <c r="LGD381" s="774"/>
      <c r="LGE381" s="422"/>
      <c r="LGF381" s="775"/>
      <c r="LGG381" s="774"/>
      <c r="LGH381" s="776"/>
      <c r="LGI381" s="430"/>
      <c r="LGJ381" s="717"/>
      <c r="LGK381" s="774"/>
      <c r="LGL381" s="774"/>
      <c r="LGM381" s="422"/>
      <c r="LGN381" s="775"/>
      <c r="LGO381" s="774"/>
      <c r="LGP381" s="776"/>
      <c r="LGQ381" s="430"/>
      <c r="LGR381" s="717"/>
      <c r="LGS381" s="774"/>
      <c r="LGT381" s="774"/>
      <c r="LGU381" s="422"/>
      <c r="LGV381" s="775"/>
      <c r="LGW381" s="774"/>
      <c r="LGX381" s="776"/>
      <c r="LGY381" s="430"/>
      <c r="LGZ381" s="717"/>
      <c r="LHA381" s="774"/>
      <c r="LHB381" s="774"/>
      <c r="LHC381" s="422"/>
      <c r="LHD381" s="775"/>
      <c r="LHE381" s="774"/>
      <c r="LHF381" s="776"/>
      <c r="LHG381" s="430"/>
      <c r="LHH381" s="717"/>
      <c r="LHI381" s="774"/>
      <c r="LHJ381" s="774"/>
      <c r="LHK381" s="422"/>
      <c r="LHL381" s="775"/>
      <c r="LHM381" s="774"/>
      <c r="LHN381" s="776"/>
      <c r="LHO381" s="430"/>
      <c r="LHP381" s="717"/>
      <c r="LHQ381" s="774"/>
      <c r="LHR381" s="774"/>
      <c r="LHS381" s="422"/>
      <c r="LHT381" s="775"/>
      <c r="LHU381" s="774"/>
      <c r="LHV381" s="776"/>
      <c r="LHW381" s="430"/>
      <c r="LHX381" s="717"/>
      <c r="LHY381" s="774"/>
      <c r="LHZ381" s="774"/>
      <c r="LIA381" s="422"/>
      <c r="LIB381" s="775"/>
      <c r="LIC381" s="774"/>
      <c r="LID381" s="776"/>
      <c r="LIE381" s="430"/>
      <c r="LIF381" s="717"/>
      <c r="LIG381" s="774"/>
      <c r="LIH381" s="774"/>
      <c r="LII381" s="422"/>
      <c r="LIJ381" s="775"/>
      <c r="LIK381" s="774"/>
      <c r="LIL381" s="776"/>
      <c r="LIM381" s="430"/>
      <c r="LIN381" s="717"/>
      <c r="LIO381" s="774"/>
      <c r="LIP381" s="774"/>
      <c r="LIQ381" s="422"/>
      <c r="LIR381" s="775"/>
      <c r="LIS381" s="774"/>
      <c r="LIT381" s="776"/>
      <c r="LIU381" s="430"/>
      <c r="LIV381" s="717"/>
      <c r="LIW381" s="774"/>
      <c r="LIX381" s="774"/>
      <c r="LIY381" s="422"/>
      <c r="LIZ381" s="775"/>
      <c r="LJA381" s="774"/>
      <c r="LJB381" s="776"/>
      <c r="LJC381" s="430"/>
      <c r="LJD381" s="717"/>
      <c r="LJE381" s="774"/>
      <c r="LJF381" s="774"/>
      <c r="LJG381" s="422"/>
      <c r="LJH381" s="775"/>
      <c r="LJI381" s="774"/>
      <c r="LJJ381" s="776"/>
      <c r="LJK381" s="430"/>
      <c r="LJL381" s="717"/>
      <c r="LJM381" s="774"/>
      <c r="LJN381" s="774"/>
      <c r="LJO381" s="422"/>
      <c r="LJP381" s="775"/>
      <c r="LJQ381" s="774"/>
      <c r="LJR381" s="776"/>
      <c r="LJS381" s="430"/>
      <c r="LJT381" s="717"/>
      <c r="LJU381" s="774"/>
      <c r="LJV381" s="774"/>
      <c r="LJW381" s="422"/>
      <c r="LJX381" s="775"/>
      <c r="LJY381" s="774"/>
      <c r="LJZ381" s="776"/>
      <c r="LKA381" s="430"/>
      <c r="LKB381" s="717"/>
      <c r="LKC381" s="774"/>
      <c r="LKD381" s="774"/>
      <c r="LKE381" s="422"/>
      <c r="LKF381" s="775"/>
      <c r="LKG381" s="774"/>
      <c r="LKH381" s="776"/>
      <c r="LKI381" s="430"/>
      <c r="LKJ381" s="717"/>
      <c r="LKK381" s="774"/>
      <c r="LKL381" s="774"/>
      <c r="LKM381" s="422"/>
      <c r="LKN381" s="775"/>
      <c r="LKO381" s="774"/>
      <c r="LKP381" s="776"/>
      <c r="LKQ381" s="430"/>
      <c r="LKR381" s="717"/>
      <c r="LKS381" s="774"/>
      <c r="LKT381" s="774"/>
      <c r="LKU381" s="422"/>
      <c r="LKV381" s="775"/>
      <c r="LKW381" s="774"/>
      <c r="LKX381" s="776"/>
      <c r="LKY381" s="430"/>
      <c r="LKZ381" s="717"/>
      <c r="LLA381" s="774"/>
      <c r="LLB381" s="774"/>
      <c r="LLC381" s="422"/>
      <c r="LLD381" s="775"/>
      <c r="LLE381" s="774"/>
      <c r="LLF381" s="776"/>
      <c r="LLG381" s="430"/>
      <c r="LLH381" s="717"/>
      <c r="LLI381" s="774"/>
      <c r="LLJ381" s="774"/>
      <c r="LLK381" s="422"/>
      <c r="LLL381" s="775"/>
      <c r="LLM381" s="774"/>
      <c r="LLN381" s="776"/>
      <c r="LLO381" s="430"/>
      <c r="LLP381" s="717"/>
      <c r="LLQ381" s="774"/>
      <c r="LLR381" s="774"/>
      <c r="LLS381" s="422"/>
      <c r="LLT381" s="775"/>
      <c r="LLU381" s="774"/>
      <c r="LLV381" s="776"/>
      <c r="LLW381" s="430"/>
      <c r="LLX381" s="717"/>
      <c r="LLY381" s="774"/>
      <c r="LLZ381" s="774"/>
      <c r="LMA381" s="422"/>
      <c r="LMB381" s="775"/>
      <c r="LMC381" s="774"/>
      <c r="LMD381" s="776"/>
      <c r="LME381" s="430"/>
      <c r="LMF381" s="717"/>
      <c r="LMG381" s="774"/>
      <c r="LMH381" s="774"/>
      <c r="LMI381" s="422"/>
      <c r="LMJ381" s="775"/>
      <c r="LMK381" s="774"/>
      <c r="LML381" s="776"/>
      <c r="LMM381" s="430"/>
      <c r="LMN381" s="717"/>
      <c r="LMO381" s="774"/>
      <c r="LMP381" s="774"/>
      <c r="LMQ381" s="422"/>
      <c r="LMR381" s="775"/>
      <c r="LMS381" s="774"/>
      <c r="LMT381" s="776"/>
      <c r="LMU381" s="430"/>
      <c r="LMV381" s="717"/>
      <c r="LMW381" s="774"/>
      <c r="LMX381" s="774"/>
      <c r="LMY381" s="422"/>
      <c r="LMZ381" s="775"/>
      <c r="LNA381" s="774"/>
      <c r="LNB381" s="776"/>
      <c r="LNC381" s="430"/>
      <c r="LND381" s="717"/>
      <c r="LNE381" s="774"/>
      <c r="LNF381" s="774"/>
      <c r="LNG381" s="422"/>
      <c r="LNH381" s="775"/>
      <c r="LNI381" s="774"/>
      <c r="LNJ381" s="776"/>
      <c r="LNK381" s="430"/>
      <c r="LNL381" s="717"/>
      <c r="LNM381" s="774"/>
      <c r="LNN381" s="774"/>
      <c r="LNO381" s="422"/>
      <c r="LNP381" s="775"/>
      <c r="LNQ381" s="774"/>
      <c r="LNR381" s="776"/>
      <c r="LNS381" s="430"/>
      <c r="LNT381" s="717"/>
      <c r="LNU381" s="774"/>
      <c r="LNV381" s="774"/>
      <c r="LNW381" s="422"/>
      <c r="LNX381" s="775"/>
      <c r="LNY381" s="774"/>
      <c r="LNZ381" s="776"/>
      <c r="LOA381" s="430"/>
      <c r="LOB381" s="717"/>
      <c r="LOC381" s="774"/>
      <c r="LOD381" s="774"/>
      <c r="LOE381" s="422"/>
      <c r="LOF381" s="775"/>
      <c r="LOG381" s="774"/>
      <c r="LOH381" s="776"/>
      <c r="LOI381" s="430"/>
      <c r="LOJ381" s="717"/>
      <c r="LOK381" s="774"/>
      <c r="LOL381" s="774"/>
      <c r="LOM381" s="422"/>
      <c r="LON381" s="775"/>
      <c r="LOO381" s="774"/>
      <c r="LOP381" s="776"/>
      <c r="LOQ381" s="430"/>
      <c r="LOR381" s="717"/>
      <c r="LOS381" s="774"/>
      <c r="LOT381" s="774"/>
      <c r="LOU381" s="422"/>
      <c r="LOV381" s="775"/>
      <c r="LOW381" s="774"/>
      <c r="LOX381" s="776"/>
      <c r="LOY381" s="430"/>
      <c r="LOZ381" s="717"/>
      <c r="LPA381" s="774"/>
      <c r="LPB381" s="774"/>
      <c r="LPC381" s="422"/>
      <c r="LPD381" s="775"/>
      <c r="LPE381" s="774"/>
      <c r="LPF381" s="776"/>
      <c r="LPG381" s="430"/>
      <c r="LPH381" s="717"/>
      <c r="LPI381" s="774"/>
      <c r="LPJ381" s="774"/>
      <c r="LPK381" s="422"/>
      <c r="LPL381" s="775"/>
      <c r="LPM381" s="774"/>
      <c r="LPN381" s="776"/>
      <c r="LPO381" s="430"/>
      <c r="LPP381" s="717"/>
      <c r="LPQ381" s="774"/>
      <c r="LPR381" s="774"/>
      <c r="LPS381" s="422"/>
      <c r="LPT381" s="775"/>
      <c r="LPU381" s="774"/>
      <c r="LPV381" s="776"/>
      <c r="LPW381" s="430"/>
      <c r="LPX381" s="717"/>
      <c r="LPY381" s="774"/>
      <c r="LPZ381" s="774"/>
      <c r="LQA381" s="422"/>
      <c r="LQB381" s="775"/>
      <c r="LQC381" s="774"/>
      <c r="LQD381" s="776"/>
      <c r="LQE381" s="430"/>
      <c r="LQF381" s="717"/>
      <c r="LQG381" s="774"/>
      <c r="LQH381" s="774"/>
      <c r="LQI381" s="422"/>
      <c r="LQJ381" s="775"/>
      <c r="LQK381" s="774"/>
      <c r="LQL381" s="776"/>
      <c r="LQM381" s="430"/>
      <c r="LQN381" s="717"/>
      <c r="LQO381" s="774"/>
      <c r="LQP381" s="774"/>
      <c r="LQQ381" s="422"/>
      <c r="LQR381" s="775"/>
      <c r="LQS381" s="774"/>
      <c r="LQT381" s="776"/>
      <c r="LQU381" s="430"/>
      <c r="LQV381" s="717"/>
      <c r="LQW381" s="774"/>
      <c r="LQX381" s="774"/>
      <c r="LQY381" s="422"/>
      <c r="LQZ381" s="775"/>
      <c r="LRA381" s="774"/>
      <c r="LRB381" s="776"/>
      <c r="LRC381" s="430"/>
      <c r="LRD381" s="717"/>
      <c r="LRE381" s="774"/>
      <c r="LRF381" s="774"/>
      <c r="LRG381" s="422"/>
      <c r="LRH381" s="775"/>
      <c r="LRI381" s="774"/>
      <c r="LRJ381" s="776"/>
      <c r="LRK381" s="430"/>
      <c r="LRL381" s="717"/>
      <c r="LRM381" s="774"/>
      <c r="LRN381" s="774"/>
      <c r="LRO381" s="422"/>
      <c r="LRP381" s="775"/>
      <c r="LRQ381" s="774"/>
      <c r="LRR381" s="776"/>
      <c r="LRS381" s="430"/>
      <c r="LRT381" s="717"/>
      <c r="LRU381" s="774"/>
      <c r="LRV381" s="774"/>
      <c r="LRW381" s="422"/>
      <c r="LRX381" s="775"/>
      <c r="LRY381" s="774"/>
      <c r="LRZ381" s="776"/>
      <c r="LSA381" s="430"/>
      <c r="LSB381" s="717"/>
      <c r="LSC381" s="774"/>
      <c r="LSD381" s="774"/>
      <c r="LSE381" s="422"/>
      <c r="LSF381" s="775"/>
      <c r="LSG381" s="774"/>
      <c r="LSH381" s="776"/>
      <c r="LSI381" s="430"/>
      <c r="LSJ381" s="717"/>
      <c r="LSK381" s="774"/>
      <c r="LSL381" s="774"/>
      <c r="LSM381" s="422"/>
      <c r="LSN381" s="775"/>
      <c r="LSO381" s="774"/>
      <c r="LSP381" s="776"/>
      <c r="LSQ381" s="430"/>
      <c r="LSR381" s="717"/>
      <c r="LSS381" s="774"/>
      <c r="LST381" s="774"/>
      <c r="LSU381" s="422"/>
      <c r="LSV381" s="775"/>
      <c r="LSW381" s="774"/>
      <c r="LSX381" s="776"/>
      <c r="LSY381" s="430"/>
      <c r="LSZ381" s="717"/>
      <c r="LTA381" s="774"/>
      <c r="LTB381" s="774"/>
      <c r="LTC381" s="422"/>
      <c r="LTD381" s="775"/>
      <c r="LTE381" s="774"/>
      <c r="LTF381" s="776"/>
      <c r="LTG381" s="430"/>
      <c r="LTH381" s="717"/>
      <c r="LTI381" s="774"/>
      <c r="LTJ381" s="774"/>
      <c r="LTK381" s="422"/>
      <c r="LTL381" s="775"/>
      <c r="LTM381" s="774"/>
      <c r="LTN381" s="776"/>
      <c r="LTO381" s="430"/>
      <c r="LTP381" s="717"/>
      <c r="LTQ381" s="774"/>
      <c r="LTR381" s="774"/>
      <c r="LTS381" s="422"/>
      <c r="LTT381" s="775"/>
      <c r="LTU381" s="774"/>
      <c r="LTV381" s="776"/>
      <c r="LTW381" s="430"/>
      <c r="LTX381" s="717"/>
      <c r="LTY381" s="774"/>
      <c r="LTZ381" s="774"/>
      <c r="LUA381" s="422"/>
      <c r="LUB381" s="775"/>
      <c r="LUC381" s="774"/>
      <c r="LUD381" s="776"/>
      <c r="LUE381" s="430"/>
      <c r="LUF381" s="717"/>
      <c r="LUG381" s="774"/>
      <c r="LUH381" s="774"/>
      <c r="LUI381" s="422"/>
      <c r="LUJ381" s="775"/>
      <c r="LUK381" s="774"/>
      <c r="LUL381" s="776"/>
      <c r="LUM381" s="430"/>
      <c r="LUN381" s="717"/>
      <c r="LUO381" s="774"/>
      <c r="LUP381" s="774"/>
      <c r="LUQ381" s="422"/>
      <c r="LUR381" s="775"/>
      <c r="LUS381" s="774"/>
      <c r="LUT381" s="776"/>
      <c r="LUU381" s="430"/>
      <c r="LUV381" s="717"/>
      <c r="LUW381" s="774"/>
      <c r="LUX381" s="774"/>
      <c r="LUY381" s="422"/>
      <c r="LUZ381" s="775"/>
      <c r="LVA381" s="774"/>
      <c r="LVB381" s="776"/>
      <c r="LVC381" s="430"/>
      <c r="LVD381" s="717"/>
      <c r="LVE381" s="774"/>
      <c r="LVF381" s="774"/>
      <c r="LVG381" s="422"/>
      <c r="LVH381" s="775"/>
      <c r="LVI381" s="774"/>
      <c r="LVJ381" s="776"/>
      <c r="LVK381" s="430"/>
      <c r="LVL381" s="717"/>
      <c r="LVM381" s="774"/>
      <c r="LVN381" s="774"/>
      <c r="LVO381" s="422"/>
      <c r="LVP381" s="775"/>
      <c r="LVQ381" s="774"/>
      <c r="LVR381" s="776"/>
      <c r="LVS381" s="430"/>
      <c r="LVT381" s="717"/>
      <c r="LVU381" s="774"/>
      <c r="LVV381" s="774"/>
      <c r="LVW381" s="422"/>
      <c r="LVX381" s="775"/>
      <c r="LVY381" s="774"/>
      <c r="LVZ381" s="776"/>
      <c r="LWA381" s="430"/>
      <c r="LWB381" s="717"/>
      <c r="LWC381" s="774"/>
      <c r="LWD381" s="774"/>
      <c r="LWE381" s="422"/>
      <c r="LWF381" s="775"/>
      <c r="LWG381" s="774"/>
      <c r="LWH381" s="776"/>
      <c r="LWI381" s="430"/>
      <c r="LWJ381" s="717"/>
      <c r="LWK381" s="774"/>
      <c r="LWL381" s="774"/>
      <c r="LWM381" s="422"/>
      <c r="LWN381" s="775"/>
      <c r="LWO381" s="774"/>
      <c r="LWP381" s="776"/>
      <c r="LWQ381" s="430"/>
      <c r="LWR381" s="717"/>
      <c r="LWS381" s="774"/>
      <c r="LWT381" s="774"/>
      <c r="LWU381" s="422"/>
      <c r="LWV381" s="775"/>
      <c r="LWW381" s="774"/>
      <c r="LWX381" s="776"/>
      <c r="LWY381" s="430"/>
      <c r="LWZ381" s="717"/>
      <c r="LXA381" s="774"/>
      <c r="LXB381" s="774"/>
      <c r="LXC381" s="422"/>
      <c r="LXD381" s="775"/>
      <c r="LXE381" s="774"/>
      <c r="LXF381" s="776"/>
      <c r="LXG381" s="430"/>
      <c r="LXH381" s="717"/>
      <c r="LXI381" s="774"/>
      <c r="LXJ381" s="774"/>
      <c r="LXK381" s="422"/>
      <c r="LXL381" s="775"/>
      <c r="LXM381" s="774"/>
      <c r="LXN381" s="776"/>
      <c r="LXO381" s="430"/>
      <c r="LXP381" s="717"/>
      <c r="LXQ381" s="774"/>
      <c r="LXR381" s="774"/>
      <c r="LXS381" s="422"/>
      <c r="LXT381" s="775"/>
      <c r="LXU381" s="774"/>
      <c r="LXV381" s="776"/>
      <c r="LXW381" s="430"/>
      <c r="LXX381" s="717"/>
      <c r="LXY381" s="774"/>
      <c r="LXZ381" s="774"/>
      <c r="LYA381" s="422"/>
      <c r="LYB381" s="775"/>
      <c r="LYC381" s="774"/>
      <c r="LYD381" s="776"/>
      <c r="LYE381" s="430"/>
      <c r="LYF381" s="717"/>
      <c r="LYG381" s="774"/>
      <c r="LYH381" s="774"/>
      <c r="LYI381" s="422"/>
      <c r="LYJ381" s="775"/>
      <c r="LYK381" s="774"/>
      <c r="LYL381" s="776"/>
      <c r="LYM381" s="430"/>
      <c r="LYN381" s="717"/>
      <c r="LYO381" s="774"/>
      <c r="LYP381" s="774"/>
      <c r="LYQ381" s="422"/>
      <c r="LYR381" s="775"/>
      <c r="LYS381" s="774"/>
      <c r="LYT381" s="776"/>
      <c r="LYU381" s="430"/>
      <c r="LYV381" s="717"/>
      <c r="LYW381" s="774"/>
      <c r="LYX381" s="774"/>
      <c r="LYY381" s="422"/>
      <c r="LYZ381" s="775"/>
      <c r="LZA381" s="774"/>
      <c r="LZB381" s="776"/>
      <c r="LZC381" s="430"/>
      <c r="LZD381" s="717"/>
      <c r="LZE381" s="774"/>
      <c r="LZF381" s="774"/>
      <c r="LZG381" s="422"/>
      <c r="LZH381" s="775"/>
      <c r="LZI381" s="774"/>
      <c r="LZJ381" s="776"/>
      <c r="LZK381" s="430"/>
      <c r="LZL381" s="717"/>
      <c r="LZM381" s="774"/>
      <c r="LZN381" s="774"/>
      <c r="LZO381" s="422"/>
      <c r="LZP381" s="775"/>
      <c r="LZQ381" s="774"/>
      <c r="LZR381" s="776"/>
      <c r="LZS381" s="430"/>
      <c r="LZT381" s="717"/>
      <c r="LZU381" s="774"/>
      <c r="LZV381" s="774"/>
      <c r="LZW381" s="422"/>
      <c r="LZX381" s="775"/>
      <c r="LZY381" s="774"/>
      <c r="LZZ381" s="776"/>
      <c r="MAA381" s="430"/>
      <c r="MAB381" s="717"/>
      <c r="MAC381" s="774"/>
      <c r="MAD381" s="774"/>
      <c r="MAE381" s="422"/>
      <c r="MAF381" s="775"/>
      <c r="MAG381" s="774"/>
      <c r="MAH381" s="776"/>
      <c r="MAI381" s="430"/>
      <c r="MAJ381" s="717"/>
      <c r="MAK381" s="774"/>
      <c r="MAL381" s="774"/>
      <c r="MAM381" s="422"/>
      <c r="MAN381" s="775"/>
      <c r="MAO381" s="774"/>
      <c r="MAP381" s="776"/>
      <c r="MAQ381" s="430"/>
      <c r="MAR381" s="717"/>
      <c r="MAS381" s="774"/>
      <c r="MAT381" s="774"/>
      <c r="MAU381" s="422"/>
      <c r="MAV381" s="775"/>
      <c r="MAW381" s="774"/>
      <c r="MAX381" s="776"/>
      <c r="MAY381" s="430"/>
      <c r="MAZ381" s="717"/>
      <c r="MBA381" s="774"/>
      <c r="MBB381" s="774"/>
      <c r="MBC381" s="422"/>
      <c r="MBD381" s="775"/>
      <c r="MBE381" s="774"/>
      <c r="MBF381" s="776"/>
      <c r="MBG381" s="430"/>
      <c r="MBH381" s="717"/>
      <c r="MBI381" s="774"/>
      <c r="MBJ381" s="774"/>
      <c r="MBK381" s="422"/>
      <c r="MBL381" s="775"/>
      <c r="MBM381" s="774"/>
      <c r="MBN381" s="776"/>
      <c r="MBO381" s="430"/>
      <c r="MBP381" s="717"/>
      <c r="MBQ381" s="774"/>
      <c r="MBR381" s="774"/>
      <c r="MBS381" s="422"/>
      <c r="MBT381" s="775"/>
      <c r="MBU381" s="774"/>
      <c r="MBV381" s="776"/>
      <c r="MBW381" s="430"/>
      <c r="MBX381" s="717"/>
      <c r="MBY381" s="774"/>
      <c r="MBZ381" s="774"/>
      <c r="MCA381" s="422"/>
      <c r="MCB381" s="775"/>
      <c r="MCC381" s="774"/>
      <c r="MCD381" s="776"/>
      <c r="MCE381" s="430"/>
      <c r="MCF381" s="717"/>
      <c r="MCG381" s="774"/>
      <c r="MCH381" s="774"/>
      <c r="MCI381" s="422"/>
      <c r="MCJ381" s="775"/>
      <c r="MCK381" s="774"/>
      <c r="MCL381" s="776"/>
      <c r="MCM381" s="430"/>
      <c r="MCN381" s="717"/>
      <c r="MCO381" s="774"/>
      <c r="MCP381" s="774"/>
      <c r="MCQ381" s="422"/>
      <c r="MCR381" s="775"/>
      <c r="MCS381" s="774"/>
      <c r="MCT381" s="776"/>
      <c r="MCU381" s="430"/>
      <c r="MCV381" s="717"/>
      <c r="MCW381" s="774"/>
      <c r="MCX381" s="774"/>
      <c r="MCY381" s="422"/>
      <c r="MCZ381" s="775"/>
      <c r="MDA381" s="774"/>
      <c r="MDB381" s="776"/>
      <c r="MDC381" s="430"/>
      <c r="MDD381" s="717"/>
      <c r="MDE381" s="774"/>
      <c r="MDF381" s="774"/>
      <c r="MDG381" s="422"/>
      <c r="MDH381" s="775"/>
      <c r="MDI381" s="774"/>
      <c r="MDJ381" s="776"/>
      <c r="MDK381" s="430"/>
      <c r="MDL381" s="717"/>
      <c r="MDM381" s="774"/>
      <c r="MDN381" s="774"/>
      <c r="MDO381" s="422"/>
      <c r="MDP381" s="775"/>
      <c r="MDQ381" s="774"/>
      <c r="MDR381" s="776"/>
      <c r="MDS381" s="430"/>
      <c r="MDT381" s="717"/>
      <c r="MDU381" s="774"/>
      <c r="MDV381" s="774"/>
      <c r="MDW381" s="422"/>
      <c r="MDX381" s="775"/>
      <c r="MDY381" s="774"/>
      <c r="MDZ381" s="776"/>
      <c r="MEA381" s="430"/>
      <c r="MEB381" s="717"/>
      <c r="MEC381" s="774"/>
      <c r="MED381" s="774"/>
      <c r="MEE381" s="422"/>
      <c r="MEF381" s="775"/>
      <c r="MEG381" s="774"/>
      <c r="MEH381" s="776"/>
      <c r="MEI381" s="430"/>
      <c r="MEJ381" s="717"/>
      <c r="MEK381" s="774"/>
      <c r="MEL381" s="774"/>
      <c r="MEM381" s="422"/>
      <c r="MEN381" s="775"/>
      <c r="MEO381" s="774"/>
      <c r="MEP381" s="776"/>
      <c r="MEQ381" s="430"/>
      <c r="MER381" s="717"/>
      <c r="MES381" s="774"/>
      <c r="MET381" s="774"/>
      <c r="MEU381" s="422"/>
      <c r="MEV381" s="775"/>
      <c r="MEW381" s="774"/>
      <c r="MEX381" s="776"/>
      <c r="MEY381" s="430"/>
      <c r="MEZ381" s="717"/>
      <c r="MFA381" s="774"/>
      <c r="MFB381" s="774"/>
      <c r="MFC381" s="422"/>
      <c r="MFD381" s="775"/>
      <c r="MFE381" s="774"/>
      <c r="MFF381" s="776"/>
      <c r="MFG381" s="430"/>
      <c r="MFH381" s="717"/>
      <c r="MFI381" s="774"/>
      <c r="MFJ381" s="774"/>
      <c r="MFK381" s="422"/>
      <c r="MFL381" s="775"/>
      <c r="MFM381" s="774"/>
      <c r="MFN381" s="776"/>
      <c r="MFO381" s="430"/>
      <c r="MFP381" s="717"/>
      <c r="MFQ381" s="774"/>
      <c r="MFR381" s="774"/>
      <c r="MFS381" s="422"/>
      <c r="MFT381" s="775"/>
      <c r="MFU381" s="774"/>
      <c r="MFV381" s="776"/>
      <c r="MFW381" s="430"/>
      <c r="MFX381" s="717"/>
      <c r="MFY381" s="774"/>
      <c r="MFZ381" s="774"/>
      <c r="MGA381" s="422"/>
      <c r="MGB381" s="775"/>
      <c r="MGC381" s="774"/>
      <c r="MGD381" s="776"/>
      <c r="MGE381" s="430"/>
      <c r="MGF381" s="717"/>
      <c r="MGG381" s="774"/>
      <c r="MGH381" s="774"/>
      <c r="MGI381" s="422"/>
      <c r="MGJ381" s="775"/>
      <c r="MGK381" s="774"/>
      <c r="MGL381" s="776"/>
      <c r="MGM381" s="430"/>
      <c r="MGN381" s="717"/>
      <c r="MGO381" s="774"/>
      <c r="MGP381" s="774"/>
      <c r="MGQ381" s="422"/>
      <c r="MGR381" s="775"/>
      <c r="MGS381" s="774"/>
      <c r="MGT381" s="776"/>
      <c r="MGU381" s="430"/>
      <c r="MGV381" s="717"/>
      <c r="MGW381" s="774"/>
      <c r="MGX381" s="774"/>
      <c r="MGY381" s="422"/>
      <c r="MGZ381" s="775"/>
      <c r="MHA381" s="774"/>
      <c r="MHB381" s="776"/>
      <c r="MHC381" s="430"/>
      <c r="MHD381" s="717"/>
      <c r="MHE381" s="774"/>
      <c r="MHF381" s="774"/>
      <c r="MHG381" s="422"/>
      <c r="MHH381" s="775"/>
      <c r="MHI381" s="774"/>
      <c r="MHJ381" s="776"/>
      <c r="MHK381" s="430"/>
      <c r="MHL381" s="717"/>
      <c r="MHM381" s="774"/>
      <c r="MHN381" s="774"/>
      <c r="MHO381" s="422"/>
      <c r="MHP381" s="775"/>
      <c r="MHQ381" s="774"/>
      <c r="MHR381" s="776"/>
      <c r="MHS381" s="430"/>
      <c r="MHT381" s="717"/>
      <c r="MHU381" s="774"/>
      <c r="MHV381" s="774"/>
      <c r="MHW381" s="422"/>
      <c r="MHX381" s="775"/>
      <c r="MHY381" s="774"/>
      <c r="MHZ381" s="776"/>
      <c r="MIA381" s="430"/>
      <c r="MIB381" s="717"/>
      <c r="MIC381" s="774"/>
      <c r="MID381" s="774"/>
      <c r="MIE381" s="422"/>
      <c r="MIF381" s="775"/>
      <c r="MIG381" s="774"/>
      <c r="MIH381" s="776"/>
      <c r="MII381" s="430"/>
      <c r="MIJ381" s="717"/>
      <c r="MIK381" s="774"/>
      <c r="MIL381" s="774"/>
      <c r="MIM381" s="422"/>
      <c r="MIN381" s="775"/>
      <c r="MIO381" s="774"/>
      <c r="MIP381" s="776"/>
      <c r="MIQ381" s="430"/>
      <c r="MIR381" s="717"/>
      <c r="MIS381" s="774"/>
      <c r="MIT381" s="774"/>
      <c r="MIU381" s="422"/>
      <c r="MIV381" s="775"/>
      <c r="MIW381" s="774"/>
      <c r="MIX381" s="776"/>
      <c r="MIY381" s="430"/>
      <c r="MIZ381" s="717"/>
      <c r="MJA381" s="774"/>
      <c r="MJB381" s="774"/>
      <c r="MJC381" s="422"/>
      <c r="MJD381" s="775"/>
      <c r="MJE381" s="774"/>
      <c r="MJF381" s="776"/>
      <c r="MJG381" s="430"/>
      <c r="MJH381" s="717"/>
      <c r="MJI381" s="774"/>
      <c r="MJJ381" s="774"/>
      <c r="MJK381" s="422"/>
      <c r="MJL381" s="775"/>
      <c r="MJM381" s="774"/>
      <c r="MJN381" s="776"/>
      <c r="MJO381" s="430"/>
      <c r="MJP381" s="717"/>
      <c r="MJQ381" s="774"/>
      <c r="MJR381" s="774"/>
      <c r="MJS381" s="422"/>
      <c r="MJT381" s="775"/>
      <c r="MJU381" s="774"/>
      <c r="MJV381" s="776"/>
      <c r="MJW381" s="430"/>
      <c r="MJX381" s="717"/>
      <c r="MJY381" s="774"/>
      <c r="MJZ381" s="774"/>
      <c r="MKA381" s="422"/>
      <c r="MKB381" s="775"/>
      <c r="MKC381" s="774"/>
      <c r="MKD381" s="776"/>
      <c r="MKE381" s="430"/>
      <c r="MKF381" s="717"/>
      <c r="MKG381" s="774"/>
      <c r="MKH381" s="774"/>
      <c r="MKI381" s="422"/>
      <c r="MKJ381" s="775"/>
      <c r="MKK381" s="774"/>
      <c r="MKL381" s="776"/>
      <c r="MKM381" s="430"/>
      <c r="MKN381" s="717"/>
      <c r="MKO381" s="774"/>
      <c r="MKP381" s="774"/>
      <c r="MKQ381" s="422"/>
      <c r="MKR381" s="775"/>
      <c r="MKS381" s="774"/>
      <c r="MKT381" s="776"/>
      <c r="MKU381" s="430"/>
      <c r="MKV381" s="717"/>
      <c r="MKW381" s="774"/>
      <c r="MKX381" s="774"/>
      <c r="MKY381" s="422"/>
      <c r="MKZ381" s="775"/>
      <c r="MLA381" s="774"/>
      <c r="MLB381" s="776"/>
      <c r="MLC381" s="430"/>
      <c r="MLD381" s="717"/>
      <c r="MLE381" s="774"/>
      <c r="MLF381" s="774"/>
      <c r="MLG381" s="422"/>
      <c r="MLH381" s="775"/>
      <c r="MLI381" s="774"/>
      <c r="MLJ381" s="776"/>
      <c r="MLK381" s="430"/>
      <c r="MLL381" s="717"/>
      <c r="MLM381" s="774"/>
      <c r="MLN381" s="774"/>
      <c r="MLO381" s="422"/>
      <c r="MLP381" s="775"/>
      <c r="MLQ381" s="774"/>
      <c r="MLR381" s="776"/>
      <c r="MLS381" s="430"/>
      <c r="MLT381" s="717"/>
      <c r="MLU381" s="774"/>
      <c r="MLV381" s="774"/>
      <c r="MLW381" s="422"/>
      <c r="MLX381" s="775"/>
      <c r="MLY381" s="774"/>
      <c r="MLZ381" s="776"/>
      <c r="MMA381" s="430"/>
      <c r="MMB381" s="717"/>
      <c r="MMC381" s="774"/>
      <c r="MMD381" s="774"/>
      <c r="MME381" s="422"/>
      <c r="MMF381" s="775"/>
      <c r="MMG381" s="774"/>
      <c r="MMH381" s="776"/>
      <c r="MMI381" s="430"/>
      <c r="MMJ381" s="717"/>
      <c r="MMK381" s="774"/>
      <c r="MML381" s="774"/>
      <c r="MMM381" s="422"/>
      <c r="MMN381" s="775"/>
      <c r="MMO381" s="774"/>
      <c r="MMP381" s="776"/>
      <c r="MMQ381" s="430"/>
      <c r="MMR381" s="717"/>
      <c r="MMS381" s="774"/>
      <c r="MMT381" s="774"/>
      <c r="MMU381" s="422"/>
      <c r="MMV381" s="775"/>
      <c r="MMW381" s="774"/>
      <c r="MMX381" s="776"/>
      <c r="MMY381" s="430"/>
      <c r="MMZ381" s="717"/>
      <c r="MNA381" s="774"/>
      <c r="MNB381" s="774"/>
      <c r="MNC381" s="422"/>
      <c r="MND381" s="775"/>
      <c r="MNE381" s="774"/>
      <c r="MNF381" s="776"/>
      <c r="MNG381" s="430"/>
      <c r="MNH381" s="717"/>
      <c r="MNI381" s="774"/>
      <c r="MNJ381" s="774"/>
      <c r="MNK381" s="422"/>
      <c r="MNL381" s="775"/>
      <c r="MNM381" s="774"/>
      <c r="MNN381" s="776"/>
      <c r="MNO381" s="430"/>
      <c r="MNP381" s="717"/>
      <c r="MNQ381" s="774"/>
      <c r="MNR381" s="774"/>
      <c r="MNS381" s="422"/>
      <c r="MNT381" s="775"/>
      <c r="MNU381" s="774"/>
      <c r="MNV381" s="776"/>
      <c r="MNW381" s="430"/>
      <c r="MNX381" s="717"/>
      <c r="MNY381" s="774"/>
      <c r="MNZ381" s="774"/>
      <c r="MOA381" s="422"/>
      <c r="MOB381" s="775"/>
      <c r="MOC381" s="774"/>
      <c r="MOD381" s="776"/>
      <c r="MOE381" s="430"/>
      <c r="MOF381" s="717"/>
      <c r="MOG381" s="774"/>
      <c r="MOH381" s="774"/>
      <c r="MOI381" s="422"/>
      <c r="MOJ381" s="775"/>
      <c r="MOK381" s="774"/>
      <c r="MOL381" s="776"/>
      <c r="MOM381" s="430"/>
      <c r="MON381" s="717"/>
      <c r="MOO381" s="774"/>
      <c r="MOP381" s="774"/>
      <c r="MOQ381" s="422"/>
      <c r="MOR381" s="775"/>
      <c r="MOS381" s="774"/>
      <c r="MOT381" s="776"/>
      <c r="MOU381" s="430"/>
      <c r="MOV381" s="717"/>
      <c r="MOW381" s="774"/>
      <c r="MOX381" s="774"/>
      <c r="MOY381" s="422"/>
      <c r="MOZ381" s="775"/>
      <c r="MPA381" s="774"/>
      <c r="MPB381" s="776"/>
      <c r="MPC381" s="430"/>
      <c r="MPD381" s="717"/>
      <c r="MPE381" s="774"/>
      <c r="MPF381" s="774"/>
      <c r="MPG381" s="422"/>
      <c r="MPH381" s="775"/>
      <c r="MPI381" s="774"/>
      <c r="MPJ381" s="776"/>
      <c r="MPK381" s="430"/>
      <c r="MPL381" s="717"/>
      <c r="MPM381" s="774"/>
      <c r="MPN381" s="774"/>
      <c r="MPO381" s="422"/>
      <c r="MPP381" s="775"/>
      <c r="MPQ381" s="774"/>
      <c r="MPR381" s="776"/>
      <c r="MPS381" s="430"/>
      <c r="MPT381" s="717"/>
      <c r="MPU381" s="774"/>
      <c r="MPV381" s="774"/>
      <c r="MPW381" s="422"/>
      <c r="MPX381" s="775"/>
      <c r="MPY381" s="774"/>
      <c r="MPZ381" s="776"/>
      <c r="MQA381" s="430"/>
      <c r="MQB381" s="717"/>
      <c r="MQC381" s="774"/>
      <c r="MQD381" s="774"/>
      <c r="MQE381" s="422"/>
      <c r="MQF381" s="775"/>
      <c r="MQG381" s="774"/>
      <c r="MQH381" s="776"/>
      <c r="MQI381" s="430"/>
      <c r="MQJ381" s="717"/>
      <c r="MQK381" s="774"/>
      <c r="MQL381" s="774"/>
      <c r="MQM381" s="422"/>
      <c r="MQN381" s="775"/>
      <c r="MQO381" s="774"/>
      <c r="MQP381" s="776"/>
      <c r="MQQ381" s="430"/>
      <c r="MQR381" s="717"/>
      <c r="MQS381" s="774"/>
      <c r="MQT381" s="774"/>
      <c r="MQU381" s="422"/>
      <c r="MQV381" s="775"/>
      <c r="MQW381" s="774"/>
      <c r="MQX381" s="776"/>
      <c r="MQY381" s="430"/>
      <c r="MQZ381" s="717"/>
      <c r="MRA381" s="774"/>
      <c r="MRB381" s="774"/>
      <c r="MRC381" s="422"/>
      <c r="MRD381" s="775"/>
      <c r="MRE381" s="774"/>
      <c r="MRF381" s="776"/>
      <c r="MRG381" s="430"/>
      <c r="MRH381" s="717"/>
      <c r="MRI381" s="774"/>
      <c r="MRJ381" s="774"/>
      <c r="MRK381" s="422"/>
      <c r="MRL381" s="775"/>
      <c r="MRM381" s="774"/>
      <c r="MRN381" s="776"/>
      <c r="MRO381" s="430"/>
      <c r="MRP381" s="717"/>
      <c r="MRQ381" s="774"/>
      <c r="MRR381" s="774"/>
      <c r="MRS381" s="422"/>
      <c r="MRT381" s="775"/>
      <c r="MRU381" s="774"/>
      <c r="MRV381" s="776"/>
      <c r="MRW381" s="430"/>
      <c r="MRX381" s="717"/>
      <c r="MRY381" s="774"/>
      <c r="MRZ381" s="774"/>
      <c r="MSA381" s="422"/>
      <c r="MSB381" s="775"/>
      <c r="MSC381" s="774"/>
      <c r="MSD381" s="776"/>
      <c r="MSE381" s="430"/>
      <c r="MSF381" s="717"/>
      <c r="MSG381" s="774"/>
      <c r="MSH381" s="774"/>
      <c r="MSI381" s="422"/>
      <c r="MSJ381" s="775"/>
      <c r="MSK381" s="774"/>
      <c r="MSL381" s="776"/>
      <c r="MSM381" s="430"/>
      <c r="MSN381" s="717"/>
      <c r="MSO381" s="774"/>
      <c r="MSP381" s="774"/>
      <c r="MSQ381" s="422"/>
      <c r="MSR381" s="775"/>
      <c r="MSS381" s="774"/>
      <c r="MST381" s="776"/>
      <c r="MSU381" s="430"/>
      <c r="MSV381" s="717"/>
      <c r="MSW381" s="774"/>
      <c r="MSX381" s="774"/>
      <c r="MSY381" s="422"/>
      <c r="MSZ381" s="775"/>
      <c r="MTA381" s="774"/>
      <c r="MTB381" s="776"/>
      <c r="MTC381" s="430"/>
      <c r="MTD381" s="717"/>
      <c r="MTE381" s="774"/>
      <c r="MTF381" s="774"/>
      <c r="MTG381" s="422"/>
      <c r="MTH381" s="775"/>
      <c r="MTI381" s="774"/>
      <c r="MTJ381" s="776"/>
      <c r="MTK381" s="430"/>
      <c r="MTL381" s="717"/>
      <c r="MTM381" s="774"/>
      <c r="MTN381" s="774"/>
      <c r="MTO381" s="422"/>
      <c r="MTP381" s="775"/>
      <c r="MTQ381" s="774"/>
      <c r="MTR381" s="776"/>
      <c r="MTS381" s="430"/>
      <c r="MTT381" s="717"/>
      <c r="MTU381" s="774"/>
      <c r="MTV381" s="774"/>
      <c r="MTW381" s="422"/>
      <c r="MTX381" s="775"/>
      <c r="MTY381" s="774"/>
      <c r="MTZ381" s="776"/>
      <c r="MUA381" s="430"/>
      <c r="MUB381" s="717"/>
      <c r="MUC381" s="774"/>
      <c r="MUD381" s="774"/>
      <c r="MUE381" s="422"/>
      <c r="MUF381" s="775"/>
      <c r="MUG381" s="774"/>
      <c r="MUH381" s="776"/>
      <c r="MUI381" s="430"/>
      <c r="MUJ381" s="717"/>
      <c r="MUK381" s="774"/>
      <c r="MUL381" s="774"/>
      <c r="MUM381" s="422"/>
      <c r="MUN381" s="775"/>
      <c r="MUO381" s="774"/>
      <c r="MUP381" s="776"/>
      <c r="MUQ381" s="430"/>
      <c r="MUR381" s="717"/>
      <c r="MUS381" s="774"/>
      <c r="MUT381" s="774"/>
      <c r="MUU381" s="422"/>
      <c r="MUV381" s="775"/>
      <c r="MUW381" s="774"/>
      <c r="MUX381" s="776"/>
      <c r="MUY381" s="430"/>
      <c r="MUZ381" s="717"/>
      <c r="MVA381" s="774"/>
      <c r="MVB381" s="774"/>
      <c r="MVC381" s="422"/>
      <c r="MVD381" s="775"/>
      <c r="MVE381" s="774"/>
      <c r="MVF381" s="776"/>
      <c r="MVG381" s="430"/>
      <c r="MVH381" s="717"/>
      <c r="MVI381" s="774"/>
      <c r="MVJ381" s="774"/>
      <c r="MVK381" s="422"/>
      <c r="MVL381" s="775"/>
      <c r="MVM381" s="774"/>
      <c r="MVN381" s="776"/>
      <c r="MVO381" s="430"/>
      <c r="MVP381" s="717"/>
      <c r="MVQ381" s="774"/>
      <c r="MVR381" s="774"/>
      <c r="MVS381" s="422"/>
      <c r="MVT381" s="775"/>
      <c r="MVU381" s="774"/>
      <c r="MVV381" s="776"/>
      <c r="MVW381" s="430"/>
      <c r="MVX381" s="717"/>
      <c r="MVY381" s="774"/>
      <c r="MVZ381" s="774"/>
      <c r="MWA381" s="422"/>
      <c r="MWB381" s="775"/>
      <c r="MWC381" s="774"/>
      <c r="MWD381" s="776"/>
      <c r="MWE381" s="430"/>
      <c r="MWF381" s="717"/>
      <c r="MWG381" s="774"/>
      <c r="MWH381" s="774"/>
      <c r="MWI381" s="422"/>
      <c r="MWJ381" s="775"/>
      <c r="MWK381" s="774"/>
      <c r="MWL381" s="776"/>
      <c r="MWM381" s="430"/>
      <c r="MWN381" s="717"/>
      <c r="MWO381" s="774"/>
      <c r="MWP381" s="774"/>
      <c r="MWQ381" s="422"/>
      <c r="MWR381" s="775"/>
      <c r="MWS381" s="774"/>
      <c r="MWT381" s="776"/>
      <c r="MWU381" s="430"/>
      <c r="MWV381" s="717"/>
      <c r="MWW381" s="774"/>
      <c r="MWX381" s="774"/>
      <c r="MWY381" s="422"/>
      <c r="MWZ381" s="775"/>
      <c r="MXA381" s="774"/>
      <c r="MXB381" s="776"/>
      <c r="MXC381" s="430"/>
      <c r="MXD381" s="717"/>
      <c r="MXE381" s="774"/>
      <c r="MXF381" s="774"/>
      <c r="MXG381" s="422"/>
      <c r="MXH381" s="775"/>
      <c r="MXI381" s="774"/>
      <c r="MXJ381" s="776"/>
      <c r="MXK381" s="430"/>
      <c r="MXL381" s="717"/>
      <c r="MXM381" s="774"/>
      <c r="MXN381" s="774"/>
      <c r="MXO381" s="422"/>
      <c r="MXP381" s="775"/>
      <c r="MXQ381" s="774"/>
      <c r="MXR381" s="776"/>
      <c r="MXS381" s="430"/>
      <c r="MXT381" s="717"/>
      <c r="MXU381" s="774"/>
      <c r="MXV381" s="774"/>
      <c r="MXW381" s="422"/>
      <c r="MXX381" s="775"/>
      <c r="MXY381" s="774"/>
      <c r="MXZ381" s="776"/>
      <c r="MYA381" s="430"/>
      <c r="MYB381" s="717"/>
      <c r="MYC381" s="774"/>
      <c r="MYD381" s="774"/>
      <c r="MYE381" s="422"/>
      <c r="MYF381" s="775"/>
      <c r="MYG381" s="774"/>
      <c r="MYH381" s="776"/>
      <c r="MYI381" s="430"/>
      <c r="MYJ381" s="717"/>
      <c r="MYK381" s="774"/>
      <c r="MYL381" s="774"/>
      <c r="MYM381" s="422"/>
      <c r="MYN381" s="775"/>
      <c r="MYO381" s="774"/>
      <c r="MYP381" s="776"/>
      <c r="MYQ381" s="430"/>
      <c r="MYR381" s="717"/>
      <c r="MYS381" s="774"/>
      <c r="MYT381" s="774"/>
      <c r="MYU381" s="422"/>
      <c r="MYV381" s="775"/>
      <c r="MYW381" s="774"/>
      <c r="MYX381" s="776"/>
      <c r="MYY381" s="430"/>
      <c r="MYZ381" s="717"/>
      <c r="MZA381" s="774"/>
      <c r="MZB381" s="774"/>
      <c r="MZC381" s="422"/>
      <c r="MZD381" s="775"/>
      <c r="MZE381" s="774"/>
      <c r="MZF381" s="776"/>
      <c r="MZG381" s="430"/>
      <c r="MZH381" s="717"/>
      <c r="MZI381" s="774"/>
      <c r="MZJ381" s="774"/>
      <c r="MZK381" s="422"/>
      <c r="MZL381" s="775"/>
      <c r="MZM381" s="774"/>
      <c r="MZN381" s="776"/>
      <c r="MZO381" s="430"/>
      <c r="MZP381" s="717"/>
      <c r="MZQ381" s="774"/>
      <c r="MZR381" s="774"/>
      <c r="MZS381" s="422"/>
      <c r="MZT381" s="775"/>
      <c r="MZU381" s="774"/>
      <c r="MZV381" s="776"/>
      <c r="MZW381" s="430"/>
      <c r="MZX381" s="717"/>
      <c r="MZY381" s="774"/>
      <c r="MZZ381" s="774"/>
      <c r="NAA381" s="422"/>
      <c r="NAB381" s="775"/>
      <c r="NAC381" s="774"/>
      <c r="NAD381" s="776"/>
      <c r="NAE381" s="430"/>
      <c r="NAF381" s="717"/>
      <c r="NAG381" s="774"/>
      <c r="NAH381" s="774"/>
      <c r="NAI381" s="422"/>
      <c r="NAJ381" s="775"/>
      <c r="NAK381" s="774"/>
      <c r="NAL381" s="776"/>
      <c r="NAM381" s="430"/>
      <c r="NAN381" s="717"/>
      <c r="NAO381" s="774"/>
      <c r="NAP381" s="774"/>
      <c r="NAQ381" s="422"/>
      <c r="NAR381" s="775"/>
      <c r="NAS381" s="774"/>
      <c r="NAT381" s="776"/>
      <c r="NAU381" s="430"/>
      <c r="NAV381" s="717"/>
      <c r="NAW381" s="774"/>
      <c r="NAX381" s="774"/>
      <c r="NAY381" s="422"/>
      <c r="NAZ381" s="775"/>
      <c r="NBA381" s="774"/>
      <c r="NBB381" s="776"/>
      <c r="NBC381" s="430"/>
      <c r="NBD381" s="717"/>
      <c r="NBE381" s="774"/>
      <c r="NBF381" s="774"/>
      <c r="NBG381" s="422"/>
      <c r="NBH381" s="775"/>
      <c r="NBI381" s="774"/>
      <c r="NBJ381" s="776"/>
      <c r="NBK381" s="430"/>
      <c r="NBL381" s="717"/>
      <c r="NBM381" s="774"/>
      <c r="NBN381" s="774"/>
      <c r="NBO381" s="422"/>
      <c r="NBP381" s="775"/>
      <c r="NBQ381" s="774"/>
      <c r="NBR381" s="776"/>
      <c r="NBS381" s="430"/>
      <c r="NBT381" s="717"/>
      <c r="NBU381" s="774"/>
      <c r="NBV381" s="774"/>
      <c r="NBW381" s="422"/>
      <c r="NBX381" s="775"/>
      <c r="NBY381" s="774"/>
      <c r="NBZ381" s="776"/>
      <c r="NCA381" s="430"/>
      <c r="NCB381" s="717"/>
      <c r="NCC381" s="774"/>
      <c r="NCD381" s="774"/>
      <c r="NCE381" s="422"/>
      <c r="NCF381" s="775"/>
      <c r="NCG381" s="774"/>
      <c r="NCH381" s="776"/>
      <c r="NCI381" s="430"/>
      <c r="NCJ381" s="717"/>
      <c r="NCK381" s="774"/>
      <c r="NCL381" s="774"/>
      <c r="NCM381" s="422"/>
      <c r="NCN381" s="775"/>
      <c r="NCO381" s="774"/>
      <c r="NCP381" s="776"/>
      <c r="NCQ381" s="430"/>
      <c r="NCR381" s="717"/>
      <c r="NCS381" s="774"/>
      <c r="NCT381" s="774"/>
      <c r="NCU381" s="422"/>
      <c r="NCV381" s="775"/>
      <c r="NCW381" s="774"/>
      <c r="NCX381" s="776"/>
      <c r="NCY381" s="430"/>
      <c r="NCZ381" s="717"/>
      <c r="NDA381" s="774"/>
      <c r="NDB381" s="774"/>
      <c r="NDC381" s="422"/>
      <c r="NDD381" s="775"/>
      <c r="NDE381" s="774"/>
      <c r="NDF381" s="776"/>
      <c r="NDG381" s="430"/>
      <c r="NDH381" s="717"/>
      <c r="NDI381" s="774"/>
      <c r="NDJ381" s="774"/>
      <c r="NDK381" s="422"/>
      <c r="NDL381" s="775"/>
      <c r="NDM381" s="774"/>
      <c r="NDN381" s="776"/>
      <c r="NDO381" s="430"/>
      <c r="NDP381" s="717"/>
      <c r="NDQ381" s="774"/>
      <c r="NDR381" s="774"/>
      <c r="NDS381" s="422"/>
      <c r="NDT381" s="775"/>
      <c r="NDU381" s="774"/>
      <c r="NDV381" s="776"/>
      <c r="NDW381" s="430"/>
      <c r="NDX381" s="717"/>
      <c r="NDY381" s="774"/>
      <c r="NDZ381" s="774"/>
      <c r="NEA381" s="422"/>
      <c r="NEB381" s="775"/>
      <c r="NEC381" s="774"/>
      <c r="NED381" s="776"/>
      <c r="NEE381" s="430"/>
      <c r="NEF381" s="717"/>
      <c r="NEG381" s="774"/>
      <c r="NEH381" s="774"/>
      <c r="NEI381" s="422"/>
      <c r="NEJ381" s="775"/>
      <c r="NEK381" s="774"/>
      <c r="NEL381" s="776"/>
      <c r="NEM381" s="430"/>
      <c r="NEN381" s="717"/>
      <c r="NEO381" s="774"/>
      <c r="NEP381" s="774"/>
      <c r="NEQ381" s="422"/>
      <c r="NER381" s="775"/>
      <c r="NES381" s="774"/>
      <c r="NET381" s="776"/>
      <c r="NEU381" s="430"/>
      <c r="NEV381" s="717"/>
      <c r="NEW381" s="774"/>
      <c r="NEX381" s="774"/>
      <c r="NEY381" s="422"/>
      <c r="NEZ381" s="775"/>
      <c r="NFA381" s="774"/>
      <c r="NFB381" s="776"/>
      <c r="NFC381" s="430"/>
      <c r="NFD381" s="717"/>
      <c r="NFE381" s="774"/>
      <c r="NFF381" s="774"/>
      <c r="NFG381" s="422"/>
      <c r="NFH381" s="775"/>
      <c r="NFI381" s="774"/>
      <c r="NFJ381" s="776"/>
      <c r="NFK381" s="430"/>
      <c r="NFL381" s="717"/>
      <c r="NFM381" s="774"/>
      <c r="NFN381" s="774"/>
      <c r="NFO381" s="422"/>
      <c r="NFP381" s="775"/>
      <c r="NFQ381" s="774"/>
      <c r="NFR381" s="776"/>
      <c r="NFS381" s="430"/>
      <c r="NFT381" s="717"/>
      <c r="NFU381" s="774"/>
      <c r="NFV381" s="774"/>
      <c r="NFW381" s="422"/>
      <c r="NFX381" s="775"/>
      <c r="NFY381" s="774"/>
      <c r="NFZ381" s="776"/>
      <c r="NGA381" s="430"/>
      <c r="NGB381" s="717"/>
      <c r="NGC381" s="774"/>
      <c r="NGD381" s="774"/>
      <c r="NGE381" s="422"/>
      <c r="NGF381" s="775"/>
      <c r="NGG381" s="774"/>
      <c r="NGH381" s="776"/>
      <c r="NGI381" s="430"/>
      <c r="NGJ381" s="717"/>
      <c r="NGK381" s="774"/>
      <c r="NGL381" s="774"/>
      <c r="NGM381" s="422"/>
      <c r="NGN381" s="775"/>
      <c r="NGO381" s="774"/>
      <c r="NGP381" s="776"/>
      <c r="NGQ381" s="430"/>
      <c r="NGR381" s="717"/>
      <c r="NGS381" s="774"/>
      <c r="NGT381" s="774"/>
      <c r="NGU381" s="422"/>
      <c r="NGV381" s="775"/>
      <c r="NGW381" s="774"/>
      <c r="NGX381" s="776"/>
      <c r="NGY381" s="430"/>
      <c r="NGZ381" s="717"/>
      <c r="NHA381" s="774"/>
      <c r="NHB381" s="774"/>
      <c r="NHC381" s="422"/>
      <c r="NHD381" s="775"/>
      <c r="NHE381" s="774"/>
      <c r="NHF381" s="776"/>
      <c r="NHG381" s="430"/>
      <c r="NHH381" s="717"/>
      <c r="NHI381" s="774"/>
      <c r="NHJ381" s="774"/>
      <c r="NHK381" s="422"/>
      <c r="NHL381" s="775"/>
      <c r="NHM381" s="774"/>
      <c r="NHN381" s="776"/>
      <c r="NHO381" s="430"/>
      <c r="NHP381" s="717"/>
      <c r="NHQ381" s="774"/>
      <c r="NHR381" s="774"/>
      <c r="NHS381" s="422"/>
      <c r="NHT381" s="775"/>
      <c r="NHU381" s="774"/>
      <c r="NHV381" s="776"/>
      <c r="NHW381" s="430"/>
      <c r="NHX381" s="717"/>
      <c r="NHY381" s="774"/>
      <c r="NHZ381" s="774"/>
      <c r="NIA381" s="422"/>
      <c r="NIB381" s="775"/>
      <c r="NIC381" s="774"/>
      <c r="NID381" s="776"/>
      <c r="NIE381" s="430"/>
      <c r="NIF381" s="717"/>
      <c r="NIG381" s="774"/>
      <c r="NIH381" s="774"/>
      <c r="NII381" s="422"/>
      <c r="NIJ381" s="775"/>
      <c r="NIK381" s="774"/>
      <c r="NIL381" s="776"/>
      <c r="NIM381" s="430"/>
      <c r="NIN381" s="717"/>
      <c r="NIO381" s="774"/>
      <c r="NIP381" s="774"/>
      <c r="NIQ381" s="422"/>
      <c r="NIR381" s="775"/>
      <c r="NIS381" s="774"/>
      <c r="NIT381" s="776"/>
      <c r="NIU381" s="430"/>
      <c r="NIV381" s="717"/>
      <c r="NIW381" s="774"/>
      <c r="NIX381" s="774"/>
      <c r="NIY381" s="422"/>
      <c r="NIZ381" s="775"/>
      <c r="NJA381" s="774"/>
      <c r="NJB381" s="776"/>
      <c r="NJC381" s="430"/>
      <c r="NJD381" s="717"/>
      <c r="NJE381" s="774"/>
      <c r="NJF381" s="774"/>
      <c r="NJG381" s="422"/>
      <c r="NJH381" s="775"/>
      <c r="NJI381" s="774"/>
      <c r="NJJ381" s="776"/>
      <c r="NJK381" s="430"/>
      <c r="NJL381" s="717"/>
      <c r="NJM381" s="774"/>
      <c r="NJN381" s="774"/>
      <c r="NJO381" s="422"/>
      <c r="NJP381" s="775"/>
      <c r="NJQ381" s="774"/>
      <c r="NJR381" s="776"/>
      <c r="NJS381" s="430"/>
      <c r="NJT381" s="717"/>
      <c r="NJU381" s="774"/>
      <c r="NJV381" s="774"/>
      <c r="NJW381" s="422"/>
      <c r="NJX381" s="775"/>
      <c r="NJY381" s="774"/>
      <c r="NJZ381" s="776"/>
      <c r="NKA381" s="430"/>
      <c r="NKB381" s="717"/>
      <c r="NKC381" s="774"/>
      <c r="NKD381" s="774"/>
      <c r="NKE381" s="422"/>
      <c r="NKF381" s="775"/>
      <c r="NKG381" s="774"/>
      <c r="NKH381" s="776"/>
      <c r="NKI381" s="430"/>
      <c r="NKJ381" s="717"/>
      <c r="NKK381" s="774"/>
      <c r="NKL381" s="774"/>
      <c r="NKM381" s="422"/>
      <c r="NKN381" s="775"/>
      <c r="NKO381" s="774"/>
      <c r="NKP381" s="776"/>
      <c r="NKQ381" s="430"/>
      <c r="NKR381" s="717"/>
      <c r="NKS381" s="774"/>
      <c r="NKT381" s="774"/>
      <c r="NKU381" s="422"/>
      <c r="NKV381" s="775"/>
      <c r="NKW381" s="774"/>
      <c r="NKX381" s="776"/>
      <c r="NKY381" s="430"/>
      <c r="NKZ381" s="717"/>
      <c r="NLA381" s="774"/>
      <c r="NLB381" s="774"/>
      <c r="NLC381" s="422"/>
      <c r="NLD381" s="775"/>
      <c r="NLE381" s="774"/>
      <c r="NLF381" s="776"/>
      <c r="NLG381" s="430"/>
      <c r="NLH381" s="717"/>
      <c r="NLI381" s="774"/>
      <c r="NLJ381" s="774"/>
      <c r="NLK381" s="422"/>
      <c r="NLL381" s="775"/>
      <c r="NLM381" s="774"/>
      <c r="NLN381" s="776"/>
      <c r="NLO381" s="430"/>
      <c r="NLP381" s="717"/>
      <c r="NLQ381" s="774"/>
      <c r="NLR381" s="774"/>
      <c r="NLS381" s="422"/>
      <c r="NLT381" s="775"/>
      <c r="NLU381" s="774"/>
      <c r="NLV381" s="776"/>
      <c r="NLW381" s="430"/>
      <c r="NLX381" s="717"/>
      <c r="NLY381" s="774"/>
      <c r="NLZ381" s="774"/>
      <c r="NMA381" s="422"/>
      <c r="NMB381" s="775"/>
      <c r="NMC381" s="774"/>
      <c r="NMD381" s="776"/>
      <c r="NME381" s="430"/>
      <c r="NMF381" s="717"/>
      <c r="NMG381" s="774"/>
      <c r="NMH381" s="774"/>
      <c r="NMI381" s="422"/>
      <c r="NMJ381" s="775"/>
      <c r="NMK381" s="774"/>
      <c r="NML381" s="776"/>
      <c r="NMM381" s="430"/>
      <c r="NMN381" s="717"/>
      <c r="NMO381" s="774"/>
      <c r="NMP381" s="774"/>
      <c r="NMQ381" s="422"/>
      <c r="NMR381" s="775"/>
      <c r="NMS381" s="774"/>
      <c r="NMT381" s="776"/>
      <c r="NMU381" s="430"/>
      <c r="NMV381" s="717"/>
      <c r="NMW381" s="774"/>
      <c r="NMX381" s="774"/>
      <c r="NMY381" s="422"/>
      <c r="NMZ381" s="775"/>
      <c r="NNA381" s="774"/>
      <c r="NNB381" s="776"/>
      <c r="NNC381" s="430"/>
      <c r="NND381" s="717"/>
      <c r="NNE381" s="774"/>
      <c r="NNF381" s="774"/>
      <c r="NNG381" s="422"/>
      <c r="NNH381" s="775"/>
      <c r="NNI381" s="774"/>
      <c r="NNJ381" s="776"/>
      <c r="NNK381" s="430"/>
      <c r="NNL381" s="717"/>
      <c r="NNM381" s="774"/>
      <c r="NNN381" s="774"/>
      <c r="NNO381" s="422"/>
      <c r="NNP381" s="775"/>
      <c r="NNQ381" s="774"/>
      <c r="NNR381" s="776"/>
      <c r="NNS381" s="430"/>
      <c r="NNT381" s="717"/>
      <c r="NNU381" s="774"/>
      <c r="NNV381" s="774"/>
      <c r="NNW381" s="422"/>
      <c r="NNX381" s="775"/>
      <c r="NNY381" s="774"/>
      <c r="NNZ381" s="776"/>
      <c r="NOA381" s="430"/>
      <c r="NOB381" s="717"/>
      <c r="NOC381" s="774"/>
      <c r="NOD381" s="774"/>
      <c r="NOE381" s="422"/>
      <c r="NOF381" s="775"/>
      <c r="NOG381" s="774"/>
      <c r="NOH381" s="776"/>
      <c r="NOI381" s="430"/>
      <c r="NOJ381" s="717"/>
      <c r="NOK381" s="774"/>
      <c r="NOL381" s="774"/>
      <c r="NOM381" s="422"/>
      <c r="NON381" s="775"/>
      <c r="NOO381" s="774"/>
      <c r="NOP381" s="776"/>
      <c r="NOQ381" s="430"/>
      <c r="NOR381" s="717"/>
      <c r="NOS381" s="774"/>
      <c r="NOT381" s="774"/>
      <c r="NOU381" s="422"/>
      <c r="NOV381" s="775"/>
      <c r="NOW381" s="774"/>
      <c r="NOX381" s="776"/>
      <c r="NOY381" s="430"/>
      <c r="NOZ381" s="717"/>
      <c r="NPA381" s="774"/>
      <c r="NPB381" s="774"/>
      <c r="NPC381" s="422"/>
      <c r="NPD381" s="775"/>
      <c r="NPE381" s="774"/>
      <c r="NPF381" s="776"/>
      <c r="NPG381" s="430"/>
      <c r="NPH381" s="717"/>
      <c r="NPI381" s="774"/>
      <c r="NPJ381" s="774"/>
      <c r="NPK381" s="422"/>
      <c r="NPL381" s="775"/>
      <c r="NPM381" s="774"/>
      <c r="NPN381" s="776"/>
      <c r="NPO381" s="430"/>
      <c r="NPP381" s="717"/>
      <c r="NPQ381" s="774"/>
      <c r="NPR381" s="774"/>
      <c r="NPS381" s="422"/>
      <c r="NPT381" s="775"/>
      <c r="NPU381" s="774"/>
      <c r="NPV381" s="776"/>
      <c r="NPW381" s="430"/>
      <c r="NPX381" s="717"/>
      <c r="NPY381" s="774"/>
      <c r="NPZ381" s="774"/>
      <c r="NQA381" s="422"/>
      <c r="NQB381" s="775"/>
      <c r="NQC381" s="774"/>
      <c r="NQD381" s="776"/>
      <c r="NQE381" s="430"/>
      <c r="NQF381" s="717"/>
      <c r="NQG381" s="774"/>
      <c r="NQH381" s="774"/>
      <c r="NQI381" s="422"/>
      <c r="NQJ381" s="775"/>
      <c r="NQK381" s="774"/>
      <c r="NQL381" s="776"/>
      <c r="NQM381" s="430"/>
      <c r="NQN381" s="717"/>
      <c r="NQO381" s="774"/>
      <c r="NQP381" s="774"/>
      <c r="NQQ381" s="422"/>
      <c r="NQR381" s="775"/>
      <c r="NQS381" s="774"/>
      <c r="NQT381" s="776"/>
      <c r="NQU381" s="430"/>
      <c r="NQV381" s="717"/>
      <c r="NQW381" s="774"/>
      <c r="NQX381" s="774"/>
      <c r="NQY381" s="422"/>
      <c r="NQZ381" s="775"/>
      <c r="NRA381" s="774"/>
      <c r="NRB381" s="776"/>
      <c r="NRC381" s="430"/>
      <c r="NRD381" s="717"/>
      <c r="NRE381" s="774"/>
      <c r="NRF381" s="774"/>
      <c r="NRG381" s="422"/>
      <c r="NRH381" s="775"/>
      <c r="NRI381" s="774"/>
      <c r="NRJ381" s="776"/>
      <c r="NRK381" s="430"/>
      <c r="NRL381" s="717"/>
      <c r="NRM381" s="774"/>
      <c r="NRN381" s="774"/>
      <c r="NRO381" s="422"/>
      <c r="NRP381" s="775"/>
      <c r="NRQ381" s="774"/>
      <c r="NRR381" s="776"/>
      <c r="NRS381" s="430"/>
      <c r="NRT381" s="717"/>
      <c r="NRU381" s="774"/>
      <c r="NRV381" s="774"/>
      <c r="NRW381" s="422"/>
      <c r="NRX381" s="775"/>
      <c r="NRY381" s="774"/>
      <c r="NRZ381" s="776"/>
      <c r="NSA381" s="430"/>
      <c r="NSB381" s="717"/>
      <c r="NSC381" s="774"/>
      <c r="NSD381" s="774"/>
      <c r="NSE381" s="422"/>
      <c r="NSF381" s="775"/>
      <c r="NSG381" s="774"/>
      <c r="NSH381" s="776"/>
      <c r="NSI381" s="430"/>
      <c r="NSJ381" s="717"/>
      <c r="NSK381" s="774"/>
      <c r="NSL381" s="774"/>
      <c r="NSM381" s="422"/>
      <c r="NSN381" s="775"/>
      <c r="NSO381" s="774"/>
      <c r="NSP381" s="776"/>
      <c r="NSQ381" s="430"/>
      <c r="NSR381" s="717"/>
      <c r="NSS381" s="774"/>
      <c r="NST381" s="774"/>
      <c r="NSU381" s="422"/>
      <c r="NSV381" s="775"/>
      <c r="NSW381" s="774"/>
      <c r="NSX381" s="776"/>
      <c r="NSY381" s="430"/>
      <c r="NSZ381" s="717"/>
      <c r="NTA381" s="774"/>
      <c r="NTB381" s="774"/>
      <c r="NTC381" s="422"/>
      <c r="NTD381" s="775"/>
      <c r="NTE381" s="774"/>
      <c r="NTF381" s="776"/>
      <c r="NTG381" s="430"/>
      <c r="NTH381" s="717"/>
      <c r="NTI381" s="774"/>
      <c r="NTJ381" s="774"/>
      <c r="NTK381" s="422"/>
      <c r="NTL381" s="775"/>
      <c r="NTM381" s="774"/>
      <c r="NTN381" s="776"/>
      <c r="NTO381" s="430"/>
      <c r="NTP381" s="717"/>
      <c r="NTQ381" s="774"/>
      <c r="NTR381" s="774"/>
      <c r="NTS381" s="422"/>
      <c r="NTT381" s="775"/>
      <c r="NTU381" s="774"/>
      <c r="NTV381" s="776"/>
      <c r="NTW381" s="430"/>
      <c r="NTX381" s="717"/>
      <c r="NTY381" s="774"/>
      <c r="NTZ381" s="774"/>
      <c r="NUA381" s="422"/>
      <c r="NUB381" s="775"/>
      <c r="NUC381" s="774"/>
      <c r="NUD381" s="776"/>
      <c r="NUE381" s="430"/>
      <c r="NUF381" s="717"/>
      <c r="NUG381" s="774"/>
      <c r="NUH381" s="774"/>
      <c r="NUI381" s="422"/>
      <c r="NUJ381" s="775"/>
      <c r="NUK381" s="774"/>
      <c r="NUL381" s="776"/>
      <c r="NUM381" s="430"/>
      <c r="NUN381" s="717"/>
      <c r="NUO381" s="774"/>
      <c r="NUP381" s="774"/>
      <c r="NUQ381" s="422"/>
      <c r="NUR381" s="775"/>
      <c r="NUS381" s="774"/>
      <c r="NUT381" s="776"/>
      <c r="NUU381" s="430"/>
      <c r="NUV381" s="717"/>
      <c r="NUW381" s="774"/>
      <c r="NUX381" s="774"/>
      <c r="NUY381" s="422"/>
      <c r="NUZ381" s="775"/>
      <c r="NVA381" s="774"/>
      <c r="NVB381" s="776"/>
      <c r="NVC381" s="430"/>
      <c r="NVD381" s="717"/>
      <c r="NVE381" s="774"/>
      <c r="NVF381" s="774"/>
      <c r="NVG381" s="422"/>
      <c r="NVH381" s="775"/>
      <c r="NVI381" s="774"/>
      <c r="NVJ381" s="776"/>
      <c r="NVK381" s="430"/>
      <c r="NVL381" s="717"/>
      <c r="NVM381" s="774"/>
      <c r="NVN381" s="774"/>
      <c r="NVO381" s="422"/>
      <c r="NVP381" s="775"/>
      <c r="NVQ381" s="774"/>
      <c r="NVR381" s="776"/>
      <c r="NVS381" s="430"/>
      <c r="NVT381" s="717"/>
      <c r="NVU381" s="774"/>
      <c r="NVV381" s="774"/>
      <c r="NVW381" s="422"/>
      <c r="NVX381" s="775"/>
      <c r="NVY381" s="774"/>
      <c r="NVZ381" s="776"/>
      <c r="NWA381" s="430"/>
      <c r="NWB381" s="717"/>
      <c r="NWC381" s="774"/>
      <c r="NWD381" s="774"/>
      <c r="NWE381" s="422"/>
      <c r="NWF381" s="775"/>
      <c r="NWG381" s="774"/>
      <c r="NWH381" s="776"/>
      <c r="NWI381" s="430"/>
      <c r="NWJ381" s="717"/>
      <c r="NWK381" s="774"/>
      <c r="NWL381" s="774"/>
      <c r="NWM381" s="422"/>
      <c r="NWN381" s="775"/>
      <c r="NWO381" s="774"/>
      <c r="NWP381" s="776"/>
      <c r="NWQ381" s="430"/>
      <c r="NWR381" s="717"/>
      <c r="NWS381" s="774"/>
      <c r="NWT381" s="774"/>
      <c r="NWU381" s="422"/>
      <c r="NWV381" s="775"/>
      <c r="NWW381" s="774"/>
      <c r="NWX381" s="776"/>
      <c r="NWY381" s="430"/>
      <c r="NWZ381" s="717"/>
      <c r="NXA381" s="774"/>
      <c r="NXB381" s="774"/>
      <c r="NXC381" s="422"/>
      <c r="NXD381" s="775"/>
      <c r="NXE381" s="774"/>
      <c r="NXF381" s="776"/>
      <c r="NXG381" s="430"/>
      <c r="NXH381" s="717"/>
      <c r="NXI381" s="774"/>
      <c r="NXJ381" s="774"/>
      <c r="NXK381" s="422"/>
      <c r="NXL381" s="775"/>
      <c r="NXM381" s="774"/>
      <c r="NXN381" s="776"/>
      <c r="NXO381" s="430"/>
      <c r="NXP381" s="717"/>
      <c r="NXQ381" s="774"/>
      <c r="NXR381" s="774"/>
      <c r="NXS381" s="422"/>
      <c r="NXT381" s="775"/>
      <c r="NXU381" s="774"/>
      <c r="NXV381" s="776"/>
      <c r="NXW381" s="430"/>
      <c r="NXX381" s="717"/>
      <c r="NXY381" s="774"/>
      <c r="NXZ381" s="774"/>
      <c r="NYA381" s="422"/>
      <c r="NYB381" s="775"/>
      <c r="NYC381" s="774"/>
      <c r="NYD381" s="776"/>
      <c r="NYE381" s="430"/>
      <c r="NYF381" s="717"/>
      <c r="NYG381" s="774"/>
      <c r="NYH381" s="774"/>
      <c r="NYI381" s="422"/>
      <c r="NYJ381" s="775"/>
      <c r="NYK381" s="774"/>
      <c r="NYL381" s="776"/>
      <c r="NYM381" s="430"/>
      <c r="NYN381" s="717"/>
      <c r="NYO381" s="774"/>
      <c r="NYP381" s="774"/>
      <c r="NYQ381" s="422"/>
      <c r="NYR381" s="775"/>
      <c r="NYS381" s="774"/>
      <c r="NYT381" s="776"/>
      <c r="NYU381" s="430"/>
      <c r="NYV381" s="717"/>
      <c r="NYW381" s="774"/>
      <c r="NYX381" s="774"/>
      <c r="NYY381" s="422"/>
      <c r="NYZ381" s="775"/>
      <c r="NZA381" s="774"/>
      <c r="NZB381" s="776"/>
      <c r="NZC381" s="430"/>
      <c r="NZD381" s="717"/>
      <c r="NZE381" s="774"/>
      <c r="NZF381" s="774"/>
      <c r="NZG381" s="422"/>
      <c r="NZH381" s="775"/>
      <c r="NZI381" s="774"/>
      <c r="NZJ381" s="776"/>
      <c r="NZK381" s="430"/>
      <c r="NZL381" s="717"/>
      <c r="NZM381" s="774"/>
      <c r="NZN381" s="774"/>
      <c r="NZO381" s="422"/>
      <c r="NZP381" s="775"/>
      <c r="NZQ381" s="774"/>
      <c r="NZR381" s="776"/>
      <c r="NZS381" s="430"/>
      <c r="NZT381" s="717"/>
      <c r="NZU381" s="774"/>
      <c r="NZV381" s="774"/>
      <c r="NZW381" s="422"/>
      <c r="NZX381" s="775"/>
      <c r="NZY381" s="774"/>
      <c r="NZZ381" s="776"/>
      <c r="OAA381" s="430"/>
      <c r="OAB381" s="717"/>
      <c r="OAC381" s="774"/>
      <c r="OAD381" s="774"/>
      <c r="OAE381" s="422"/>
      <c r="OAF381" s="775"/>
      <c r="OAG381" s="774"/>
      <c r="OAH381" s="776"/>
      <c r="OAI381" s="430"/>
      <c r="OAJ381" s="717"/>
      <c r="OAK381" s="774"/>
      <c r="OAL381" s="774"/>
      <c r="OAM381" s="422"/>
      <c r="OAN381" s="775"/>
      <c r="OAO381" s="774"/>
      <c r="OAP381" s="776"/>
      <c r="OAQ381" s="430"/>
      <c r="OAR381" s="717"/>
      <c r="OAS381" s="774"/>
      <c r="OAT381" s="774"/>
      <c r="OAU381" s="422"/>
      <c r="OAV381" s="775"/>
      <c r="OAW381" s="774"/>
      <c r="OAX381" s="776"/>
      <c r="OAY381" s="430"/>
      <c r="OAZ381" s="717"/>
      <c r="OBA381" s="774"/>
      <c r="OBB381" s="774"/>
      <c r="OBC381" s="422"/>
      <c r="OBD381" s="775"/>
      <c r="OBE381" s="774"/>
      <c r="OBF381" s="776"/>
      <c r="OBG381" s="430"/>
      <c r="OBH381" s="717"/>
      <c r="OBI381" s="774"/>
      <c r="OBJ381" s="774"/>
      <c r="OBK381" s="422"/>
      <c r="OBL381" s="775"/>
      <c r="OBM381" s="774"/>
      <c r="OBN381" s="776"/>
      <c r="OBO381" s="430"/>
      <c r="OBP381" s="717"/>
      <c r="OBQ381" s="774"/>
      <c r="OBR381" s="774"/>
      <c r="OBS381" s="422"/>
      <c r="OBT381" s="775"/>
      <c r="OBU381" s="774"/>
      <c r="OBV381" s="776"/>
      <c r="OBW381" s="430"/>
      <c r="OBX381" s="717"/>
      <c r="OBY381" s="774"/>
      <c r="OBZ381" s="774"/>
      <c r="OCA381" s="422"/>
      <c r="OCB381" s="775"/>
      <c r="OCC381" s="774"/>
      <c r="OCD381" s="776"/>
      <c r="OCE381" s="430"/>
      <c r="OCF381" s="717"/>
      <c r="OCG381" s="774"/>
      <c r="OCH381" s="774"/>
      <c r="OCI381" s="422"/>
      <c r="OCJ381" s="775"/>
      <c r="OCK381" s="774"/>
      <c r="OCL381" s="776"/>
      <c r="OCM381" s="430"/>
      <c r="OCN381" s="717"/>
      <c r="OCO381" s="774"/>
      <c r="OCP381" s="774"/>
      <c r="OCQ381" s="422"/>
      <c r="OCR381" s="775"/>
      <c r="OCS381" s="774"/>
      <c r="OCT381" s="776"/>
      <c r="OCU381" s="430"/>
      <c r="OCV381" s="717"/>
      <c r="OCW381" s="774"/>
      <c r="OCX381" s="774"/>
      <c r="OCY381" s="422"/>
      <c r="OCZ381" s="775"/>
      <c r="ODA381" s="774"/>
      <c r="ODB381" s="776"/>
      <c r="ODC381" s="430"/>
      <c r="ODD381" s="717"/>
      <c r="ODE381" s="774"/>
      <c r="ODF381" s="774"/>
      <c r="ODG381" s="422"/>
      <c r="ODH381" s="775"/>
      <c r="ODI381" s="774"/>
      <c r="ODJ381" s="776"/>
      <c r="ODK381" s="430"/>
      <c r="ODL381" s="717"/>
      <c r="ODM381" s="774"/>
      <c r="ODN381" s="774"/>
      <c r="ODO381" s="422"/>
      <c r="ODP381" s="775"/>
      <c r="ODQ381" s="774"/>
      <c r="ODR381" s="776"/>
      <c r="ODS381" s="430"/>
      <c r="ODT381" s="717"/>
      <c r="ODU381" s="774"/>
      <c r="ODV381" s="774"/>
      <c r="ODW381" s="422"/>
      <c r="ODX381" s="775"/>
      <c r="ODY381" s="774"/>
      <c r="ODZ381" s="776"/>
      <c r="OEA381" s="430"/>
      <c r="OEB381" s="717"/>
      <c r="OEC381" s="774"/>
      <c r="OED381" s="774"/>
      <c r="OEE381" s="422"/>
      <c r="OEF381" s="775"/>
      <c r="OEG381" s="774"/>
      <c r="OEH381" s="776"/>
      <c r="OEI381" s="430"/>
      <c r="OEJ381" s="717"/>
      <c r="OEK381" s="774"/>
      <c r="OEL381" s="774"/>
      <c r="OEM381" s="422"/>
      <c r="OEN381" s="775"/>
      <c r="OEO381" s="774"/>
      <c r="OEP381" s="776"/>
      <c r="OEQ381" s="430"/>
      <c r="OER381" s="717"/>
      <c r="OES381" s="774"/>
      <c r="OET381" s="774"/>
      <c r="OEU381" s="422"/>
      <c r="OEV381" s="775"/>
      <c r="OEW381" s="774"/>
      <c r="OEX381" s="776"/>
      <c r="OEY381" s="430"/>
      <c r="OEZ381" s="717"/>
      <c r="OFA381" s="774"/>
      <c r="OFB381" s="774"/>
      <c r="OFC381" s="422"/>
      <c r="OFD381" s="775"/>
      <c r="OFE381" s="774"/>
      <c r="OFF381" s="776"/>
      <c r="OFG381" s="430"/>
      <c r="OFH381" s="717"/>
      <c r="OFI381" s="774"/>
      <c r="OFJ381" s="774"/>
      <c r="OFK381" s="422"/>
      <c r="OFL381" s="775"/>
      <c r="OFM381" s="774"/>
      <c r="OFN381" s="776"/>
      <c r="OFO381" s="430"/>
      <c r="OFP381" s="717"/>
      <c r="OFQ381" s="774"/>
      <c r="OFR381" s="774"/>
      <c r="OFS381" s="422"/>
      <c r="OFT381" s="775"/>
      <c r="OFU381" s="774"/>
      <c r="OFV381" s="776"/>
      <c r="OFW381" s="430"/>
      <c r="OFX381" s="717"/>
      <c r="OFY381" s="774"/>
      <c r="OFZ381" s="774"/>
      <c r="OGA381" s="422"/>
      <c r="OGB381" s="775"/>
      <c r="OGC381" s="774"/>
      <c r="OGD381" s="776"/>
      <c r="OGE381" s="430"/>
      <c r="OGF381" s="717"/>
      <c r="OGG381" s="774"/>
      <c r="OGH381" s="774"/>
      <c r="OGI381" s="422"/>
      <c r="OGJ381" s="775"/>
      <c r="OGK381" s="774"/>
      <c r="OGL381" s="776"/>
      <c r="OGM381" s="430"/>
      <c r="OGN381" s="717"/>
      <c r="OGO381" s="774"/>
      <c r="OGP381" s="774"/>
      <c r="OGQ381" s="422"/>
      <c r="OGR381" s="775"/>
      <c r="OGS381" s="774"/>
      <c r="OGT381" s="776"/>
      <c r="OGU381" s="430"/>
      <c r="OGV381" s="717"/>
      <c r="OGW381" s="774"/>
      <c r="OGX381" s="774"/>
      <c r="OGY381" s="422"/>
      <c r="OGZ381" s="775"/>
      <c r="OHA381" s="774"/>
      <c r="OHB381" s="776"/>
      <c r="OHC381" s="430"/>
      <c r="OHD381" s="717"/>
      <c r="OHE381" s="774"/>
      <c r="OHF381" s="774"/>
      <c r="OHG381" s="422"/>
      <c r="OHH381" s="775"/>
      <c r="OHI381" s="774"/>
      <c r="OHJ381" s="776"/>
      <c r="OHK381" s="430"/>
      <c r="OHL381" s="717"/>
      <c r="OHM381" s="774"/>
      <c r="OHN381" s="774"/>
      <c r="OHO381" s="422"/>
      <c r="OHP381" s="775"/>
      <c r="OHQ381" s="774"/>
      <c r="OHR381" s="776"/>
      <c r="OHS381" s="430"/>
      <c r="OHT381" s="717"/>
      <c r="OHU381" s="774"/>
      <c r="OHV381" s="774"/>
      <c r="OHW381" s="422"/>
      <c r="OHX381" s="775"/>
      <c r="OHY381" s="774"/>
      <c r="OHZ381" s="776"/>
      <c r="OIA381" s="430"/>
      <c r="OIB381" s="717"/>
      <c r="OIC381" s="774"/>
      <c r="OID381" s="774"/>
      <c r="OIE381" s="422"/>
      <c r="OIF381" s="775"/>
      <c r="OIG381" s="774"/>
      <c r="OIH381" s="776"/>
      <c r="OII381" s="430"/>
      <c r="OIJ381" s="717"/>
      <c r="OIK381" s="774"/>
      <c r="OIL381" s="774"/>
      <c r="OIM381" s="422"/>
      <c r="OIN381" s="775"/>
      <c r="OIO381" s="774"/>
      <c r="OIP381" s="776"/>
      <c r="OIQ381" s="430"/>
      <c r="OIR381" s="717"/>
      <c r="OIS381" s="774"/>
      <c r="OIT381" s="774"/>
      <c r="OIU381" s="422"/>
      <c r="OIV381" s="775"/>
      <c r="OIW381" s="774"/>
      <c r="OIX381" s="776"/>
      <c r="OIY381" s="430"/>
      <c r="OIZ381" s="717"/>
      <c r="OJA381" s="774"/>
      <c r="OJB381" s="774"/>
      <c r="OJC381" s="422"/>
      <c r="OJD381" s="775"/>
      <c r="OJE381" s="774"/>
      <c r="OJF381" s="776"/>
      <c r="OJG381" s="430"/>
      <c r="OJH381" s="717"/>
      <c r="OJI381" s="774"/>
      <c r="OJJ381" s="774"/>
      <c r="OJK381" s="422"/>
      <c r="OJL381" s="775"/>
      <c r="OJM381" s="774"/>
      <c r="OJN381" s="776"/>
      <c r="OJO381" s="430"/>
      <c r="OJP381" s="717"/>
      <c r="OJQ381" s="774"/>
      <c r="OJR381" s="774"/>
      <c r="OJS381" s="422"/>
      <c r="OJT381" s="775"/>
      <c r="OJU381" s="774"/>
      <c r="OJV381" s="776"/>
      <c r="OJW381" s="430"/>
      <c r="OJX381" s="717"/>
      <c r="OJY381" s="774"/>
      <c r="OJZ381" s="774"/>
      <c r="OKA381" s="422"/>
      <c r="OKB381" s="775"/>
      <c r="OKC381" s="774"/>
      <c r="OKD381" s="776"/>
      <c r="OKE381" s="430"/>
      <c r="OKF381" s="717"/>
      <c r="OKG381" s="774"/>
      <c r="OKH381" s="774"/>
      <c r="OKI381" s="422"/>
      <c r="OKJ381" s="775"/>
      <c r="OKK381" s="774"/>
      <c r="OKL381" s="776"/>
      <c r="OKM381" s="430"/>
      <c r="OKN381" s="717"/>
      <c r="OKO381" s="774"/>
      <c r="OKP381" s="774"/>
      <c r="OKQ381" s="422"/>
      <c r="OKR381" s="775"/>
      <c r="OKS381" s="774"/>
      <c r="OKT381" s="776"/>
      <c r="OKU381" s="430"/>
      <c r="OKV381" s="717"/>
      <c r="OKW381" s="774"/>
      <c r="OKX381" s="774"/>
      <c r="OKY381" s="422"/>
      <c r="OKZ381" s="775"/>
      <c r="OLA381" s="774"/>
      <c r="OLB381" s="776"/>
      <c r="OLC381" s="430"/>
      <c r="OLD381" s="717"/>
      <c r="OLE381" s="774"/>
      <c r="OLF381" s="774"/>
      <c r="OLG381" s="422"/>
      <c r="OLH381" s="775"/>
      <c r="OLI381" s="774"/>
      <c r="OLJ381" s="776"/>
      <c r="OLK381" s="430"/>
      <c r="OLL381" s="717"/>
      <c r="OLM381" s="774"/>
      <c r="OLN381" s="774"/>
      <c r="OLO381" s="422"/>
      <c r="OLP381" s="775"/>
      <c r="OLQ381" s="774"/>
      <c r="OLR381" s="776"/>
      <c r="OLS381" s="430"/>
      <c r="OLT381" s="717"/>
      <c r="OLU381" s="774"/>
      <c r="OLV381" s="774"/>
      <c r="OLW381" s="422"/>
      <c r="OLX381" s="775"/>
      <c r="OLY381" s="774"/>
      <c r="OLZ381" s="776"/>
      <c r="OMA381" s="430"/>
      <c r="OMB381" s="717"/>
      <c r="OMC381" s="774"/>
      <c r="OMD381" s="774"/>
      <c r="OME381" s="422"/>
      <c r="OMF381" s="775"/>
      <c r="OMG381" s="774"/>
      <c r="OMH381" s="776"/>
      <c r="OMI381" s="430"/>
      <c r="OMJ381" s="717"/>
      <c r="OMK381" s="774"/>
      <c r="OML381" s="774"/>
      <c r="OMM381" s="422"/>
      <c r="OMN381" s="775"/>
      <c r="OMO381" s="774"/>
      <c r="OMP381" s="776"/>
      <c r="OMQ381" s="430"/>
      <c r="OMR381" s="717"/>
      <c r="OMS381" s="774"/>
      <c r="OMT381" s="774"/>
      <c r="OMU381" s="422"/>
      <c r="OMV381" s="775"/>
      <c r="OMW381" s="774"/>
      <c r="OMX381" s="776"/>
      <c r="OMY381" s="430"/>
      <c r="OMZ381" s="717"/>
      <c r="ONA381" s="774"/>
      <c r="ONB381" s="774"/>
      <c r="ONC381" s="422"/>
      <c r="OND381" s="775"/>
      <c r="ONE381" s="774"/>
      <c r="ONF381" s="776"/>
      <c r="ONG381" s="430"/>
      <c r="ONH381" s="717"/>
      <c r="ONI381" s="774"/>
      <c r="ONJ381" s="774"/>
      <c r="ONK381" s="422"/>
      <c r="ONL381" s="775"/>
      <c r="ONM381" s="774"/>
      <c r="ONN381" s="776"/>
      <c r="ONO381" s="430"/>
      <c r="ONP381" s="717"/>
      <c r="ONQ381" s="774"/>
      <c r="ONR381" s="774"/>
      <c r="ONS381" s="422"/>
      <c r="ONT381" s="775"/>
      <c r="ONU381" s="774"/>
      <c r="ONV381" s="776"/>
      <c r="ONW381" s="430"/>
      <c r="ONX381" s="717"/>
      <c r="ONY381" s="774"/>
      <c r="ONZ381" s="774"/>
      <c r="OOA381" s="422"/>
      <c r="OOB381" s="775"/>
      <c r="OOC381" s="774"/>
      <c r="OOD381" s="776"/>
      <c r="OOE381" s="430"/>
      <c r="OOF381" s="717"/>
      <c r="OOG381" s="774"/>
      <c r="OOH381" s="774"/>
      <c r="OOI381" s="422"/>
      <c r="OOJ381" s="775"/>
      <c r="OOK381" s="774"/>
      <c r="OOL381" s="776"/>
      <c r="OOM381" s="430"/>
      <c r="OON381" s="717"/>
      <c r="OOO381" s="774"/>
      <c r="OOP381" s="774"/>
      <c r="OOQ381" s="422"/>
      <c r="OOR381" s="775"/>
      <c r="OOS381" s="774"/>
      <c r="OOT381" s="776"/>
      <c r="OOU381" s="430"/>
      <c r="OOV381" s="717"/>
      <c r="OOW381" s="774"/>
      <c r="OOX381" s="774"/>
      <c r="OOY381" s="422"/>
      <c r="OOZ381" s="775"/>
      <c r="OPA381" s="774"/>
      <c r="OPB381" s="776"/>
      <c r="OPC381" s="430"/>
      <c r="OPD381" s="717"/>
      <c r="OPE381" s="774"/>
      <c r="OPF381" s="774"/>
      <c r="OPG381" s="422"/>
      <c r="OPH381" s="775"/>
      <c r="OPI381" s="774"/>
      <c r="OPJ381" s="776"/>
      <c r="OPK381" s="430"/>
      <c r="OPL381" s="717"/>
      <c r="OPM381" s="774"/>
      <c r="OPN381" s="774"/>
      <c r="OPO381" s="422"/>
      <c r="OPP381" s="775"/>
      <c r="OPQ381" s="774"/>
      <c r="OPR381" s="776"/>
      <c r="OPS381" s="430"/>
      <c r="OPT381" s="717"/>
      <c r="OPU381" s="774"/>
      <c r="OPV381" s="774"/>
      <c r="OPW381" s="422"/>
      <c r="OPX381" s="775"/>
      <c r="OPY381" s="774"/>
      <c r="OPZ381" s="776"/>
      <c r="OQA381" s="430"/>
      <c r="OQB381" s="717"/>
      <c r="OQC381" s="774"/>
      <c r="OQD381" s="774"/>
      <c r="OQE381" s="422"/>
      <c r="OQF381" s="775"/>
      <c r="OQG381" s="774"/>
      <c r="OQH381" s="776"/>
      <c r="OQI381" s="430"/>
      <c r="OQJ381" s="717"/>
      <c r="OQK381" s="774"/>
      <c r="OQL381" s="774"/>
      <c r="OQM381" s="422"/>
      <c r="OQN381" s="775"/>
      <c r="OQO381" s="774"/>
      <c r="OQP381" s="776"/>
      <c r="OQQ381" s="430"/>
      <c r="OQR381" s="717"/>
      <c r="OQS381" s="774"/>
      <c r="OQT381" s="774"/>
      <c r="OQU381" s="422"/>
      <c r="OQV381" s="775"/>
      <c r="OQW381" s="774"/>
      <c r="OQX381" s="776"/>
      <c r="OQY381" s="430"/>
      <c r="OQZ381" s="717"/>
      <c r="ORA381" s="774"/>
      <c r="ORB381" s="774"/>
      <c r="ORC381" s="422"/>
      <c r="ORD381" s="775"/>
      <c r="ORE381" s="774"/>
      <c r="ORF381" s="776"/>
      <c r="ORG381" s="430"/>
      <c r="ORH381" s="717"/>
      <c r="ORI381" s="774"/>
      <c r="ORJ381" s="774"/>
      <c r="ORK381" s="422"/>
      <c r="ORL381" s="775"/>
      <c r="ORM381" s="774"/>
      <c r="ORN381" s="776"/>
      <c r="ORO381" s="430"/>
      <c r="ORP381" s="717"/>
      <c r="ORQ381" s="774"/>
      <c r="ORR381" s="774"/>
      <c r="ORS381" s="422"/>
      <c r="ORT381" s="775"/>
      <c r="ORU381" s="774"/>
      <c r="ORV381" s="776"/>
      <c r="ORW381" s="430"/>
      <c r="ORX381" s="717"/>
      <c r="ORY381" s="774"/>
      <c r="ORZ381" s="774"/>
      <c r="OSA381" s="422"/>
      <c r="OSB381" s="775"/>
      <c r="OSC381" s="774"/>
      <c r="OSD381" s="776"/>
      <c r="OSE381" s="430"/>
      <c r="OSF381" s="717"/>
      <c r="OSG381" s="774"/>
      <c r="OSH381" s="774"/>
      <c r="OSI381" s="422"/>
      <c r="OSJ381" s="775"/>
      <c r="OSK381" s="774"/>
      <c r="OSL381" s="776"/>
      <c r="OSM381" s="430"/>
      <c r="OSN381" s="717"/>
      <c r="OSO381" s="774"/>
      <c r="OSP381" s="774"/>
      <c r="OSQ381" s="422"/>
      <c r="OSR381" s="775"/>
      <c r="OSS381" s="774"/>
      <c r="OST381" s="776"/>
      <c r="OSU381" s="430"/>
      <c r="OSV381" s="717"/>
      <c r="OSW381" s="774"/>
      <c r="OSX381" s="774"/>
      <c r="OSY381" s="422"/>
      <c r="OSZ381" s="775"/>
      <c r="OTA381" s="774"/>
      <c r="OTB381" s="776"/>
      <c r="OTC381" s="430"/>
      <c r="OTD381" s="717"/>
      <c r="OTE381" s="774"/>
      <c r="OTF381" s="774"/>
      <c r="OTG381" s="422"/>
      <c r="OTH381" s="775"/>
      <c r="OTI381" s="774"/>
      <c r="OTJ381" s="776"/>
      <c r="OTK381" s="430"/>
      <c r="OTL381" s="717"/>
      <c r="OTM381" s="774"/>
      <c r="OTN381" s="774"/>
      <c r="OTO381" s="422"/>
      <c r="OTP381" s="775"/>
      <c r="OTQ381" s="774"/>
      <c r="OTR381" s="776"/>
      <c r="OTS381" s="430"/>
      <c r="OTT381" s="717"/>
      <c r="OTU381" s="774"/>
      <c r="OTV381" s="774"/>
      <c r="OTW381" s="422"/>
      <c r="OTX381" s="775"/>
      <c r="OTY381" s="774"/>
      <c r="OTZ381" s="776"/>
      <c r="OUA381" s="430"/>
      <c r="OUB381" s="717"/>
      <c r="OUC381" s="774"/>
      <c r="OUD381" s="774"/>
      <c r="OUE381" s="422"/>
      <c r="OUF381" s="775"/>
      <c r="OUG381" s="774"/>
      <c r="OUH381" s="776"/>
      <c r="OUI381" s="430"/>
      <c r="OUJ381" s="717"/>
      <c r="OUK381" s="774"/>
      <c r="OUL381" s="774"/>
      <c r="OUM381" s="422"/>
      <c r="OUN381" s="775"/>
      <c r="OUO381" s="774"/>
      <c r="OUP381" s="776"/>
      <c r="OUQ381" s="430"/>
      <c r="OUR381" s="717"/>
      <c r="OUS381" s="774"/>
      <c r="OUT381" s="774"/>
      <c r="OUU381" s="422"/>
      <c r="OUV381" s="775"/>
      <c r="OUW381" s="774"/>
      <c r="OUX381" s="776"/>
      <c r="OUY381" s="430"/>
      <c r="OUZ381" s="717"/>
      <c r="OVA381" s="774"/>
      <c r="OVB381" s="774"/>
      <c r="OVC381" s="422"/>
      <c r="OVD381" s="775"/>
      <c r="OVE381" s="774"/>
      <c r="OVF381" s="776"/>
      <c r="OVG381" s="430"/>
      <c r="OVH381" s="717"/>
      <c r="OVI381" s="774"/>
      <c r="OVJ381" s="774"/>
      <c r="OVK381" s="422"/>
      <c r="OVL381" s="775"/>
      <c r="OVM381" s="774"/>
      <c r="OVN381" s="776"/>
      <c r="OVO381" s="430"/>
      <c r="OVP381" s="717"/>
      <c r="OVQ381" s="774"/>
      <c r="OVR381" s="774"/>
      <c r="OVS381" s="422"/>
      <c r="OVT381" s="775"/>
      <c r="OVU381" s="774"/>
      <c r="OVV381" s="776"/>
      <c r="OVW381" s="430"/>
      <c r="OVX381" s="717"/>
      <c r="OVY381" s="774"/>
      <c r="OVZ381" s="774"/>
      <c r="OWA381" s="422"/>
      <c r="OWB381" s="775"/>
      <c r="OWC381" s="774"/>
      <c r="OWD381" s="776"/>
      <c r="OWE381" s="430"/>
      <c r="OWF381" s="717"/>
      <c r="OWG381" s="774"/>
      <c r="OWH381" s="774"/>
      <c r="OWI381" s="422"/>
      <c r="OWJ381" s="775"/>
      <c r="OWK381" s="774"/>
      <c r="OWL381" s="776"/>
      <c r="OWM381" s="430"/>
      <c r="OWN381" s="717"/>
      <c r="OWO381" s="774"/>
      <c r="OWP381" s="774"/>
      <c r="OWQ381" s="422"/>
      <c r="OWR381" s="775"/>
      <c r="OWS381" s="774"/>
      <c r="OWT381" s="776"/>
      <c r="OWU381" s="430"/>
      <c r="OWV381" s="717"/>
      <c r="OWW381" s="774"/>
      <c r="OWX381" s="774"/>
      <c r="OWY381" s="422"/>
      <c r="OWZ381" s="775"/>
      <c r="OXA381" s="774"/>
      <c r="OXB381" s="776"/>
      <c r="OXC381" s="430"/>
      <c r="OXD381" s="717"/>
      <c r="OXE381" s="774"/>
      <c r="OXF381" s="774"/>
      <c r="OXG381" s="422"/>
      <c r="OXH381" s="775"/>
      <c r="OXI381" s="774"/>
      <c r="OXJ381" s="776"/>
      <c r="OXK381" s="430"/>
      <c r="OXL381" s="717"/>
      <c r="OXM381" s="774"/>
      <c r="OXN381" s="774"/>
      <c r="OXO381" s="422"/>
      <c r="OXP381" s="775"/>
      <c r="OXQ381" s="774"/>
      <c r="OXR381" s="776"/>
      <c r="OXS381" s="430"/>
      <c r="OXT381" s="717"/>
      <c r="OXU381" s="774"/>
      <c r="OXV381" s="774"/>
      <c r="OXW381" s="422"/>
      <c r="OXX381" s="775"/>
      <c r="OXY381" s="774"/>
      <c r="OXZ381" s="776"/>
      <c r="OYA381" s="430"/>
      <c r="OYB381" s="717"/>
      <c r="OYC381" s="774"/>
      <c r="OYD381" s="774"/>
      <c r="OYE381" s="422"/>
      <c r="OYF381" s="775"/>
      <c r="OYG381" s="774"/>
      <c r="OYH381" s="776"/>
      <c r="OYI381" s="430"/>
      <c r="OYJ381" s="717"/>
      <c r="OYK381" s="774"/>
      <c r="OYL381" s="774"/>
      <c r="OYM381" s="422"/>
      <c r="OYN381" s="775"/>
      <c r="OYO381" s="774"/>
      <c r="OYP381" s="776"/>
      <c r="OYQ381" s="430"/>
      <c r="OYR381" s="717"/>
      <c r="OYS381" s="774"/>
      <c r="OYT381" s="774"/>
      <c r="OYU381" s="422"/>
      <c r="OYV381" s="775"/>
      <c r="OYW381" s="774"/>
      <c r="OYX381" s="776"/>
      <c r="OYY381" s="430"/>
      <c r="OYZ381" s="717"/>
      <c r="OZA381" s="774"/>
      <c r="OZB381" s="774"/>
      <c r="OZC381" s="422"/>
      <c r="OZD381" s="775"/>
      <c r="OZE381" s="774"/>
      <c r="OZF381" s="776"/>
      <c r="OZG381" s="430"/>
      <c r="OZH381" s="717"/>
      <c r="OZI381" s="774"/>
      <c r="OZJ381" s="774"/>
      <c r="OZK381" s="422"/>
      <c r="OZL381" s="775"/>
      <c r="OZM381" s="774"/>
      <c r="OZN381" s="776"/>
      <c r="OZO381" s="430"/>
      <c r="OZP381" s="717"/>
      <c r="OZQ381" s="774"/>
      <c r="OZR381" s="774"/>
      <c r="OZS381" s="422"/>
      <c r="OZT381" s="775"/>
      <c r="OZU381" s="774"/>
      <c r="OZV381" s="776"/>
      <c r="OZW381" s="430"/>
      <c r="OZX381" s="717"/>
      <c r="OZY381" s="774"/>
      <c r="OZZ381" s="774"/>
      <c r="PAA381" s="422"/>
      <c r="PAB381" s="775"/>
      <c r="PAC381" s="774"/>
      <c r="PAD381" s="776"/>
      <c r="PAE381" s="430"/>
      <c r="PAF381" s="717"/>
      <c r="PAG381" s="774"/>
      <c r="PAH381" s="774"/>
      <c r="PAI381" s="422"/>
      <c r="PAJ381" s="775"/>
      <c r="PAK381" s="774"/>
      <c r="PAL381" s="776"/>
      <c r="PAM381" s="430"/>
      <c r="PAN381" s="717"/>
      <c r="PAO381" s="774"/>
      <c r="PAP381" s="774"/>
      <c r="PAQ381" s="422"/>
      <c r="PAR381" s="775"/>
      <c r="PAS381" s="774"/>
      <c r="PAT381" s="776"/>
      <c r="PAU381" s="430"/>
      <c r="PAV381" s="717"/>
      <c r="PAW381" s="774"/>
      <c r="PAX381" s="774"/>
      <c r="PAY381" s="422"/>
      <c r="PAZ381" s="775"/>
      <c r="PBA381" s="774"/>
      <c r="PBB381" s="776"/>
      <c r="PBC381" s="430"/>
      <c r="PBD381" s="717"/>
      <c r="PBE381" s="774"/>
      <c r="PBF381" s="774"/>
      <c r="PBG381" s="422"/>
      <c r="PBH381" s="775"/>
      <c r="PBI381" s="774"/>
      <c r="PBJ381" s="776"/>
      <c r="PBK381" s="430"/>
      <c r="PBL381" s="717"/>
      <c r="PBM381" s="774"/>
      <c r="PBN381" s="774"/>
      <c r="PBO381" s="422"/>
      <c r="PBP381" s="775"/>
      <c r="PBQ381" s="774"/>
      <c r="PBR381" s="776"/>
      <c r="PBS381" s="430"/>
      <c r="PBT381" s="717"/>
      <c r="PBU381" s="774"/>
      <c r="PBV381" s="774"/>
      <c r="PBW381" s="422"/>
      <c r="PBX381" s="775"/>
      <c r="PBY381" s="774"/>
      <c r="PBZ381" s="776"/>
      <c r="PCA381" s="430"/>
      <c r="PCB381" s="717"/>
      <c r="PCC381" s="774"/>
      <c r="PCD381" s="774"/>
      <c r="PCE381" s="422"/>
      <c r="PCF381" s="775"/>
      <c r="PCG381" s="774"/>
      <c r="PCH381" s="776"/>
      <c r="PCI381" s="430"/>
      <c r="PCJ381" s="717"/>
      <c r="PCK381" s="774"/>
      <c r="PCL381" s="774"/>
      <c r="PCM381" s="422"/>
      <c r="PCN381" s="775"/>
      <c r="PCO381" s="774"/>
      <c r="PCP381" s="776"/>
      <c r="PCQ381" s="430"/>
      <c r="PCR381" s="717"/>
      <c r="PCS381" s="774"/>
      <c r="PCT381" s="774"/>
      <c r="PCU381" s="422"/>
      <c r="PCV381" s="775"/>
      <c r="PCW381" s="774"/>
      <c r="PCX381" s="776"/>
      <c r="PCY381" s="430"/>
      <c r="PCZ381" s="717"/>
      <c r="PDA381" s="774"/>
      <c r="PDB381" s="774"/>
      <c r="PDC381" s="422"/>
      <c r="PDD381" s="775"/>
      <c r="PDE381" s="774"/>
      <c r="PDF381" s="776"/>
      <c r="PDG381" s="430"/>
      <c r="PDH381" s="717"/>
      <c r="PDI381" s="774"/>
      <c r="PDJ381" s="774"/>
      <c r="PDK381" s="422"/>
      <c r="PDL381" s="775"/>
      <c r="PDM381" s="774"/>
      <c r="PDN381" s="776"/>
      <c r="PDO381" s="430"/>
      <c r="PDP381" s="717"/>
      <c r="PDQ381" s="774"/>
      <c r="PDR381" s="774"/>
      <c r="PDS381" s="422"/>
      <c r="PDT381" s="775"/>
      <c r="PDU381" s="774"/>
      <c r="PDV381" s="776"/>
      <c r="PDW381" s="430"/>
      <c r="PDX381" s="717"/>
      <c r="PDY381" s="774"/>
      <c r="PDZ381" s="774"/>
      <c r="PEA381" s="422"/>
      <c r="PEB381" s="775"/>
      <c r="PEC381" s="774"/>
      <c r="PED381" s="776"/>
      <c r="PEE381" s="430"/>
      <c r="PEF381" s="717"/>
      <c r="PEG381" s="774"/>
      <c r="PEH381" s="774"/>
      <c r="PEI381" s="422"/>
      <c r="PEJ381" s="775"/>
      <c r="PEK381" s="774"/>
      <c r="PEL381" s="776"/>
      <c r="PEM381" s="430"/>
      <c r="PEN381" s="717"/>
      <c r="PEO381" s="774"/>
      <c r="PEP381" s="774"/>
      <c r="PEQ381" s="422"/>
      <c r="PER381" s="775"/>
      <c r="PES381" s="774"/>
      <c r="PET381" s="776"/>
      <c r="PEU381" s="430"/>
      <c r="PEV381" s="717"/>
      <c r="PEW381" s="774"/>
      <c r="PEX381" s="774"/>
      <c r="PEY381" s="422"/>
      <c r="PEZ381" s="775"/>
      <c r="PFA381" s="774"/>
      <c r="PFB381" s="776"/>
      <c r="PFC381" s="430"/>
      <c r="PFD381" s="717"/>
      <c r="PFE381" s="774"/>
      <c r="PFF381" s="774"/>
      <c r="PFG381" s="422"/>
      <c r="PFH381" s="775"/>
      <c r="PFI381" s="774"/>
      <c r="PFJ381" s="776"/>
      <c r="PFK381" s="430"/>
      <c r="PFL381" s="717"/>
      <c r="PFM381" s="774"/>
      <c r="PFN381" s="774"/>
      <c r="PFO381" s="422"/>
      <c r="PFP381" s="775"/>
      <c r="PFQ381" s="774"/>
      <c r="PFR381" s="776"/>
      <c r="PFS381" s="430"/>
      <c r="PFT381" s="717"/>
      <c r="PFU381" s="774"/>
      <c r="PFV381" s="774"/>
      <c r="PFW381" s="422"/>
      <c r="PFX381" s="775"/>
      <c r="PFY381" s="774"/>
      <c r="PFZ381" s="776"/>
      <c r="PGA381" s="430"/>
      <c r="PGB381" s="717"/>
      <c r="PGC381" s="774"/>
      <c r="PGD381" s="774"/>
      <c r="PGE381" s="422"/>
      <c r="PGF381" s="775"/>
      <c r="PGG381" s="774"/>
      <c r="PGH381" s="776"/>
      <c r="PGI381" s="430"/>
      <c r="PGJ381" s="717"/>
      <c r="PGK381" s="774"/>
      <c r="PGL381" s="774"/>
      <c r="PGM381" s="422"/>
      <c r="PGN381" s="775"/>
      <c r="PGO381" s="774"/>
      <c r="PGP381" s="776"/>
      <c r="PGQ381" s="430"/>
      <c r="PGR381" s="717"/>
      <c r="PGS381" s="774"/>
      <c r="PGT381" s="774"/>
      <c r="PGU381" s="422"/>
      <c r="PGV381" s="775"/>
      <c r="PGW381" s="774"/>
      <c r="PGX381" s="776"/>
      <c r="PGY381" s="430"/>
      <c r="PGZ381" s="717"/>
      <c r="PHA381" s="774"/>
      <c r="PHB381" s="774"/>
      <c r="PHC381" s="422"/>
      <c r="PHD381" s="775"/>
      <c r="PHE381" s="774"/>
      <c r="PHF381" s="776"/>
      <c r="PHG381" s="430"/>
      <c r="PHH381" s="717"/>
      <c r="PHI381" s="774"/>
      <c r="PHJ381" s="774"/>
      <c r="PHK381" s="422"/>
      <c r="PHL381" s="775"/>
      <c r="PHM381" s="774"/>
      <c r="PHN381" s="776"/>
      <c r="PHO381" s="430"/>
      <c r="PHP381" s="717"/>
      <c r="PHQ381" s="774"/>
      <c r="PHR381" s="774"/>
      <c r="PHS381" s="422"/>
      <c r="PHT381" s="775"/>
      <c r="PHU381" s="774"/>
      <c r="PHV381" s="776"/>
      <c r="PHW381" s="430"/>
      <c r="PHX381" s="717"/>
      <c r="PHY381" s="774"/>
      <c r="PHZ381" s="774"/>
      <c r="PIA381" s="422"/>
      <c r="PIB381" s="775"/>
      <c r="PIC381" s="774"/>
      <c r="PID381" s="776"/>
      <c r="PIE381" s="430"/>
      <c r="PIF381" s="717"/>
      <c r="PIG381" s="774"/>
      <c r="PIH381" s="774"/>
      <c r="PII381" s="422"/>
      <c r="PIJ381" s="775"/>
      <c r="PIK381" s="774"/>
      <c r="PIL381" s="776"/>
      <c r="PIM381" s="430"/>
      <c r="PIN381" s="717"/>
      <c r="PIO381" s="774"/>
      <c r="PIP381" s="774"/>
      <c r="PIQ381" s="422"/>
      <c r="PIR381" s="775"/>
      <c r="PIS381" s="774"/>
      <c r="PIT381" s="776"/>
      <c r="PIU381" s="430"/>
      <c r="PIV381" s="717"/>
      <c r="PIW381" s="774"/>
      <c r="PIX381" s="774"/>
      <c r="PIY381" s="422"/>
      <c r="PIZ381" s="775"/>
      <c r="PJA381" s="774"/>
      <c r="PJB381" s="776"/>
      <c r="PJC381" s="430"/>
      <c r="PJD381" s="717"/>
      <c r="PJE381" s="774"/>
      <c r="PJF381" s="774"/>
      <c r="PJG381" s="422"/>
      <c r="PJH381" s="775"/>
      <c r="PJI381" s="774"/>
      <c r="PJJ381" s="776"/>
      <c r="PJK381" s="430"/>
      <c r="PJL381" s="717"/>
      <c r="PJM381" s="774"/>
      <c r="PJN381" s="774"/>
      <c r="PJO381" s="422"/>
      <c r="PJP381" s="775"/>
      <c r="PJQ381" s="774"/>
      <c r="PJR381" s="776"/>
      <c r="PJS381" s="430"/>
      <c r="PJT381" s="717"/>
      <c r="PJU381" s="774"/>
      <c r="PJV381" s="774"/>
      <c r="PJW381" s="422"/>
      <c r="PJX381" s="775"/>
      <c r="PJY381" s="774"/>
      <c r="PJZ381" s="776"/>
      <c r="PKA381" s="430"/>
      <c r="PKB381" s="717"/>
      <c r="PKC381" s="774"/>
      <c r="PKD381" s="774"/>
      <c r="PKE381" s="422"/>
      <c r="PKF381" s="775"/>
      <c r="PKG381" s="774"/>
      <c r="PKH381" s="776"/>
      <c r="PKI381" s="430"/>
      <c r="PKJ381" s="717"/>
      <c r="PKK381" s="774"/>
      <c r="PKL381" s="774"/>
      <c r="PKM381" s="422"/>
      <c r="PKN381" s="775"/>
      <c r="PKO381" s="774"/>
      <c r="PKP381" s="776"/>
      <c r="PKQ381" s="430"/>
      <c r="PKR381" s="717"/>
      <c r="PKS381" s="774"/>
      <c r="PKT381" s="774"/>
      <c r="PKU381" s="422"/>
      <c r="PKV381" s="775"/>
      <c r="PKW381" s="774"/>
      <c r="PKX381" s="776"/>
      <c r="PKY381" s="430"/>
      <c r="PKZ381" s="717"/>
      <c r="PLA381" s="774"/>
      <c r="PLB381" s="774"/>
      <c r="PLC381" s="422"/>
      <c r="PLD381" s="775"/>
      <c r="PLE381" s="774"/>
      <c r="PLF381" s="776"/>
      <c r="PLG381" s="430"/>
      <c r="PLH381" s="717"/>
      <c r="PLI381" s="774"/>
      <c r="PLJ381" s="774"/>
      <c r="PLK381" s="422"/>
      <c r="PLL381" s="775"/>
      <c r="PLM381" s="774"/>
      <c r="PLN381" s="776"/>
      <c r="PLO381" s="430"/>
      <c r="PLP381" s="717"/>
      <c r="PLQ381" s="774"/>
      <c r="PLR381" s="774"/>
      <c r="PLS381" s="422"/>
      <c r="PLT381" s="775"/>
      <c r="PLU381" s="774"/>
      <c r="PLV381" s="776"/>
      <c r="PLW381" s="430"/>
      <c r="PLX381" s="717"/>
      <c r="PLY381" s="774"/>
      <c r="PLZ381" s="774"/>
      <c r="PMA381" s="422"/>
      <c r="PMB381" s="775"/>
      <c r="PMC381" s="774"/>
      <c r="PMD381" s="776"/>
      <c r="PME381" s="430"/>
      <c r="PMF381" s="717"/>
      <c r="PMG381" s="774"/>
      <c r="PMH381" s="774"/>
      <c r="PMI381" s="422"/>
      <c r="PMJ381" s="775"/>
      <c r="PMK381" s="774"/>
      <c r="PML381" s="776"/>
      <c r="PMM381" s="430"/>
      <c r="PMN381" s="717"/>
      <c r="PMO381" s="774"/>
      <c r="PMP381" s="774"/>
      <c r="PMQ381" s="422"/>
      <c r="PMR381" s="775"/>
      <c r="PMS381" s="774"/>
      <c r="PMT381" s="776"/>
      <c r="PMU381" s="430"/>
      <c r="PMV381" s="717"/>
      <c r="PMW381" s="774"/>
      <c r="PMX381" s="774"/>
      <c r="PMY381" s="422"/>
      <c r="PMZ381" s="775"/>
      <c r="PNA381" s="774"/>
      <c r="PNB381" s="776"/>
      <c r="PNC381" s="430"/>
      <c r="PND381" s="717"/>
      <c r="PNE381" s="774"/>
      <c r="PNF381" s="774"/>
      <c r="PNG381" s="422"/>
      <c r="PNH381" s="775"/>
      <c r="PNI381" s="774"/>
      <c r="PNJ381" s="776"/>
      <c r="PNK381" s="430"/>
      <c r="PNL381" s="717"/>
      <c r="PNM381" s="774"/>
      <c r="PNN381" s="774"/>
      <c r="PNO381" s="422"/>
      <c r="PNP381" s="775"/>
      <c r="PNQ381" s="774"/>
      <c r="PNR381" s="776"/>
      <c r="PNS381" s="430"/>
      <c r="PNT381" s="717"/>
      <c r="PNU381" s="774"/>
      <c r="PNV381" s="774"/>
      <c r="PNW381" s="422"/>
      <c r="PNX381" s="775"/>
      <c r="PNY381" s="774"/>
      <c r="PNZ381" s="776"/>
      <c r="POA381" s="430"/>
      <c r="POB381" s="717"/>
      <c r="POC381" s="774"/>
      <c r="POD381" s="774"/>
      <c r="POE381" s="422"/>
      <c r="POF381" s="775"/>
      <c r="POG381" s="774"/>
      <c r="POH381" s="776"/>
      <c r="POI381" s="430"/>
      <c r="POJ381" s="717"/>
      <c r="POK381" s="774"/>
      <c r="POL381" s="774"/>
      <c r="POM381" s="422"/>
      <c r="PON381" s="775"/>
      <c r="POO381" s="774"/>
      <c r="POP381" s="776"/>
      <c r="POQ381" s="430"/>
      <c r="POR381" s="717"/>
      <c r="POS381" s="774"/>
      <c r="POT381" s="774"/>
      <c r="POU381" s="422"/>
      <c r="POV381" s="775"/>
      <c r="POW381" s="774"/>
      <c r="POX381" s="776"/>
      <c r="POY381" s="430"/>
      <c r="POZ381" s="717"/>
      <c r="PPA381" s="774"/>
      <c r="PPB381" s="774"/>
      <c r="PPC381" s="422"/>
      <c r="PPD381" s="775"/>
      <c r="PPE381" s="774"/>
      <c r="PPF381" s="776"/>
      <c r="PPG381" s="430"/>
      <c r="PPH381" s="717"/>
      <c r="PPI381" s="774"/>
      <c r="PPJ381" s="774"/>
      <c r="PPK381" s="422"/>
      <c r="PPL381" s="775"/>
      <c r="PPM381" s="774"/>
      <c r="PPN381" s="776"/>
      <c r="PPO381" s="430"/>
      <c r="PPP381" s="717"/>
      <c r="PPQ381" s="774"/>
      <c r="PPR381" s="774"/>
      <c r="PPS381" s="422"/>
      <c r="PPT381" s="775"/>
      <c r="PPU381" s="774"/>
      <c r="PPV381" s="776"/>
      <c r="PPW381" s="430"/>
      <c r="PPX381" s="717"/>
      <c r="PPY381" s="774"/>
      <c r="PPZ381" s="774"/>
      <c r="PQA381" s="422"/>
      <c r="PQB381" s="775"/>
      <c r="PQC381" s="774"/>
      <c r="PQD381" s="776"/>
      <c r="PQE381" s="430"/>
      <c r="PQF381" s="717"/>
      <c r="PQG381" s="774"/>
      <c r="PQH381" s="774"/>
      <c r="PQI381" s="422"/>
      <c r="PQJ381" s="775"/>
      <c r="PQK381" s="774"/>
      <c r="PQL381" s="776"/>
      <c r="PQM381" s="430"/>
      <c r="PQN381" s="717"/>
      <c r="PQO381" s="774"/>
      <c r="PQP381" s="774"/>
      <c r="PQQ381" s="422"/>
      <c r="PQR381" s="775"/>
      <c r="PQS381" s="774"/>
      <c r="PQT381" s="776"/>
      <c r="PQU381" s="430"/>
      <c r="PQV381" s="717"/>
      <c r="PQW381" s="774"/>
      <c r="PQX381" s="774"/>
      <c r="PQY381" s="422"/>
      <c r="PQZ381" s="775"/>
      <c r="PRA381" s="774"/>
      <c r="PRB381" s="776"/>
      <c r="PRC381" s="430"/>
      <c r="PRD381" s="717"/>
      <c r="PRE381" s="774"/>
      <c r="PRF381" s="774"/>
      <c r="PRG381" s="422"/>
      <c r="PRH381" s="775"/>
      <c r="PRI381" s="774"/>
      <c r="PRJ381" s="776"/>
      <c r="PRK381" s="430"/>
      <c r="PRL381" s="717"/>
      <c r="PRM381" s="774"/>
      <c r="PRN381" s="774"/>
      <c r="PRO381" s="422"/>
      <c r="PRP381" s="775"/>
      <c r="PRQ381" s="774"/>
      <c r="PRR381" s="776"/>
      <c r="PRS381" s="430"/>
      <c r="PRT381" s="717"/>
      <c r="PRU381" s="774"/>
      <c r="PRV381" s="774"/>
      <c r="PRW381" s="422"/>
      <c r="PRX381" s="775"/>
      <c r="PRY381" s="774"/>
      <c r="PRZ381" s="776"/>
      <c r="PSA381" s="430"/>
      <c r="PSB381" s="717"/>
      <c r="PSC381" s="774"/>
      <c r="PSD381" s="774"/>
      <c r="PSE381" s="422"/>
      <c r="PSF381" s="775"/>
      <c r="PSG381" s="774"/>
      <c r="PSH381" s="776"/>
      <c r="PSI381" s="430"/>
      <c r="PSJ381" s="717"/>
      <c r="PSK381" s="774"/>
      <c r="PSL381" s="774"/>
      <c r="PSM381" s="422"/>
      <c r="PSN381" s="775"/>
      <c r="PSO381" s="774"/>
      <c r="PSP381" s="776"/>
      <c r="PSQ381" s="430"/>
      <c r="PSR381" s="717"/>
      <c r="PSS381" s="774"/>
      <c r="PST381" s="774"/>
      <c r="PSU381" s="422"/>
      <c r="PSV381" s="775"/>
      <c r="PSW381" s="774"/>
      <c r="PSX381" s="776"/>
      <c r="PSY381" s="430"/>
      <c r="PSZ381" s="717"/>
      <c r="PTA381" s="774"/>
      <c r="PTB381" s="774"/>
      <c r="PTC381" s="422"/>
      <c r="PTD381" s="775"/>
      <c r="PTE381" s="774"/>
      <c r="PTF381" s="776"/>
      <c r="PTG381" s="430"/>
      <c r="PTH381" s="717"/>
      <c r="PTI381" s="774"/>
      <c r="PTJ381" s="774"/>
      <c r="PTK381" s="422"/>
      <c r="PTL381" s="775"/>
      <c r="PTM381" s="774"/>
      <c r="PTN381" s="776"/>
      <c r="PTO381" s="430"/>
      <c r="PTP381" s="717"/>
      <c r="PTQ381" s="774"/>
      <c r="PTR381" s="774"/>
      <c r="PTS381" s="422"/>
      <c r="PTT381" s="775"/>
      <c r="PTU381" s="774"/>
      <c r="PTV381" s="776"/>
      <c r="PTW381" s="430"/>
      <c r="PTX381" s="717"/>
      <c r="PTY381" s="774"/>
      <c r="PTZ381" s="774"/>
      <c r="PUA381" s="422"/>
      <c r="PUB381" s="775"/>
      <c r="PUC381" s="774"/>
      <c r="PUD381" s="776"/>
      <c r="PUE381" s="430"/>
      <c r="PUF381" s="717"/>
      <c r="PUG381" s="774"/>
      <c r="PUH381" s="774"/>
      <c r="PUI381" s="422"/>
      <c r="PUJ381" s="775"/>
      <c r="PUK381" s="774"/>
      <c r="PUL381" s="776"/>
      <c r="PUM381" s="430"/>
      <c r="PUN381" s="717"/>
      <c r="PUO381" s="774"/>
      <c r="PUP381" s="774"/>
      <c r="PUQ381" s="422"/>
      <c r="PUR381" s="775"/>
      <c r="PUS381" s="774"/>
      <c r="PUT381" s="776"/>
      <c r="PUU381" s="430"/>
      <c r="PUV381" s="717"/>
      <c r="PUW381" s="774"/>
      <c r="PUX381" s="774"/>
      <c r="PUY381" s="422"/>
      <c r="PUZ381" s="775"/>
      <c r="PVA381" s="774"/>
      <c r="PVB381" s="776"/>
      <c r="PVC381" s="430"/>
      <c r="PVD381" s="717"/>
      <c r="PVE381" s="774"/>
      <c r="PVF381" s="774"/>
      <c r="PVG381" s="422"/>
      <c r="PVH381" s="775"/>
      <c r="PVI381" s="774"/>
      <c r="PVJ381" s="776"/>
      <c r="PVK381" s="430"/>
      <c r="PVL381" s="717"/>
      <c r="PVM381" s="774"/>
      <c r="PVN381" s="774"/>
      <c r="PVO381" s="422"/>
      <c r="PVP381" s="775"/>
      <c r="PVQ381" s="774"/>
      <c r="PVR381" s="776"/>
      <c r="PVS381" s="430"/>
      <c r="PVT381" s="717"/>
      <c r="PVU381" s="774"/>
      <c r="PVV381" s="774"/>
      <c r="PVW381" s="422"/>
      <c r="PVX381" s="775"/>
      <c r="PVY381" s="774"/>
      <c r="PVZ381" s="776"/>
      <c r="PWA381" s="430"/>
      <c r="PWB381" s="717"/>
      <c r="PWC381" s="774"/>
      <c r="PWD381" s="774"/>
      <c r="PWE381" s="422"/>
      <c r="PWF381" s="775"/>
      <c r="PWG381" s="774"/>
      <c r="PWH381" s="776"/>
      <c r="PWI381" s="430"/>
      <c r="PWJ381" s="717"/>
      <c r="PWK381" s="774"/>
      <c r="PWL381" s="774"/>
      <c r="PWM381" s="422"/>
      <c r="PWN381" s="775"/>
      <c r="PWO381" s="774"/>
      <c r="PWP381" s="776"/>
      <c r="PWQ381" s="430"/>
      <c r="PWR381" s="717"/>
      <c r="PWS381" s="774"/>
      <c r="PWT381" s="774"/>
      <c r="PWU381" s="422"/>
      <c r="PWV381" s="775"/>
      <c r="PWW381" s="774"/>
      <c r="PWX381" s="776"/>
      <c r="PWY381" s="430"/>
      <c r="PWZ381" s="717"/>
      <c r="PXA381" s="774"/>
      <c r="PXB381" s="774"/>
      <c r="PXC381" s="422"/>
      <c r="PXD381" s="775"/>
      <c r="PXE381" s="774"/>
      <c r="PXF381" s="776"/>
      <c r="PXG381" s="430"/>
      <c r="PXH381" s="717"/>
      <c r="PXI381" s="774"/>
      <c r="PXJ381" s="774"/>
      <c r="PXK381" s="422"/>
      <c r="PXL381" s="775"/>
      <c r="PXM381" s="774"/>
      <c r="PXN381" s="776"/>
      <c r="PXO381" s="430"/>
      <c r="PXP381" s="717"/>
      <c r="PXQ381" s="774"/>
      <c r="PXR381" s="774"/>
      <c r="PXS381" s="422"/>
      <c r="PXT381" s="775"/>
      <c r="PXU381" s="774"/>
      <c r="PXV381" s="776"/>
      <c r="PXW381" s="430"/>
      <c r="PXX381" s="717"/>
      <c r="PXY381" s="774"/>
      <c r="PXZ381" s="774"/>
      <c r="PYA381" s="422"/>
      <c r="PYB381" s="775"/>
      <c r="PYC381" s="774"/>
      <c r="PYD381" s="776"/>
      <c r="PYE381" s="430"/>
      <c r="PYF381" s="717"/>
      <c r="PYG381" s="774"/>
      <c r="PYH381" s="774"/>
      <c r="PYI381" s="422"/>
      <c r="PYJ381" s="775"/>
      <c r="PYK381" s="774"/>
      <c r="PYL381" s="776"/>
      <c r="PYM381" s="430"/>
      <c r="PYN381" s="717"/>
      <c r="PYO381" s="774"/>
      <c r="PYP381" s="774"/>
      <c r="PYQ381" s="422"/>
      <c r="PYR381" s="775"/>
      <c r="PYS381" s="774"/>
      <c r="PYT381" s="776"/>
      <c r="PYU381" s="430"/>
      <c r="PYV381" s="717"/>
      <c r="PYW381" s="774"/>
      <c r="PYX381" s="774"/>
      <c r="PYY381" s="422"/>
      <c r="PYZ381" s="775"/>
      <c r="PZA381" s="774"/>
      <c r="PZB381" s="776"/>
      <c r="PZC381" s="430"/>
      <c r="PZD381" s="717"/>
      <c r="PZE381" s="774"/>
      <c r="PZF381" s="774"/>
      <c r="PZG381" s="422"/>
      <c r="PZH381" s="775"/>
      <c r="PZI381" s="774"/>
      <c r="PZJ381" s="776"/>
      <c r="PZK381" s="430"/>
      <c r="PZL381" s="717"/>
      <c r="PZM381" s="774"/>
      <c r="PZN381" s="774"/>
      <c r="PZO381" s="422"/>
      <c r="PZP381" s="775"/>
      <c r="PZQ381" s="774"/>
      <c r="PZR381" s="776"/>
      <c r="PZS381" s="430"/>
      <c r="PZT381" s="717"/>
      <c r="PZU381" s="774"/>
      <c r="PZV381" s="774"/>
      <c r="PZW381" s="422"/>
      <c r="PZX381" s="775"/>
      <c r="PZY381" s="774"/>
      <c r="PZZ381" s="776"/>
      <c r="QAA381" s="430"/>
      <c r="QAB381" s="717"/>
      <c r="QAC381" s="774"/>
      <c r="QAD381" s="774"/>
      <c r="QAE381" s="422"/>
      <c r="QAF381" s="775"/>
      <c r="QAG381" s="774"/>
      <c r="QAH381" s="776"/>
      <c r="QAI381" s="430"/>
      <c r="QAJ381" s="717"/>
      <c r="QAK381" s="774"/>
      <c r="QAL381" s="774"/>
      <c r="QAM381" s="422"/>
      <c r="QAN381" s="775"/>
      <c r="QAO381" s="774"/>
      <c r="QAP381" s="776"/>
      <c r="QAQ381" s="430"/>
      <c r="QAR381" s="717"/>
      <c r="QAS381" s="774"/>
      <c r="QAT381" s="774"/>
      <c r="QAU381" s="422"/>
      <c r="QAV381" s="775"/>
      <c r="QAW381" s="774"/>
      <c r="QAX381" s="776"/>
      <c r="QAY381" s="430"/>
      <c r="QAZ381" s="717"/>
      <c r="QBA381" s="774"/>
      <c r="QBB381" s="774"/>
      <c r="QBC381" s="422"/>
      <c r="QBD381" s="775"/>
      <c r="QBE381" s="774"/>
      <c r="QBF381" s="776"/>
      <c r="QBG381" s="430"/>
      <c r="QBH381" s="717"/>
      <c r="QBI381" s="774"/>
      <c r="QBJ381" s="774"/>
      <c r="QBK381" s="422"/>
      <c r="QBL381" s="775"/>
      <c r="QBM381" s="774"/>
      <c r="QBN381" s="776"/>
      <c r="QBO381" s="430"/>
      <c r="QBP381" s="717"/>
      <c r="QBQ381" s="774"/>
      <c r="QBR381" s="774"/>
      <c r="QBS381" s="422"/>
      <c r="QBT381" s="775"/>
      <c r="QBU381" s="774"/>
      <c r="QBV381" s="776"/>
      <c r="QBW381" s="430"/>
      <c r="QBX381" s="717"/>
      <c r="QBY381" s="774"/>
      <c r="QBZ381" s="774"/>
      <c r="QCA381" s="422"/>
      <c r="QCB381" s="775"/>
      <c r="QCC381" s="774"/>
      <c r="QCD381" s="776"/>
      <c r="QCE381" s="430"/>
      <c r="QCF381" s="717"/>
      <c r="QCG381" s="774"/>
      <c r="QCH381" s="774"/>
      <c r="QCI381" s="422"/>
      <c r="QCJ381" s="775"/>
      <c r="QCK381" s="774"/>
      <c r="QCL381" s="776"/>
      <c r="QCM381" s="430"/>
      <c r="QCN381" s="717"/>
      <c r="QCO381" s="774"/>
      <c r="QCP381" s="774"/>
      <c r="QCQ381" s="422"/>
      <c r="QCR381" s="775"/>
      <c r="QCS381" s="774"/>
      <c r="QCT381" s="776"/>
      <c r="QCU381" s="430"/>
      <c r="QCV381" s="717"/>
      <c r="QCW381" s="774"/>
      <c r="QCX381" s="774"/>
      <c r="QCY381" s="422"/>
      <c r="QCZ381" s="775"/>
      <c r="QDA381" s="774"/>
      <c r="QDB381" s="776"/>
      <c r="QDC381" s="430"/>
      <c r="QDD381" s="717"/>
      <c r="QDE381" s="774"/>
      <c r="QDF381" s="774"/>
      <c r="QDG381" s="422"/>
      <c r="QDH381" s="775"/>
      <c r="QDI381" s="774"/>
      <c r="QDJ381" s="776"/>
      <c r="QDK381" s="430"/>
      <c r="QDL381" s="717"/>
      <c r="QDM381" s="774"/>
      <c r="QDN381" s="774"/>
      <c r="QDO381" s="422"/>
      <c r="QDP381" s="775"/>
      <c r="QDQ381" s="774"/>
      <c r="QDR381" s="776"/>
      <c r="QDS381" s="430"/>
      <c r="QDT381" s="717"/>
      <c r="QDU381" s="774"/>
      <c r="QDV381" s="774"/>
      <c r="QDW381" s="422"/>
      <c r="QDX381" s="775"/>
      <c r="QDY381" s="774"/>
      <c r="QDZ381" s="776"/>
      <c r="QEA381" s="430"/>
      <c r="QEB381" s="717"/>
      <c r="QEC381" s="774"/>
      <c r="QED381" s="774"/>
      <c r="QEE381" s="422"/>
      <c r="QEF381" s="775"/>
      <c r="QEG381" s="774"/>
      <c r="QEH381" s="776"/>
      <c r="QEI381" s="430"/>
      <c r="QEJ381" s="717"/>
      <c r="QEK381" s="774"/>
      <c r="QEL381" s="774"/>
      <c r="QEM381" s="422"/>
      <c r="QEN381" s="775"/>
      <c r="QEO381" s="774"/>
      <c r="QEP381" s="776"/>
      <c r="QEQ381" s="430"/>
      <c r="QER381" s="717"/>
      <c r="QES381" s="774"/>
      <c r="QET381" s="774"/>
      <c r="QEU381" s="422"/>
      <c r="QEV381" s="775"/>
      <c r="QEW381" s="774"/>
      <c r="QEX381" s="776"/>
      <c r="QEY381" s="430"/>
      <c r="QEZ381" s="717"/>
      <c r="QFA381" s="774"/>
      <c r="QFB381" s="774"/>
      <c r="QFC381" s="422"/>
      <c r="QFD381" s="775"/>
      <c r="QFE381" s="774"/>
      <c r="QFF381" s="776"/>
      <c r="QFG381" s="430"/>
      <c r="QFH381" s="717"/>
      <c r="QFI381" s="774"/>
      <c r="QFJ381" s="774"/>
      <c r="QFK381" s="422"/>
      <c r="QFL381" s="775"/>
      <c r="QFM381" s="774"/>
      <c r="QFN381" s="776"/>
      <c r="QFO381" s="430"/>
      <c r="QFP381" s="717"/>
      <c r="QFQ381" s="774"/>
      <c r="QFR381" s="774"/>
      <c r="QFS381" s="422"/>
      <c r="QFT381" s="775"/>
      <c r="QFU381" s="774"/>
      <c r="QFV381" s="776"/>
      <c r="QFW381" s="430"/>
      <c r="QFX381" s="717"/>
      <c r="QFY381" s="774"/>
      <c r="QFZ381" s="774"/>
      <c r="QGA381" s="422"/>
      <c r="QGB381" s="775"/>
      <c r="QGC381" s="774"/>
      <c r="QGD381" s="776"/>
      <c r="QGE381" s="430"/>
      <c r="QGF381" s="717"/>
      <c r="QGG381" s="774"/>
      <c r="QGH381" s="774"/>
      <c r="QGI381" s="422"/>
      <c r="QGJ381" s="775"/>
      <c r="QGK381" s="774"/>
      <c r="QGL381" s="776"/>
      <c r="QGM381" s="430"/>
      <c r="QGN381" s="717"/>
      <c r="QGO381" s="774"/>
      <c r="QGP381" s="774"/>
      <c r="QGQ381" s="422"/>
      <c r="QGR381" s="775"/>
      <c r="QGS381" s="774"/>
      <c r="QGT381" s="776"/>
      <c r="QGU381" s="430"/>
      <c r="QGV381" s="717"/>
      <c r="QGW381" s="774"/>
      <c r="QGX381" s="774"/>
      <c r="QGY381" s="422"/>
      <c r="QGZ381" s="775"/>
      <c r="QHA381" s="774"/>
      <c r="QHB381" s="776"/>
      <c r="QHC381" s="430"/>
      <c r="QHD381" s="717"/>
      <c r="QHE381" s="774"/>
      <c r="QHF381" s="774"/>
      <c r="QHG381" s="422"/>
      <c r="QHH381" s="775"/>
      <c r="QHI381" s="774"/>
      <c r="QHJ381" s="776"/>
      <c r="QHK381" s="430"/>
      <c r="QHL381" s="717"/>
      <c r="QHM381" s="774"/>
      <c r="QHN381" s="774"/>
      <c r="QHO381" s="422"/>
      <c r="QHP381" s="775"/>
      <c r="QHQ381" s="774"/>
      <c r="QHR381" s="776"/>
      <c r="QHS381" s="430"/>
      <c r="QHT381" s="717"/>
      <c r="QHU381" s="774"/>
      <c r="QHV381" s="774"/>
      <c r="QHW381" s="422"/>
      <c r="QHX381" s="775"/>
      <c r="QHY381" s="774"/>
      <c r="QHZ381" s="776"/>
      <c r="QIA381" s="430"/>
      <c r="QIB381" s="717"/>
      <c r="QIC381" s="774"/>
      <c r="QID381" s="774"/>
      <c r="QIE381" s="422"/>
      <c r="QIF381" s="775"/>
      <c r="QIG381" s="774"/>
      <c r="QIH381" s="776"/>
      <c r="QII381" s="430"/>
      <c r="QIJ381" s="717"/>
      <c r="QIK381" s="774"/>
      <c r="QIL381" s="774"/>
      <c r="QIM381" s="422"/>
      <c r="QIN381" s="775"/>
      <c r="QIO381" s="774"/>
      <c r="QIP381" s="776"/>
      <c r="QIQ381" s="430"/>
      <c r="QIR381" s="717"/>
      <c r="QIS381" s="774"/>
      <c r="QIT381" s="774"/>
      <c r="QIU381" s="422"/>
      <c r="QIV381" s="775"/>
      <c r="QIW381" s="774"/>
      <c r="QIX381" s="776"/>
      <c r="QIY381" s="430"/>
      <c r="QIZ381" s="717"/>
      <c r="QJA381" s="774"/>
      <c r="QJB381" s="774"/>
      <c r="QJC381" s="422"/>
      <c r="QJD381" s="775"/>
      <c r="QJE381" s="774"/>
      <c r="QJF381" s="776"/>
      <c r="QJG381" s="430"/>
      <c r="QJH381" s="717"/>
      <c r="QJI381" s="774"/>
      <c r="QJJ381" s="774"/>
      <c r="QJK381" s="422"/>
      <c r="QJL381" s="775"/>
      <c r="QJM381" s="774"/>
      <c r="QJN381" s="776"/>
      <c r="QJO381" s="430"/>
      <c r="QJP381" s="717"/>
      <c r="QJQ381" s="774"/>
      <c r="QJR381" s="774"/>
      <c r="QJS381" s="422"/>
      <c r="QJT381" s="775"/>
      <c r="QJU381" s="774"/>
      <c r="QJV381" s="776"/>
      <c r="QJW381" s="430"/>
      <c r="QJX381" s="717"/>
      <c r="QJY381" s="774"/>
      <c r="QJZ381" s="774"/>
      <c r="QKA381" s="422"/>
      <c r="QKB381" s="775"/>
      <c r="QKC381" s="774"/>
      <c r="QKD381" s="776"/>
      <c r="QKE381" s="430"/>
      <c r="QKF381" s="717"/>
      <c r="QKG381" s="774"/>
      <c r="QKH381" s="774"/>
      <c r="QKI381" s="422"/>
      <c r="QKJ381" s="775"/>
      <c r="QKK381" s="774"/>
      <c r="QKL381" s="776"/>
      <c r="QKM381" s="430"/>
      <c r="QKN381" s="717"/>
      <c r="QKO381" s="774"/>
      <c r="QKP381" s="774"/>
      <c r="QKQ381" s="422"/>
      <c r="QKR381" s="775"/>
      <c r="QKS381" s="774"/>
      <c r="QKT381" s="776"/>
      <c r="QKU381" s="430"/>
      <c r="QKV381" s="717"/>
      <c r="QKW381" s="774"/>
      <c r="QKX381" s="774"/>
      <c r="QKY381" s="422"/>
      <c r="QKZ381" s="775"/>
      <c r="QLA381" s="774"/>
      <c r="QLB381" s="776"/>
      <c r="QLC381" s="430"/>
      <c r="QLD381" s="717"/>
      <c r="QLE381" s="774"/>
      <c r="QLF381" s="774"/>
      <c r="QLG381" s="422"/>
      <c r="QLH381" s="775"/>
      <c r="QLI381" s="774"/>
      <c r="QLJ381" s="776"/>
      <c r="QLK381" s="430"/>
      <c r="QLL381" s="717"/>
      <c r="QLM381" s="774"/>
      <c r="QLN381" s="774"/>
      <c r="QLO381" s="422"/>
      <c r="QLP381" s="775"/>
      <c r="QLQ381" s="774"/>
      <c r="QLR381" s="776"/>
      <c r="QLS381" s="430"/>
      <c r="QLT381" s="717"/>
      <c r="QLU381" s="774"/>
      <c r="QLV381" s="774"/>
      <c r="QLW381" s="422"/>
      <c r="QLX381" s="775"/>
      <c r="QLY381" s="774"/>
      <c r="QLZ381" s="776"/>
      <c r="QMA381" s="430"/>
      <c r="QMB381" s="717"/>
      <c r="QMC381" s="774"/>
      <c r="QMD381" s="774"/>
      <c r="QME381" s="422"/>
      <c r="QMF381" s="775"/>
      <c r="QMG381" s="774"/>
      <c r="QMH381" s="776"/>
      <c r="QMI381" s="430"/>
      <c r="QMJ381" s="717"/>
      <c r="QMK381" s="774"/>
      <c r="QML381" s="774"/>
      <c r="QMM381" s="422"/>
      <c r="QMN381" s="775"/>
      <c r="QMO381" s="774"/>
      <c r="QMP381" s="776"/>
      <c r="QMQ381" s="430"/>
      <c r="QMR381" s="717"/>
      <c r="QMS381" s="774"/>
      <c r="QMT381" s="774"/>
      <c r="QMU381" s="422"/>
      <c r="QMV381" s="775"/>
      <c r="QMW381" s="774"/>
      <c r="QMX381" s="776"/>
      <c r="QMY381" s="430"/>
      <c r="QMZ381" s="717"/>
      <c r="QNA381" s="774"/>
      <c r="QNB381" s="774"/>
      <c r="QNC381" s="422"/>
      <c r="QND381" s="775"/>
      <c r="QNE381" s="774"/>
      <c r="QNF381" s="776"/>
      <c r="QNG381" s="430"/>
      <c r="QNH381" s="717"/>
      <c r="QNI381" s="774"/>
      <c r="QNJ381" s="774"/>
      <c r="QNK381" s="422"/>
      <c r="QNL381" s="775"/>
      <c r="QNM381" s="774"/>
      <c r="QNN381" s="776"/>
      <c r="QNO381" s="430"/>
      <c r="QNP381" s="717"/>
      <c r="QNQ381" s="774"/>
      <c r="QNR381" s="774"/>
      <c r="QNS381" s="422"/>
      <c r="QNT381" s="775"/>
      <c r="QNU381" s="774"/>
      <c r="QNV381" s="776"/>
      <c r="QNW381" s="430"/>
      <c r="QNX381" s="717"/>
      <c r="QNY381" s="774"/>
      <c r="QNZ381" s="774"/>
      <c r="QOA381" s="422"/>
      <c r="QOB381" s="775"/>
      <c r="QOC381" s="774"/>
      <c r="QOD381" s="776"/>
      <c r="QOE381" s="430"/>
      <c r="QOF381" s="717"/>
      <c r="QOG381" s="774"/>
      <c r="QOH381" s="774"/>
      <c r="QOI381" s="422"/>
      <c r="QOJ381" s="775"/>
      <c r="QOK381" s="774"/>
      <c r="QOL381" s="776"/>
      <c r="QOM381" s="430"/>
      <c r="QON381" s="717"/>
      <c r="QOO381" s="774"/>
      <c r="QOP381" s="774"/>
      <c r="QOQ381" s="422"/>
      <c r="QOR381" s="775"/>
      <c r="QOS381" s="774"/>
      <c r="QOT381" s="776"/>
      <c r="QOU381" s="430"/>
      <c r="QOV381" s="717"/>
      <c r="QOW381" s="774"/>
      <c r="QOX381" s="774"/>
      <c r="QOY381" s="422"/>
      <c r="QOZ381" s="775"/>
      <c r="QPA381" s="774"/>
      <c r="QPB381" s="776"/>
      <c r="QPC381" s="430"/>
      <c r="QPD381" s="717"/>
      <c r="QPE381" s="774"/>
      <c r="QPF381" s="774"/>
      <c r="QPG381" s="422"/>
      <c r="QPH381" s="775"/>
      <c r="QPI381" s="774"/>
      <c r="QPJ381" s="776"/>
      <c r="QPK381" s="430"/>
      <c r="QPL381" s="717"/>
      <c r="QPM381" s="774"/>
      <c r="QPN381" s="774"/>
      <c r="QPO381" s="422"/>
      <c r="QPP381" s="775"/>
      <c r="QPQ381" s="774"/>
      <c r="QPR381" s="776"/>
      <c r="QPS381" s="430"/>
      <c r="QPT381" s="717"/>
      <c r="QPU381" s="774"/>
      <c r="QPV381" s="774"/>
      <c r="QPW381" s="422"/>
      <c r="QPX381" s="775"/>
      <c r="QPY381" s="774"/>
      <c r="QPZ381" s="776"/>
      <c r="QQA381" s="430"/>
      <c r="QQB381" s="717"/>
      <c r="QQC381" s="774"/>
      <c r="QQD381" s="774"/>
      <c r="QQE381" s="422"/>
      <c r="QQF381" s="775"/>
      <c r="QQG381" s="774"/>
      <c r="QQH381" s="776"/>
      <c r="QQI381" s="430"/>
      <c r="QQJ381" s="717"/>
      <c r="QQK381" s="774"/>
      <c r="QQL381" s="774"/>
      <c r="QQM381" s="422"/>
      <c r="QQN381" s="775"/>
      <c r="QQO381" s="774"/>
      <c r="QQP381" s="776"/>
      <c r="QQQ381" s="430"/>
      <c r="QQR381" s="717"/>
      <c r="QQS381" s="774"/>
      <c r="QQT381" s="774"/>
      <c r="QQU381" s="422"/>
      <c r="QQV381" s="775"/>
      <c r="QQW381" s="774"/>
      <c r="QQX381" s="776"/>
      <c r="QQY381" s="430"/>
      <c r="QQZ381" s="717"/>
      <c r="QRA381" s="774"/>
      <c r="QRB381" s="774"/>
      <c r="QRC381" s="422"/>
      <c r="QRD381" s="775"/>
      <c r="QRE381" s="774"/>
      <c r="QRF381" s="776"/>
      <c r="QRG381" s="430"/>
      <c r="QRH381" s="717"/>
      <c r="QRI381" s="774"/>
      <c r="QRJ381" s="774"/>
      <c r="QRK381" s="422"/>
      <c r="QRL381" s="775"/>
      <c r="QRM381" s="774"/>
      <c r="QRN381" s="776"/>
      <c r="QRO381" s="430"/>
      <c r="QRP381" s="717"/>
      <c r="QRQ381" s="774"/>
      <c r="QRR381" s="774"/>
      <c r="QRS381" s="422"/>
      <c r="QRT381" s="775"/>
      <c r="QRU381" s="774"/>
      <c r="QRV381" s="776"/>
      <c r="QRW381" s="430"/>
      <c r="QRX381" s="717"/>
      <c r="QRY381" s="774"/>
      <c r="QRZ381" s="774"/>
      <c r="QSA381" s="422"/>
      <c r="QSB381" s="775"/>
      <c r="QSC381" s="774"/>
      <c r="QSD381" s="776"/>
      <c r="QSE381" s="430"/>
      <c r="QSF381" s="717"/>
      <c r="QSG381" s="774"/>
      <c r="QSH381" s="774"/>
      <c r="QSI381" s="422"/>
      <c r="QSJ381" s="775"/>
      <c r="QSK381" s="774"/>
      <c r="QSL381" s="776"/>
      <c r="QSM381" s="430"/>
      <c r="QSN381" s="717"/>
      <c r="QSO381" s="774"/>
      <c r="QSP381" s="774"/>
      <c r="QSQ381" s="422"/>
      <c r="QSR381" s="775"/>
      <c r="QSS381" s="774"/>
      <c r="QST381" s="776"/>
      <c r="QSU381" s="430"/>
      <c r="QSV381" s="717"/>
      <c r="QSW381" s="774"/>
      <c r="QSX381" s="774"/>
      <c r="QSY381" s="422"/>
      <c r="QSZ381" s="775"/>
      <c r="QTA381" s="774"/>
      <c r="QTB381" s="776"/>
      <c r="QTC381" s="430"/>
      <c r="QTD381" s="717"/>
      <c r="QTE381" s="774"/>
      <c r="QTF381" s="774"/>
      <c r="QTG381" s="422"/>
      <c r="QTH381" s="775"/>
      <c r="QTI381" s="774"/>
      <c r="QTJ381" s="776"/>
      <c r="QTK381" s="430"/>
      <c r="QTL381" s="717"/>
      <c r="QTM381" s="774"/>
      <c r="QTN381" s="774"/>
      <c r="QTO381" s="422"/>
      <c r="QTP381" s="775"/>
      <c r="QTQ381" s="774"/>
      <c r="QTR381" s="776"/>
      <c r="QTS381" s="430"/>
      <c r="QTT381" s="717"/>
      <c r="QTU381" s="774"/>
      <c r="QTV381" s="774"/>
      <c r="QTW381" s="422"/>
      <c r="QTX381" s="775"/>
      <c r="QTY381" s="774"/>
      <c r="QTZ381" s="776"/>
      <c r="QUA381" s="430"/>
      <c r="QUB381" s="717"/>
      <c r="QUC381" s="774"/>
      <c r="QUD381" s="774"/>
      <c r="QUE381" s="422"/>
      <c r="QUF381" s="775"/>
      <c r="QUG381" s="774"/>
      <c r="QUH381" s="776"/>
      <c r="QUI381" s="430"/>
      <c r="QUJ381" s="717"/>
      <c r="QUK381" s="774"/>
      <c r="QUL381" s="774"/>
      <c r="QUM381" s="422"/>
      <c r="QUN381" s="775"/>
      <c r="QUO381" s="774"/>
      <c r="QUP381" s="776"/>
      <c r="QUQ381" s="430"/>
      <c r="QUR381" s="717"/>
      <c r="QUS381" s="774"/>
      <c r="QUT381" s="774"/>
      <c r="QUU381" s="422"/>
      <c r="QUV381" s="775"/>
      <c r="QUW381" s="774"/>
      <c r="QUX381" s="776"/>
      <c r="QUY381" s="430"/>
      <c r="QUZ381" s="717"/>
      <c r="QVA381" s="774"/>
      <c r="QVB381" s="774"/>
      <c r="QVC381" s="422"/>
      <c r="QVD381" s="775"/>
      <c r="QVE381" s="774"/>
      <c r="QVF381" s="776"/>
      <c r="QVG381" s="430"/>
      <c r="QVH381" s="717"/>
      <c r="QVI381" s="774"/>
      <c r="QVJ381" s="774"/>
      <c r="QVK381" s="422"/>
      <c r="QVL381" s="775"/>
      <c r="QVM381" s="774"/>
      <c r="QVN381" s="776"/>
      <c r="QVO381" s="430"/>
      <c r="QVP381" s="717"/>
      <c r="QVQ381" s="774"/>
      <c r="QVR381" s="774"/>
      <c r="QVS381" s="422"/>
      <c r="QVT381" s="775"/>
      <c r="QVU381" s="774"/>
      <c r="QVV381" s="776"/>
      <c r="QVW381" s="430"/>
      <c r="QVX381" s="717"/>
      <c r="QVY381" s="774"/>
      <c r="QVZ381" s="774"/>
      <c r="QWA381" s="422"/>
      <c r="QWB381" s="775"/>
      <c r="QWC381" s="774"/>
      <c r="QWD381" s="776"/>
      <c r="QWE381" s="430"/>
      <c r="QWF381" s="717"/>
      <c r="QWG381" s="774"/>
      <c r="QWH381" s="774"/>
      <c r="QWI381" s="422"/>
      <c r="QWJ381" s="775"/>
      <c r="QWK381" s="774"/>
      <c r="QWL381" s="776"/>
      <c r="QWM381" s="430"/>
      <c r="QWN381" s="717"/>
      <c r="QWO381" s="774"/>
      <c r="QWP381" s="774"/>
      <c r="QWQ381" s="422"/>
      <c r="QWR381" s="775"/>
      <c r="QWS381" s="774"/>
      <c r="QWT381" s="776"/>
      <c r="QWU381" s="430"/>
      <c r="QWV381" s="717"/>
      <c r="QWW381" s="774"/>
      <c r="QWX381" s="774"/>
      <c r="QWY381" s="422"/>
      <c r="QWZ381" s="775"/>
      <c r="QXA381" s="774"/>
      <c r="QXB381" s="776"/>
      <c r="QXC381" s="430"/>
      <c r="QXD381" s="717"/>
      <c r="QXE381" s="774"/>
      <c r="QXF381" s="774"/>
      <c r="QXG381" s="422"/>
      <c r="QXH381" s="775"/>
      <c r="QXI381" s="774"/>
      <c r="QXJ381" s="776"/>
      <c r="QXK381" s="430"/>
      <c r="QXL381" s="717"/>
      <c r="QXM381" s="774"/>
      <c r="QXN381" s="774"/>
      <c r="QXO381" s="422"/>
      <c r="QXP381" s="775"/>
      <c r="QXQ381" s="774"/>
      <c r="QXR381" s="776"/>
      <c r="QXS381" s="430"/>
      <c r="QXT381" s="717"/>
      <c r="QXU381" s="774"/>
      <c r="QXV381" s="774"/>
      <c r="QXW381" s="422"/>
      <c r="QXX381" s="775"/>
      <c r="QXY381" s="774"/>
      <c r="QXZ381" s="776"/>
      <c r="QYA381" s="430"/>
      <c r="QYB381" s="717"/>
      <c r="QYC381" s="774"/>
      <c r="QYD381" s="774"/>
      <c r="QYE381" s="422"/>
      <c r="QYF381" s="775"/>
      <c r="QYG381" s="774"/>
      <c r="QYH381" s="776"/>
      <c r="QYI381" s="430"/>
      <c r="QYJ381" s="717"/>
      <c r="QYK381" s="774"/>
      <c r="QYL381" s="774"/>
      <c r="QYM381" s="422"/>
      <c r="QYN381" s="775"/>
      <c r="QYO381" s="774"/>
      <c r="QYP381" s="776"/>
      <c r="QYQ381" s="430"/>
      <c r="QYR381" s="717"/>
      <c r="QYS381" s="774"/>
      <c r="QYT381" s="774"/>
      <c r="QYU381" s="422"/>
      <c r="QYV381" s="775"/>
      <c r="QYW381" s="774"/>
      <c r="QYX381" s="776"/>
      <c r="QYY381" s="430"/>
      <c r="QYZ381" s="717"/>
      <c r="QZA381" s="774"/>
      <c r="QZB381" s="774"/>
      <c r="QZC381" s="422"/>
      <c r="QZD381" s="775"/>
      <c r="QZE381" s="774"/>
      <c r="QZF381" s="776"/>
      <c r="QZG381" s="430"/>
      <c r="QZH381" s="717"/>
      <c r="QZI381" s="774"/>
      <c r="QZJ381" s="774"/>
      <c r="QZK381" s="422"/>
      <c r="QZL381" s="775"/>
      <c r="QZM381" s="774"/>
      <c r="QZN381" s="776"/>
      <c r="QZO381" s="430"/>
      <c r="QZP381" s="717"/>
      <c r="QZQ381" s="774"/>
      <c r="QZR381" s="774"/>
      <c r="QZS381" s="422"/>
      <c r="QZT381" s="775"/>
      <c r="QZU381" s="774"/>
      <c r="QZV381" s="776"/>
      <c r="QZW381" s="430"/>
      <c r="QZX381" s="717"/>
      <c r="QZY381" s="774"/>
      <c r="QZZ381" s="774"/>
      <c r="RAA381" s="422"/>
      <c r="RAB381" s="775"/>
      <c r="RAC381" s="774"/>
      <c r="RAD381" s="776"/>
      <c r="RAE381" s="430"/>
      <c r="RAF381" s="717"/>
      <c r="RAG381" s="774"/>
      <c r="RAH381" s="774"/>
      <c r="RAI381" s="422"/>
      <c r="RAJ381" s="775"/>
      <c r="RAK381" s="774"/>
      <c r="RAL381" s="776"/>
      <c r="RAM381" s="430"/>
      <c r="RAN381" s="717"/>
      <c r="RAO381" s="774"/>
      <c r="RAP381" s="774"/>
      <c r="RAQ381" s="422"/>
      <c r="RAR381" s="775"/>
      <c r="RAS381" s="774"/>
      <c r="RAT381" s="776"/>
      <c r="RAU381" s="430"/>
      <c r="RAV381" s="717"/>
      <c r="RAW381" s="774"/>
      <c r="RAX381" s="774"/>
      <c r="RAY381" s="422"/>
      <c r="RAZ381" s="775"/>
      <c r="RBA381" s="774"/>
      <c r="RBB381" s="776"/>
      <c r="RBC381" s="430"/>
      <c r="RBD381" s="717"/>
      <c r="RBE381" s="774"/>
      <c r="RBF381" s="774"/>
      <c r="RBG381" s="422"/>
      <c r="RBH381" s="775"/>
      <c r="RBI381" s="774"/>
      <c r="RBJ381" s="776"/>
      <c r="RBK381" s="430"/>
      <c r="RBL381" s="717"/>
      <c r="RBM381" s="774"/>
      <c r="RBN381" s="774"/>
      <c r="RBO381" s="422"/>
      <c r="RBP381" s="775"/>
      <c r="RBQ381" s="774"/>
      <c r="RBR381" s="776"/>
      <c r="RBS381" s="430"/>
      <c r="RBT381" s="717"/>
      <c r="RBU381" s="774"/>
      <c r="RBV381" s="774"/>
      <c r="RBW381" s="422"/>
      <c r="RBX381" s="775"/>
      <c r="RBY381" s="774"/>
      <c r="RBZ381" s="776"/>
      <c r="RCA381" s="430"/>
      <c r="RCB381" s="717"/>
      <c r="RCC381" s="774"/>
      <c r="RCD381" s="774"/>
      <c r="RCE381" s="422"/>
      <c r="RCF381" s="775"/>
      <c r="RCG381" s="774"/>
      <c r="RCH381" s="776"/>
      <c r="RCI381" s="430"/>
      <c r="RCJ381" s="717"/>
      <c r="RCK381" s="774"/>
      <c r="RCL381" s="774"/>
      <c r="RCM381" s="422"/>
      <c r="RCN381" s="775"/>
      <c r="RCO381" s="774"/>
      <c r="RCP381" s="776"/>
      <c r="RCQ381" s="430"/>
      <c r="RCR381" s="717"/>
      <c r="RCS381" s="774"/>
      <c r="RCT381" s="774"/>
      <c r="RCU381" s="422"/>
      <c r="RCV381" s="775"/>
      <c r="RCW381" s="774"/>
      <c r="RCX381" s="776"/>
      <c r="RCY381" s="430"/>
      <c r="RCZ381" s="717"/>
      <c r="RDA381" s="774"/>
      <c r="RDB381" s="774"/>
      <c r="RDC381" s="422"/>
      <c r="RDD381" s="775"/>
      <c r="RDE381" s="774"/>
      <c r="RDF381" s="776"/>
      <c r="RDG381" s="430"/>
      <c r="RDH381" s="717"/>
      <c r="RDI381" s="774"/>
      <c r="RDJ381" s="774"/>
      <c r="RDK381" s="422"/>
      <c r="RDL381" s="775"/>
      <c r="RDM381" s="774"/>
      <c r="RDN381" s="776"/>
      <c r="RDO381" s="430"/>
      <c r="RDP381" s="717"/>
      <c r="RDQ381" s="774"/>
      <c r="RDR381" s="774"/>
      <c r="RDS381" s="422"/>
      <c r="RDT381" s="775"/>
      <c r="RDU381" s="774"/>
      <c r="RDV381" s="776"/>
      <c r="RDW381" s="430"/>
      <c r="RDX381" s="717"/>
      <c r="RDY381" s="774"/>
      <c r="RDZ381" s="774"/>
      <c r="REA381" s="422"/>
      <c r="REB381" s="775"/>
      <c r="REC381" s="774"/>
      <c r="RED381" s="776"/>
      <c r="REE381" s="430"/>
      <c r="REF381" s="717"/>
      <c r="REG381" s="774"/>
      <c r="REH381" s="774"/>
      <c r="REI381" s="422"/>
      <c r="REJ381" s="775"/>
      <c r="REK381" s="774"/>
      <c r="REL381" s="776"/>
      <c r="REM381" s="430"/>
      <c r="REN381" s="717"/>
      <c r="REO381" s="774"/>
      <c r="REP381" s="774"/>
      <c r="REQ381" s="422"/>
      <c r="RER381" s="775"/>
      <c r="RES381" s="774"/>
      <c r="RET381" s="776"/>
      <c r="REU381" s="430"/>
      <c r="REV381" s="717"/>
      <c r="REW381" s="774"/>
      <c r="REX381" s="774"/>
      <c r="REY381" s="422"/>
      <c r="REZ381" s="775"/>
      <c r="RFA381" s="774"/>
      <c r="RFB381" s="776"/>
      <c r="RFC381" s="430"/>
      <c r="RFD381" s="717"/>
      <c r="RFE381" s="774"/>
      <c r="RFF381" s="774"/>
      <c r="RFG381" s="422"/>
      <c r="RFH381" s="775"/>
      <c r="RFI381" s="774"/>
      <c r="RFJ381" s="776"/>
      <c r="RFK381" s="430"/>
      <c r="RFL381" s="717"/>
      <c r="RFM381" s="774"/>
      <c r="RFN381" s="774"/>
      <c r="RFO381" s="422"/>
      <c r="RFP381" s="775"/>
      <c r="RFQ381" s="774"/>
      <c r="RFR381" s="776"/>
      <c r="RFS381" s="430"/>
      <c r="RFT381" s="717"/>
      <c r="RFU381" s="774"/>
      <c r="RFV381" s="774"/>
      <c r="RFW381" s="422"/>
      <c r="RFX381" s="775"/>
      <c r="RFY381" s="774"/>
      <c r="RFZ381" s="776"/>
      <c r="RGA381" s="430"/>
      <c r="RGB381" s="717"/>
      <c r="RGC381" s="774"/>
      <c r="RGD381" s="774"/>
      <c r="RGE381" s="422"/>
      <c r="RGF381" s="775"/>
      <c r="RGG381" s="774"/>
      <c r="RGH381" s="776"/>
      <c r="RGI381" s="430"/>
      <c r="RGJ381" s="717"/>
      <c r="RGK381" s="774"/>
      <c r="RGL381" s="774"/>
      <c r="RGM381" s="422"/>
      <c r="RGN381" s="775"/>
      <c r="RGO381" s="774"/>
      <c r="RGP381" s="776"/>
      <c r="RGQ381" s="430"/>
      <c r="RGR381" s="717"/>
      <c r="RGS381" s="774"/>
      <c r="RGT381" s="774"/>
      <c r="RGU381" s="422"/>
      <c r="RGV381" s="775"/>
      <c r="RGW381" s="774"/>
      <c r="RGX381" s="776"/>
      <c r="RGY381" s="430"/>
      <c r="RGZ381" s="717"/>
      <c r="RHA381" s="774"/>
      <c r="RHB381" s="774"/>
      <c r="RHC381" s="422"/>
      <c r="RHD381" s="775"/>
      <c r="RHE381" s="774"/>
      <c r="RHF381" s="776"/>
      <c r="RHG381" s="430"/>
      <c r="RHH381" s="717"/>
      <c r="RHI381" s="774"/>
      <c r="RHJ381" s="774"/>
      <c r="RHK381" s="422"/>
      <c r="RHL381" s="775"/>
      <c r="RHM381" s="774"/>
      <c r="RHN381" s="776"/>
      <c r="RHO381" s="430"/>
      <c r="RHP381" s="717"/>
      <c r="RHQ381" s="774"/>
      <c r="RHR381" s="774"/>
      <c r="RHS381" s="422"/>
      <c r="RHT381" s="775"/>
      <c r="RHU381" s="774"/>
      <c r="RHV381" s="776"/>
      <c r="RHW381" s="430"/>
      <c r="RHX381" s="717"/>
      <c r="RHY381" s="774"/>
      <c r="RHZ381" s="774"/>
      <c r="RIA381" s="422"/>
      <c r="RIB381" s="775"/>
      <c r="RIC381" s="774"/>
      <c r="RID381" s="776"/>
      <c r="RIE381" s="430"/>
      <c r="RIF381" s="717"/>
      <c r="RIG381" s="774"/>
      <c r="RIH381" s="774"/>
      <c r="RII381" s="422"/>
      <c r="RIJ381" s="775"/>
      <c r="RIK381" s="774"/>
      <c r="RIL381" s="776"/>
      <c r="RIM381" s="430"/>
      <c r="RIN381" s="717"/>
      <c r="RIO381" s="774"/>
      <c r="RIP381" s="774"/>
      <c r="RIQ381" s="422"/>
      <c r="RIR381" s="775"/>
      <c r="RIS381" s="774"/>
      <c r="RIT381" s="776"/>
      <c r="RIU381" s="430"/>
      <c r="RIV381" s="717"/>
      <c r="RIW381" s="774"/>
      <c r="RIX381" s="774"/>
      <c r="RIY381" s="422"/>
      <c r="RIZ381" s="775"/>
      <c r="RJA381" s="774"/>
      <c r="RJB381" s="776"/>
      <c r="RJC381" s="430"/>
      <c r="RJD381" s="717"/>
      <c r="RJE381" s="774"/>
      <c r="RJF381" s="774"/>
      <c r="RJG381" s="422"/>
      <c r="RJH381" s="775"/>
      <c r="RJI381" s="774"/>
      <c r="RJJ381" s="776"/>
      <c r="RJK381" s="430"/>
      <c r="RJL381" s="717"/>
      <c r="RJM381" s="774"/>
      <c r="RJN381" s="774"/>
      <c r="RJO381" s="422"/>
      <c r="RJP381" s="775"/>
      <c r="RJQ381" s="774"/>
      <c r="RJR381" s="776"/>
      <c r="RJS381" s="430"/>
      <c r="RJT381" s="717"/>
      <c r="RJU381" s="774"/>
      <c r="RJV381" s="774"/>
      <c r="RJW381" s="422"/>
      <c r="RJX381" s="775"/>
      <c r="RJY381" s="774"/>
      <c r="RJZ381" s="776"/>
      <c r="RKA381" s="430"/>
      <c r="RKB381" s="717"/>
      <c r="RKC381" s="774"/>
      <c r="RKD381" s="774"/>
      <c r="RKE381" s="422"/>
      <c r="RKF381" s="775"/>
      <c r="RKG381" s="774"/>
      <c r="RKH381" s="776"/>
      <c r="RKI381" s="430"/>
      <c r="RKJ381" s="717"/>
      <c r="RKK381" s="774"/>
      <c r="RKL381" s="774"/>
      <c r="RKM381" s="422"/>
      <c r="RKN381" s="775"/>
      <c r="RKO381" s="774"/>
      <c r="RKP381" s="776"/>
      <c r="RKQ381" s="430"/>
      <c r="RKR381" s="717"/>
      <c r="RKS381" s="774"/>
      <c r="RKT381" s="774"/>
      <c r="RKU381" s="422"/>
      <c r="RKV381" s="775"/>
      <c r="RKW381" s="774"/>
      <c r="RKX381" s="776"/>
      <c r="RKY381" s="430"/>
      <c r="RKZ381" s="717"/>
      <c r="RLA381" s="774"/>
      <c r="RLB381" s="774"/>
      <c r="RLC381" s="422"/>
      <c r="RLD381" s="775"/>
      <c r="RLE381" s="774"/>
      <c r="RLF381" s="776"/>
      <c r="RLG381" s="430"/>
      <c r="RLH381" s="717"/>
      <c r="RLI381" s="774"/>
      <c r="RLJ381" s="774"/>
      <c r="RLK381" s="422"/>
      <c r="RLL381" s="775"/>
      <c r="RLM381" s="774"/>
      <c r="RLN381" s="776"/>
      <c r="RLO381" s="430"/>
      <c r="RLP381" s="717"/>
      <c r="RLQ381" s="774"/>
      <c r="RLR381" s="774"/>
      <c r="RLS381" s="422"/>
      <c r="RLT381" s="775"/>
      <c r="RLU381" s="774"/>
      <c r="RLV381" s="776"/>
      <c r="RLW381" s="430"/>
      <c r="RLX381" s="717"/>
      <c r="RLY381" s="774"/>
      <c r="RLZ381" s="774"/>
      <c r="RMA381" s="422"/>
      <c r="RMB381" s="775"/>
      <c r="RMC381" s="774"/>
      <c r="RMD381" s="776"/>
      <c r="RME381" s="430"/>
      <c r="RMF381" s="717"/>
      <c r="RMG381" s="774"/>
      <c r="RMH381" s="774"/>
      <c r="RMI381" s="422"/>
      <c r="RMJ381" s="775"/>
      <c r="RMK381" s="774"/>
      <c r="RML381" s="776"/>
      <c r="RMM381" s="430"/>
      <c r="RMN381" s="717"/>
      <c r="RMO381" s="774"/>
      <c r="RMP381" s="774"/>
      <c r="RMQ381" s="422"/>
      <c r="RMR381" s="775"/>
      <c r="RMS381" s="774"/>
      <c r="RMT381" s="776"/>
      <c r="RMU381" s="430"/>
      <c r="RMV381" s="717"/>
      <c r="RMW381" s="774"/>
      <c r="RMX381" s="774"/>
      <c r="RMY381" s="422"/>
      <c r="RMZ381" s="775"/>
      <c r="RNA381" s="774"/>
      <c r="RNB381" s="776"/>
      <c r="RNC381" s="430"/>
      <c r="RND381" s="717"/>
      <c r="RNE381" s="774"/>
      <c r="RNF381" s="774"/>
      <c r="RNG381" s="422"/>
      <c r="RNH381" s="775"/>
      <c r="RNI381" s="774"/>
      <c r="RNJ381" s="776"/>
      <c r="RNK381" s="430"/>
      <c r="RNL381" s="717"/>
      <c r="RNM381" s="774"/>
      <c r="RNN381" s="774"/>
      <c r="RNO381" s="422"/>
      <c r="RNP381" s="775"/>
      <c r="RNQ381" s="774"/>
      <c r="RNR381" s="776"/>
      <c r="RNS381" s="430"/>
      <c r="RNT381" s="717"/>
      <c r="RNU381" s="774"/>
      <c r="RNV381" s="774"/>
      <c r="RNW381" s="422"/>
      <c r="RNX381" s="775"/>
      <c r="RNY381" s="774"/>
      <c r="RNZ381" s="776"/>
      <c r="ROA381" s="430"/>
      <c r="ROB381" s="717"/>
      <c r="ROC381" s="774"/>
      <c r="ROD381" s="774"/>
      <c r="ROE381" s="422"/>
      <c r="ROF381" s="775"/>
      <c r="ROG381" s="774"/>
      <c r="ROH381" s="776"/>
      <c r="ROI381" s="430"/>
      <c r="ROJ381" s="717"/>
      <c r="ROK381" s="774"/>
      <c r="ROL381" s="774"/>
      <c r="ROM381" s="422"/>
      <c r="RON381" s="775"/>
      <c r="ROO381" s="774"/>
      <c r="ROP381" s="776"/>
      <c r="ROQ381" s="430"/>
      <c r="ROR381" s="717"/>
      <c r="ROS381" s="774"/>
      <c r="ROT381" s="774"/>
      <c r="ROU381" s="422"/>
      <c r="ROV381" s="775"/>
      <c r="ROW381" s="774"/>
      <c r="ROX381" s="776"/>
      <c r="ROY381" s="430"/>
      <c r="ROZ381" s="717"/>
      <c r="RPA381" s="774"/>
      <c r="RPB381" s="774"/>
      <c r="RPC381" s="422"/>
      <c r="RPD381" s="775"/>
      <c r="RPE381" s="774"/>
      <c r="RPF381" s="776"/>
      <c r="RPG381" s="430"/>
      <c r="RPH381" s="717"/>
      <c r="RPI381" s="774"/>
      <c r="RPJ381" s="774"/>
      <c r="RPK381" s="422"/>
      <c r="RPL381" s="775"/>
      <c r="RPM381" s="774"/>
      <c r="RPN381" s="776"/>
      <c r="RPO381" s="430"/>
      <c r="RPP381" s="717"/>
      <c r="RPQ381" s="774"/>
      <c r="RPR381" s="774"/>
      <c r="RPS381" s="422"/>
      <c r="RPT381" s="775"/>
      <c r="RPU381" s="774"/>
      <c r="RPV381" s="776"/>
      <c r="RPW381" s="430"/>
      <c r="RPX381" s="717"/>
      <c r="RPY381" s="774"/>
      <c r="RPZ381" s="774"/>
      <c r="RQA381" s="422"/>
      <c r="RQB381" s="775"/>
      <c r="RQC381" s="774"/>
      <c r="RQD381" s="776"/>
      <c r="RQE381" s="430"/>
      <c r="RQF381" s="717"/>
      <c r="RQG381" s="774"/>
      <c r="RQH381" s="774"/>
      <c r="RQI381" s="422"/>
      <c r="RQJ381" s="775"/>
      <c r="RQK381" s="774"/>
      <c r="RQL381" s="776"/>
      <c r="RQM381" s="430"/>
      <c r="RQN381" s="717"/>
      <c r="RQO381" s="774"/>
      <c r="RQP381" s="774"/>
      <c r="RQQ381" s="422"/>
      <c r="RQR381" s="775"/>
      <c r="RQS381" s="774"/>
      <c r="RQT381" s="776"/>
      <c r="RQU381" s="430"/>
      <c r="RQV381" s="717"/>
      <c r="RQW381" s="774"/>
      <c r="RQX381" s="774"/>
      <c r="RQY381" s="422"/>
      <c r="RQZ381" s="775"/>
      <c r="RRA381" s="774"/>
      <c r="RRB381" s="776"/>
      <c r="RRC381" s="430"/>
      <c r="RRD381" s="717"/>
      <c r="RRE381" s="774"/>
      <c r="RRF381" s="774"/>
      <c r="RRG381" s="422"/>
      <c r="RRH381" s="775"/>
      <c r="RRI381" s="774"/>
      <c r="RRJ381" s="776"/>
      <c r="RRK381" s="430"/>
      <c r="RRL381" s="717"/>
      <c r="RRM381" s="774"/>
      <c r="RRN381" s="774"/>
      <c r="RRO381" s="422"/>
      <c r="RRP381" s="775"/>
      <c r="RRQ381" s="774"/>
      <c r="RRR381" s="776"/>
      <c r="RRS381" s="430"/>
      <c r="RRT381" s="717"/>
      <c r="RRU381" s="774"/>
      <c r="RRV381" s="774"/>
      <c r="RRW381" s="422"/>
      <c r="RRX381" s="775"/>
      <c r="RRY381" s="774"/>
      <c r="RRZ381" s="776"/>
      <c r="RSA381" s="430"/>
      <c r="RSB381" s="717"/>
      <c r="RSC381" s="774"/>
      <c r="RSD381" s="774"/>
      <c r="RSE381" s="422"/>
      <c r="RSF381" s="775"/>
      <c r="RSG381" s="774"/>
      <c r="RSH381" s="776"/>
      <c r="RSI381" s="430"/>
      <c r="RSJ381" s="717"/>
      <c r="RSK381" s="774"/>
      <c r="RSL381" s="774"/>
      <c r="RSM381" s="422"/>
      <c r="RSN381" s="775"/>
      <c r="RSO381" s="774"/>
      <c r="RSP381" s="776"/>
      <c r="RSQ381" s="430"/>
      <c r="RSR381" s="717"/>
      <c r="RSS381" s="774"/>
      <c r="RST381" s="774"/>
      <c r="RSU381" s="422"/>
      <c r="RSV381" s="775"/>
      <c r="RSW381" s="774"/>
      <c r="RSX381" s="776"/>
      <c r="RSY381" s="430"/>
      <c r="RSZ381" s="717"/>
      <c r="RTA381" s="774"/>
      <c r="RTB381" s="774"/>
      <c r="RTC381" s="422"/>
      <c r="RTD381" s="775"/>
      <c r="RTE381" s="774"/>
      <c r="RTF381" s="776"/>
      <c r="RTG381" s="430"/>
      <c r="RTH381" s="717"/>
      <c r="RTI381" s="774"/>
      <c r="RTJ381" s="774"/>
      <c r="RTK381" s="422"/>
      <c r="RTL381" s="775"/>
      <c r="RTM381" s="774"/>
      <c r="RTN381" s="776"/>
      <c r="RTO381" s="430"/>
      <c r="RTP381" s="717"/>
      <c r="RTQ381" s="774"/>
      <c r="RTR381" s="774"/>
      <c r="RTS381" s="422"/>
      <c r="RTT381" s="775"/>
      <c r="RTU381" s="774"/>
      <c r="RTV381" s="776"/>
      <c r="RTW381" s="430"/>
      <c r="RTX381" s="717"/>
      <c r="RTY381" s="774"/>
      <c r="RTZ381" s="774"/>
      <c r="RUA381" s="422"/>
      <c r="RUB381" s="775"/>
      <c r="RUC381" s="774"/>
      <c r="RUD381" s="776"/>
      <c r="RUE381" s="430"/>
      <c r="RUF381" s="717"/>
      <c r="RUG381" s="774"/>
      <c r="RUH381" s="774"/>
      <c r="RUI381" s="422"/>
      <c r="RUJ381" s="775"/>
      <c r="RUK381" s="774"/>
      <c r="RUL381" s="776"/>
      <c r="RUM381" s="430"/>
      <c r="RUN381" s="717"/>
      <c r="RUO381" s="774"/>
      <c r="RUP381" s="774"/>
      <c r="RUQ381" s="422"/>
      <c r="RUR381" s="775"/>
      <c r="RUS381" s="774"/>
      <c r="RUT381" s="776"/>
      <c r="RUU381" s="430"/>
      <c r="RUV381" s="717"/>
      <c r="RUW381" s="774"/>
      <c r="RUX381" s="774"/>
      <c r="RUY381" s="422"/>
      <c r="RUZ381" s="775"/>
      <c r="RVA381" s="774"/>
      <c r="RVB381" s="776"/>
      <c r="RVC381" s="430"/>
      <c r="RVD381" s="717"/>
      <c r="RVE381" s="774"/>
      <c r="RVF381" s="774"/>
      <c r="RVG381" s="422"/>
      <c r="RVH381" s="775"/>
      <c r="RVI381" s="774"/>
      <c r="RVJ381" s="776"/>
      <c r="RVK381" s="430"/>
      <c r="RVL381" s="717"/>
      <c r="RVM381" s="774"/>
      <c r="RVN381" s="774"/>
      <c r="RVO381" s="422"/>
      <c r="RVP381" s="775"/>
      <c r="RVQ381" s="774"/>
      <c r="RVR381" s="776"/>
      <c r="RVS381" s="430"/>
      <c r="RVT381" s="717"/>
      <c r="RVU381" s="774"/>
      <c r="RVV381" s="774"/>
      <c r="RVW381" s="422"/>
      <c r="RVX381" s="775"/>
      <c r="RVY381" s="774"/>
      <c r="RVZ381" s="776"/>
      <c r="RWA381" s="430"/>
      <c r="RWB381" s="717"/>
      <c r="RWC381" s="774"/>
      <c r="RWD381" s="774"/>
      <c r="RWE381" s="422"/>
      <c r="RWF381" s="775"/>
      <c r="RWG381" s="774"/>
      <c r="RWH381" s="776"/>
      <c r="RWI381" s="430"/>
      <c r="RWJ381" s="717"/>
      <c r="RWK381" s="774"/>
      <c r="RWL381" s="774"/>
      <c r="RWM381" s="422"/>
      <c r="RWN381" s="775"/>
      <c r="RWO381" s="774"/>
      <c r="RWP381" s="776"/>
      <c r="RWQ381" s="430"/>
      <c r="RWR381" s="717"/>
      <c r="RWS381" s="774"/>
      <c r="RWT381" s="774"/>
      <c r="RWU381" s="422"/>
      <c r="RWV381" s="775"/>
      <c r="RWW381" s="774"/>
      <c r="RWX381" s="776"/>
      <c r="RWY381" s="430"/>
      <c r="RWZ381" s="717"/>
      <c r="RXA381" s="774"/>
      <c r="RXB381" s="774"/>
      <c r="RXC381" s="422"/>
      <c r="RXD381" s="775"/>
      <c r="RXE381" s="774"/>
      <c r="RXF381" s="776"/>
      <c r="RXG381" s="430"/>
      <c r="RXH381" s="717"/>
      <c r="RXI381" s="774"/>
      <c r="RXJ381" s="774"/>
      <c r="RXK381" s="422"/>
      <c r="RXL381" s="775"/>
      <c r="RXM381" s="774"/>
      <c r="RXN381" s="776"/>
      <c r="RXO381" s="430"/>
      <c r="RXP381" s="717"/>
      <c r="RXQ381" s="774"/>
      <c r="RXR381" s="774"/>
      <c r="RXS381" s="422"/>
      <c r="RXT381" s="775"/>
      <c r="RXU381" s="774"/>
      <c r="RXV381" s="776"/>
      <c r="RXW381" s="430"/>
      <c r="RXX381" s="717"/>
      <c r="RXY381" s="774"/>
      <c r="RXZ381" s="774"/>
      <c r="RYA381" s="422"/>
      <c r="RYB381" s="775"/>
      <c r="RYC381" s="774"/>
      <c r="RYD381" s="776"/>
      <c r="RYE381" s="430"/>
      <c r="RYF381" s="717"/>
      <c r="RYG381" s="774"/>
      <c r="RYH381" s="774"/>
      <c r="RYI381" s="422"/>
      <c r="RYJ381" s="775"/>
      <c r="RYK381" s="774"/>
      <c r="RYL381" s="776"/>
      <c r="RYM381" s="430"/>
      <c r="RYN381" s="717"/>
      <c r="RYO381" s="774"/>
      <c r="RYP381" s="774"/>
      <c r="RYQ381" s="422"/>
      <c r="RYR381" s="775"/>
      <c r="RYS381" s="774"/>
      <c r="RYT381" s="776"/>
      <c r="RYU381" s="430"/>
      <c r="RYV381" s="717"/>
      <c r="RYW381" s="774"/>
      <c r="RYX381" s="774"/>
      <c r="RYY381" s="422"/>
      <c r="RYZ381" s="775"/>
      <c r="RZA381" s="774"/>
      <c r="RZB381" s="776"/>
      <c r="RZC381" s="430"/>
      <c r="RZD381" s="717"/>
      <c r="RZE381" s="774"/>
      <c r="RZF381" s="774"/>
      <c r="RZG381" s="422"/>
      <c r="RZH381" s="775"/>
      <c r="RZI381" s="774"/>
      <c r="RZJ381" s="776"/>
      <c r="RZK381" s="430"/>
      <c r="RZL381" s="717"/>
      <c r="RZM381" s="774"/>
      <c r="RZN381" s="774"/>
      <c r="RZO381" s="422"/>
      <c r="RZP381" s="775"/>
      <c r="RZQ381" s="774"/>
      <c r="RZR381" s="776"/>
      <c r="RZS381" s="430"/>
      <c r="RZT381" s="717"/>
      <c r="RZU381" s="774"/>
      <c r="RZV381" s="774"/>
      <c r="RZW381" s="422"/>
      <c r="RZX381" s="775"/>
      <c r="RZY381" s="774"/>
      <c r="RZZ381" s="776"/>
      <c r="SAA381" s="430"/>
      <c r="SAB381" s="717"/>
      <c r="SAC381" s="774"/>
      <c r="SAD381" s="774"/>
      <c r="SAE381" s="422"/>
      <c r="SAF381" s="775"/>
      <c r="SAG381" s="774"/>
      <c r="SAH381" s="776"/>
      <c r="SAI381" s="430"/>
      <c r="SAJ381" s="717"/>
      <c r="SAK381" s="774"/>
      <c r="SAL381" s="774"/>
      <c r="SAM381" s="422"/>
      <c r="SAN381" s="775"/>
      <c r="SAO381" s="774"/>
      <c r="SAP381" s="776"/>
      <c r="SAQ381" s="430"/>
      <c r="SAR381" s="717"/>
      <c r="SAS381" s="774"/>
      <c r="SAT381" s="774"/>
      <c r="SAU381" s="422"/>
      <c r="SAV381" s="775"/>
      <c r="SAW381" s="774"/>
      <c r="SAX381" s="776"/>
      <c r="SAY381" s="430"/>
      <c r="SAZ381" s="717"/>
      <c r="SBA381" s="774"/>
      <c r="SBB381" s="774"/>
      <c r="SBC381" s="422"/>
      <c r="SBD381" s="775"/>
      <c r="SBE381" s="774"/>
      <c r="SBF381" s="776"/>
      <c r="SBG381" s="430"/>
      <c r="SBH381" s="717"/>
      <c r="SBI381" s="774"/>
      <c r="SBJ381" s="774"/>
      <c r="SBK381" s="422"/>
      <c r="SBL381" s="775"/>
      <c r="SBM381" s="774"/>
      <c r="SBN381" s="776"/>
      <c r="SBO381" s="430"/>
      <c r="SBP381" s="717"/>
      <c r="SBQ381" s="774"/>
      <c r="SBR381" s="774"/>
      <c r="SBS381" s="422"/>
      <c r="SBT381" s="775"/>
      <c r="SBU381" s="774"/>
      <c r="SBV381" s="776"/>
      <c r="SBW381" s="430"/>
      <c r="SBX381" s="717"/>
      <c r="SBY381" s="774"/>
      <c r="SBZ381" s="774"/>
      <c r="SCA381" s="422"/>
      <c r="SCB381" s="775"/>
      <c r="SCC381" s="774"/>
      <c r="SCD381" s="776"/>
      <c r="SCE381" s="430"/>
      <c r="SCF381" s="717"/>
      <c r="SCG381" s="774"/>
      <c r="SCH381" s="774"/>
      <c r="SCI381" s="422"/>
      <c r="SCJ381" s="775"/>
      <c r="SCK381" s="774"/>
      <c r="SCL381" s="776"/>
      <c r="SCM381" s="430"/>
      <c r="SCN381" s="717"/>
      <c r="SCO381" s="774"/>
      <c r="SCP381" s="774"/>
      <c r="SCQ381" s="422"/>
      <c r="SCR381" s="775"/>
      <c r="SCS381" s="774"/>
      <c r="SCT381" s="776"/>
      <c r="SCU381" s="430"/>
      <c r="SCV381" s="717"/>
      <c r="SCW381" s="774"/>
      <c r="SCX381" s="774"/>
      <c r="SCY381" s="422"/>
      <c r="SCZ381" s="775"/>
      <c r="SDA381" s="774"/>
      <c r="SDB381" s="776"/>
      <c r="SDC381" s="430"/>
      <c r="SDD381" s="717"/>
      <c r="SDE381" s="774"/>
      <c r="SDF381" s="774"/>
      <c r="SDG381" s="422"/>
      <c r="SDH381" s="775"/>
      <c r="SDI381" s="774"/>
      <c r="SDJ381" s="776"/>
      <c r="SDK381" s="430"/>
      <c r="SDL381" s="717"/>
      <c r="SDM381" s="774"/>
      <c r="SDN381" s="774"/>
      <c r="SDO381" s="422"/>
      <c r="SDP381" s="775"/>
      <c r="SDQ381" s="774"/>
      <c r="SDR381" s="776"/>
      <c r="SDS381" s="430"/>
      <c r="SDT381" s="717"/>
      <c r="SDU381" s="774"/>
      <c r="SDV381" s="774"/>
      <c r="SDW381" s="422"/>
      <c r="SDX381" s="775"/>
      <c r="SDY381" s="774"/>
      <c r="SDZ381" s="776"/>
      <c r="SEA381" s="430"/>
      <c r="SEB381" s="717"/>
      <c r="SEC381" s="774"/>
      <c r="SED381" s="774"/>
      <c r="SEE381" s="422"/>
      <c r="SEF381" s="775"/>
      <c r="SEG381" s="774"/>
      <c r="SEH381" s="776"/>
      <c r="SEI381" s="430"/>
      <c r="SEJ381" s="717"/>
      <c r="SEK381" s="774"/>
      <c r="SEL381" s="774"/>
      <c r="SEM381" s="422"/>
      <c r="SEN381" s="775"/>
      <c r="SEO381" s="774"/>
      <c r="SEP381" s="776"/>
      <c r="SEQ381" s="430"/>
      <c r="SER381" s="717"/>
      <c r="SES381" s="774"/>
      <c r="SET381" s="774"/>
      <c r="SEU381" s="422"/>
      <c r="SEV381" s="775"/>
      <c r="SEW381" s="774"/>
      <c r="SEX381" s="776"/>
      <c r="SEY381" s="430"/>
      <c r="SEZ381" s="717"/>
      <c r="SFA381" s="774"/>
      <c r="SFB381" s="774"/>
      <c r="SFC381" s="422"/>
      <c r="SFD381" s="775"/>
      <c r="SFE381" s="774"/>
      <c r="SFF381" s="776"/>
      <c r="SFG381" s="430"/>
      <c r="SFH381" s="717"/>
      <c r="SFI381" s="774"/>
      <c r="SFJ381" s="774"/>
      <c r="SFK381" s="422"/>
      <c r="SFL381" s="775"/>
      <c r="SFM381" s="774"/>
      <c r="SFN381" s="776"/>
      <c r="SFO381" s="430"/>
      <c r="SFP381" s="717"/>
      <c r="SFQ381" s="774"/>
      <c r="SFR381" s="774"/>
      <c r="SFS381" s="422"/>
      <c r="SFT381" s="775"/>
      <c r="SFU381" s="774"/>
      <c r="SFV381" s="776"/>
      <c r="SFW381" s="430"/>
      <c r="SFX381" s="717"/>
      <c r="SFY381" s="774"/>
      <c r="SFZ381" s="774"/>
      <c r="SGA381" s="422"/>
      <c r="SGB381" s="775"/>
      <c r="SGC381" s="774"/>
      <c r="SGD381" s="776"/>
      <c r="SGE381" s="430"/>
      <c r="SGF381" s="717"/>
      <c r="SGG381" s="774"/>
      <c r="SGH381" s="774"/>
      <c r="SGI381" s="422"/>
      <c r="SGJ381" s="775"/>
      <c r="SGK381" s="774"/>
      <c r="SGL381" s="776"/>
      <c r="SGM381" s="430"/>
      <c r="SGN381" s="717"/>
      <c r="SGO381" s="774"/>
      <c r="SGP381" s="774"/>
      <c r="SGQ381" s="422"/>
      <c r="SGR381" s="775"/>
      <c r="SGS381" s="774"/>
      <c r="SGT381" s="776"/>
      <c r="SGU381" s="430"/>
      <c r="SGV381" s="717"/>
      <c r="SGW381" s="774"/>
      <c r="SGX381" s="774"/>
      <c r="SGY381" s="422"/>
      <c r="SGZ381" s="775"/>
      <c r="SHA381" s="774"/>
      <c r="SHB381" s="776"/>
      <c r="SHC381" s="430"/>
      <c r="SHD381" s="717"/>
      <c r="SHE381" s="774"/>
      <c r="SHF381" s="774"/>
      <c r="SHG381" s="422"/>
      <c r="SHH381" s="775"/>
      <c r="SHI381" s="774"/>
      <c r="SHJ381" s="776"/>
      <c r="SHK381" s="430"/>
      <c r="SHL381" s="717"/>
      <c r="SHM381" s="774"/>
      <c r="SHN381" s="774"/>
      <c r="SHO381" s="422"/>
      <c r="SHP381" s="775"/>
      <c r="SHQ381" s="774"/>
      <c r="SHR381" s="776"/>
      <c r="SHS381" s="430"/>
      <c r="SHT381" s="717"/>
      <c r="SHU381" s="774"/>
      <c r="SHV381" s="774"/>
      <c r="SHW381" s="422"/>
      <c r="SHX381" s="775"/>
      <c r="SHY381" s="774"/>
      <c r="SHZ381" s="776"/>
      <c r="SIA381" s="430"/>
      <c r="SIB381" s="717"/>
      <c r="SIC381" s="774"/>
      <c r="SID381" s="774"/>
      <c r="SIE381" s="422"/>
      <c r="SIF381" s="775"/>
      <c r="SIG381" s="774"/>
      <c r="SIH381" s="776"/>
      <c r="SII381" s="430"/>
      <c r="SIJ381" s="717"/>
      <c r="SIK381" s="774"/>
      <c r="SIL381" s="774"/>
      <c r="SIM381" s="422"/>
      <c r="SIN381" s="775"/>
      <c r="SIO381" s="774"/>
      <c r="SIP381" s="776"/>
      <c r="SIQ381" s="430"/>
      <c r="SIR381" s="717"/>
      <c r="SIS381" s="774"/>
      <c r="SIT381" s="774"/>
      <c r="SIU381" s="422"/>
      <c r="SIV381" s="775"/>
      <c r="SIW381" s="774"/>
      <c r="SIX381" s="776"/>
      <c r="SIY381" s="430"/>
      <c r="SIZ381" s="717"/>
      <c r="SJA381" s="774"/>
      <c r="SJB381" s="774"/>
      <c r="SJC381" s="422"/>
      <c r="SJD381" s="775"/>
      <c r="SJE381" s="774"/>
      <c r="SJF381" s="776"/>
      <c r="SJG381" s="430"/>
      <c r="SJH381" s="717"/>
      <c r="SJI381" s="774"/>
      <c r="SJJ381" s="774"/>
      <c r="SJK381" s="422"/>
      <c r="SJL381" s="775"/>
      <c r="SJM381" s="774"/>
      <c r="SJN381" s="776"/>
      <c r="SJO381" s="430"/>
      <c r="SJP381" s="717"/>
      <c r="SJQ381" s="774"/>
      <c r="SJR381" s="774"/>
      <c r="SJS381" s="422"/>
      <c r="SJT381" s="775"/>
      <c r="SJU381" s="774"/>
      <c r="SJV381" s="776"/>
      <c r="SJW381" s="430"/>
      <c r="SJX381" s="717"/>
      <c r="SJY381" s="774"/>
      <c r="SJZ381" s="774"/>
      <c r="SKA381" s="422"/>
      <c r="SKB381" s="775"/>
      <c r="SKC381" s="774"/>
      <c r="SKD381" s="776"/>
      <c r="SKE381" s="430"/>
      <c r="SKF381" s="717"/>
      <c r="SKG381" s="774"/>
      <c r="SKH381" s="774"/>
      <c r="SKI381" s="422"/>
      <c r="SKJ381" s="775"/>
      <c r="SKK381" s="774"/>
      <c r="SKL381" s="776"/>
      <c r="SKM381" s="430"/>
      <c r="SKN381" s="717"/>
      <c r="SKO381" s="774"/>
      <c r="SKP381" s="774"/>
      <c r="SKQ381" s="422"/>
      <c r="SKR381" s="775"/>
      <c r="SKS381" s="774"/>
      <c r="SKT381" s="776"/>
      <c r="SKU381" s="430"/>
      <c r="SKV381" s="717"/>
      <c r="SKW381" s="774"/>
      <c r="SKX381" s="774"/>
      <c r="SKY381" s="422"/>
      <c r="SKZ381" s="775"/>
      <c r="SLA381" s="774"/>
      <c r="SLB381" s="776"/>
      <c r="SLC381" s="430"/>
      <c r="SLD381" s="717"/>
      <c r="SLE381" s="774"/>
      <c r="SLF381" s="774"/>
      <c r="SLG381" s="422"/>
      <c r="SLH381" s="775"/>
      <c r="SLI381" s="774"/>
      <c r="SLJ381" s="776"/>
      <c r="SLK381" s="430"/>
      <c r="SLL381" s="717"/>
      <c r="SLM381" s="774"/>
      <c r="SLN381" s="774"/>
      <c r="SLO381" s="422"/>
      <c r="SLP381" s="775"/>
      <c r="SLQ381" s="774"/>
      <c r="SLR381" s="776"/>
      <c r="SLS381" s="430"/>
      <c r="SLT381" s="717"/>
      <c r="SLU381" s="774"/>
      <c r="SLV381" s="774"/>
      <c r="SLW381" s="422"/>
      <c r="SLX381" s="775"/>
      <c r="SLY381" s="774"/>
      <c r="SLZ381" s="776"/>
      <c r="SMA381" s="430"/>
      <c r="SMB381" s="717"/>
      <c r="SMC381" s="774"/>
      <c r="SMD381" s="774"/>
      <c r="SME381" s="422"/>
      <c r="SMF381" s="775"/>
      <c r="SMG381" s="774"/>
      <c r="SMH381" s="776"/>
      <c r="SMI381" s="430"/>
      <c r="SMJ381" s="717"/>
      <c r="SMK381" s="774"/>
      <c r="SML381" s="774"/>
      <c r="SMM381" s="422"/>
      <c r="SMN381" s="775"/>
      <c r="SMO381" s="774"/>
      <c r="SMP381" s="776"/>
      <c r="SMQ381" s="430"/>
      <c r="SMR381" s="717"/>
      <c r="SMS381" s="774"/>
      <c r="SMT381" s="774"/>
      <c r="SMU381" s="422"/>
      <c r="SMV381" s="775"/>
      <c r="SMW381" s="774"/>
      <c r="SMX381" s="776"/>
      <c r="SMY381" s="430"/>
      <c r="SMZ381" s="717"/>
      <c r="SNA381" s="774"/>
      <c r="SNB381" s="774"/>
      <c r="SNC381" s="422"/>
      <c r="SND381" s="775"/>
      <c r="SNE381" s="774"/>
      <c r="SNF381" s="776"/>
      <c r="SNG381" s="430"/>
      <c r="SNH381" s="717"/>
      <c r="SNI381" s="774"/>
      <c r="SNJ381" s="774"/>
      <c r="SNK381" s="422"/>
      <c r="SNL381" s="775"/>
      <c r="SNM381" s="774"/>
      <c r="SNN381" s="776"/>
      <c r="SNO381" s="430"/>
      <c r="SNP381" s="717"/>
      <c r="SNQ381" s="774"/>
      <c r="SNR381" s="774"/>
      <c r="SNS381" s="422"/>
      <c r="SNT381" s="775"/>
      <c r="SNU381" s="774"/>
      <c r="SNV381" s="776"/>
      <c r="SNW381" s="430"/>
      <c r="SNX381" s="717"/>
      <c r="SNY381" s="774"/>
      <c r="SNZ381" s="774"/>
      <c r="SOA381" s="422"/>
      <c r="SOB381" s="775"/>
      <c r="SOC381" s="774"/>
      <c r="SOD381" s="776"/>
      <c r="SOE381" s="430"/>
      <c r="SOF381" s="717"/>
      <c r="SOG381" s="774"/>
      <c r="SOH381" s="774"/>
      <c r="SOI381" s="422"/>
      <c r="SOJ381" s="775"/>
      <c r="SOK381" s="774"/>
      <c r="SOL381" s="776"/>
      <c r="SOM381" s="430"/>
      <c r="SON381" s="717"/>
      <c r="SOO381" s="774"/>
      <c r="SOP381" s="774"/>
      <c r="SOQ381" s="422"/>
      <c r="SOR381" s="775"/>
      <c r="SOS381" s="774"/>
      <c r="SOT381" s="776"/>
      <c r="SOU381" s="430"/>
      <c r="SOV381" s="717"/>
      <c r="SOW381" s="774"/>
      <c r="SOX381" s="774"/>
      <c r="SOY381" s="422"/>
      <c r="SOZ381" s="775"/>
      <c r="SPA381" s="774"/>
      <c r="SPB381" s="776"/>
      <c r="SPC381" s="430"/>
      <c r="SPD381" s="717"/>
      <c r="SPE381" s="774"/>
      <c r="SPF381" s="774"/>
      <c r="SPG381" s="422"/>
      <c r="SPH381" s="775"/>
      <c r="SPI381" s="774"/>
      <c r="SPJ381" s="776"/>
      <c r="SPK381" s="430"/>
      <c r="SPL381" s="717"/>
      <c r="SPM381" s="774"/>
      <c r="SPN381" s="774"/>
      <c r="SPO381" s="422"/>
      <c r="SPP381" s="775"/>
      <c r="SPQ381" s="774"/>
      <c r="SPR381" s="776"/>
      <c r="SPS381" s="430"/>
      <c r="SPT381" s="717"/>
      <c r="SPU381" s="774"/>
      <c r="SPV381" s="774"/>
      <c r="SPW381" s="422"/>
      <c r="SPX381" s="775"/>
      <c r="SPY381" s="774"/>
      <c r="SPZ381" s="776"/>
      <c r="SQA381" s="430"/>
      <c r="SQB381" s="717"/>
      <c r="SQC381" s="774"/>
      <c r="SQD381" s="774"/>
      <c r="SQE381" s="422"/>
      <c r="SQF381" s="775"/>
      <c r="SQG381" s="774"/>
      <c r="SQH381" s="776"/>
      <c r="SQI381" s="430"/>
      <c r="SQJ381" s="717"/>
      <c r="SQK381" s="774"/>
      <c r="SQL381" s="774"/>
      <c r="SQM381" s="422"/>
      <c r="SQN381" s="775"/>
      <c r="SQO381" s="774"/>
      <c r="SQP381" s="776"/>
      <c r="SQQ381" s="430"/>
      <c r="SQR381" s="717"/>
      <c r="SQS381" s="774"/>
      <c r="SQT381" s="774"/>
      <c r="SQU381" s="422"/>
      <c r="SQV381" s="775"/>
      <c r="SQW381" s="774"/>
      <c r="SQX381" s="776"/>
      <c r="SQY381" s="430"/>
      <c r="SQZ381" s="717"/>
      <c r="SRA381" s="774"/>
      <c r="SRB381" s="774"/>
      <c r="SRC381" s="422"/>
      <c r="SRD381" s="775"/>
      <c r="SRE381" s="774"/>
      <c r="SRF381" s="776"/>
      <c r="SRG381" s="430"/>
      <c r="SRH381" s="717"/>
      <c r="SRI381" s="774"/>
      <c r="SRJ381" s="774"/>
      <c r="SRK381" s="422"/>
      <c r="SRL381" s="775"/>
      <c r="SRM381" s="774"/>
      <c r="SRN381" s="776"/>
      <c r="SRO381" s="430"/>
      <c r="SRP381" s="717"/>
      <c r="SRQ381" s="774"/>
      <c r="SRR381" s="774"/>
      <c r="SRS381" s="422"/>
      <c r="SRT381" s="775"/>
      <c r="SRU381" s="774"/>
      <c r="SRV381" s="776"/>
      <c r="SRW381" s="430"/>
      <c r="SRX381" s="717"/>
      <c r="SRY381" s="774"/>
      <c r="SRZ381" s="774"/>
      <c r="SSA381" s="422"/>
      <c r="SSB381" s="775"/>
      <c r="SSC381" s="774"/>
      <c r="SSD381" s="776"/>
      <c r="SSE381" s="430"/>
      <c r="SSF381" s="717"/>
      <c r="SSG381" s="774"/>
      <c r="SSH381" s="774"/>
      <c r="SSI381" s="422"/>
      <c r="SSJ381" s="775"/>
      <c r="SSK381" s="774"/>
      <c r="SSL381" s="776"/>
      <c r="SSM381" s="430"/>
      <c r="SSN381" s="717"/>
      <c r="SSO381" s="774"/>
      <c r="SSP381" s="774"/>
      <c r="SSQ381" s="422"/>
      <c r="SSR381" s="775"/>
      <c r="SSS381" s="774"/>
      <c r="SST381" s="776"/>
      <c r="SSU381" s="430"/>
      <c r="SSV381" s="717"/>
      <c r="SSW381" s="774"/>
      <c r="SSX381" s="774"/>
      <c r="SSY381" s="422"/>
      <c r="SSZ381" s="775"/>
      <c r="STA381" s="774"/>
      <c r="STB381" s="776"/>
      <c r="STC381" s="430"/>
      <c r="STD381" s="717"/>
      <c r="STE381" s="774"/>
      <c r="STF381" s="774"/>
      <c r="STG381" s="422"/>
      <c r="STH381" s="775"/>
      <c r="STI381" s="774"/>
      <c r="STJ381" s="776"/>
      <c r="STK381" s="430"/>
      <c r="STL381" s="717"/>
      <c r="STM381" s="774"/>
      <c r="STN381" s="774"/>
      <c r="STO381" s="422"/>
      <c r="STP381" s="775"/>
      <c r="STQ381" s="774"/>
      <c r="STR381" s="776"/>
      <c r="STS381" s="430"/>
      <c r="STT381" s="717"/>
      <c r="STU381" s="774"/>
      <c r="STV381" s="774"/>
      <c r="STW381" s="422"/>
      <c r="STX381" s="775"/>
      <c r="STY381" s="774"/>
      <c r="STZ381" s="776"/>
      <c r="SUA381" s="430"/>
      <c r="SUB381" s="717"/>
      <c r="SUC381" s="774"/>
      <c r="SUD381" s="774"/>
      <c r="SUE381" s="422"/>
      <c r="SUF381" s="775"/>
      <c r="SUG381" s="774"/>
      <c r="SUH381" s="776"/>
      <c r="SUI381" s="430"/>
      <c r="SUJ381" s="717"/>
      <c r="SUK381" s="774"/>
      <c r="SUL381" s="774"/>
      <c r="SUM381" s="422"/>
      <c r="SUN381" s="775"/>
      <c r="SUO381" s="774"/>
      <c r="SUP381" s="776"/>
      <c r="SUQ381" s="430"/>
      <c r="SUR381" s="717"/>
      <c r="SUS381" s="774"/>
      <c r="SUT381" s="774"/>
      <c r="SUU381" s="422"/>
      <c r="SUV381" s="775"/>
      <c r="SUW381" s="774"/>
      <c r="SUX381" s="776"/>
      <c r="SUY381" s="430"/>
      <c r="SUZ381" s="717"/>
      <c r="SVA381" s="774"/>
      <c r="SVB381" s="774"/>
      <c r="SVC381" s="422"/>
      <c r="SVD381" s="775"/>
      <c r="SVE381" s="774"/>
      <c r="SVF381" s="776"/>
      <c r="SVG381" s="430"/>
      <c r="SVH381" s="717"/>
      <c r="SVI381" s="774"/>
      <c r="SVJ381" s="774"/>
      <c r="SVK381" s="422"/>
      <c r="SVL381" s="775"/>
      <c r="SVM381" s="774"/>
      <c r="SVN381" s="776"/>
      <c r="SVO381" s="430"/>
      <c r="SVP381" s="717"/>
      <c r="SVQ381" s="774"/>
      <c r="SVR381" s="774"/>
      <c r="SVS381" s="422"/>
      <c r="SVT381" s="775"/>
      <c r="SVU381" s="774"/>
      <c r="SVV381" s="776"/>
      <c r="SVW381" s="430"/>
      <c r="SVX381" s="717"/>
      <c r="SVY381" s="774"/>
      <c r="SVZ381" s="774"/>
      <c r="SWA381" s="422"/>
      <c r="SWB381" s="775"/>
      <c r="SWC381" s="774"/>
      <c r="SWD381" s="776"/>
      <c r="SWE381" s="430"/>
      <c r="SWF381" s="717"/>
      <c r="SWG381" s="774"/>
      <c r="SWH381" s="774"/>
      <c r="SWI381" s="422"/>
      <c r="SWJ381" s="775"/>
      <c r="SWK381" s="774"/>
      <c r="SWL381" s="776"/>
      <c r="SWM381" s="430"/>
      <c r="SWN381" s="717"/>
      <c r="SWO381" s="774"/>
      <c r="SWP381" s="774"/>
      <c r="SWQ381" s="422"/>
      <c r="SWR381" s="775"/>
      <c r="SWS381" s="774"/>
      <c r="SWT381" s="776"/>
      <c r="SWU381" s="430"/>
      <c r="SWV381" s="717"/>
      <c r="SWW381" s="774"/>
      <c r="SWX381" s="774"/>
      <c r="SWY381" s="422"/>
      <c r="SWZ381" s="775"/>
      <c r="SXA381" s="774"/>
      <c r="SXB381" s="776"/>
      <c r="SXC381" s="430"/>
      <c r="SXD381" s="717"/>
      <c r="SXE381" s="774"/>
      <c r="SXF381" s="774"/>
      <c r="SXG381" s="422"/>
      <c r="SXH381" s="775"/>
      <c r="SXI381" s="774"/>
      <c r="SXJ381" s="776"/>
      <c r="SXK381" s="430"/>
      <c r="SXL381" s="717"/>
      <c r="SXM381" s="774"/>
      <c r="SXN381" s="774"/>
      <c r="SXO381" s="422"/>
      <c r="SXP381" s="775"/>
      <c r="SXQ381" s="774"/>
      <c r="SXR381" s="776"/>
      <c r="SXS381" s="430"/>
      <c r="SXT381" s="717"/>
      <c r="SXU381" s="774"/>
      <c r="SXV381" s="774"/>
      <c r="SXW381" s="422"/>
      <c r="SXX381" s="775"/>
      <c r="SXY381" s="774"/>
      <c r="SXZ381" s="776"/>
      <c r="SYA381" s="430"/>
      <c r="SYB381" s="717"/>
      <c r="SYC381" s="774"/>
      <c r="SYD381" s="774"/>
      <c r="SYE381" s="422"/>
      <c r="SYF381" s="775"/>
      <c r="SYG381" s="774"/>
      <c r="SYH381" s="776"/>
      <c r="SYI381" s="430"/>
      <c r="SYJ381" s="717"/>
      <c r="SYK381" s="774"/>
      <c r="SYL381" s="774"/>
      <c r="SYM381" s="422"/>
      <c r="SYN381" s="775"/>
      <c r="SYO381" s="774"/>
      <c r="SYP381" s="776"/>
      <c r="SYQ381" s="430"/>
      <c r="SYR381" s="717"/>
      <c r="SYS381" s="774"/>
      <c r="SYT381" s="774"/>
      <c r="SYU381" s="422"/>
      <c r="SYV381" s="775"/>
      <c r="SYW381" s="774"/>
      <c r="SYX381" s="776"/>
      <c r="SYY381" s="430"/>
      <c r="SYZ381" s="717"/>
      <c r="SZA381" s="774"/>
      <c r="SZB381" s="774"/>
      <c r="SZC381" s="422"/>
      <c r="SZD381" s="775"/>
      <c r="SZE381" s="774"/>
      <c r="SZF381" s="776"/>
      <c r="SZG381" s="430"/>
      <c r="SZH381" s="717"/>
      <c r="SZI381" s="774"/>
      <c r="SZJ381" s="774"/>
      <c r="SZK381" s="422"/>
      <c r="SZL381" s="775"/>
      <c r="SZM381" s="774"/>
      <c r="SZN381" s="776"/>
      <c r="SZO381" s="430"/>
      <c r="SZP381" s="717"/>
      <c r="SZQ381" s="774"/>
      <c r="SZR381" s="774"/>
      <c r="SZS381" s="422"/>
      <c r="SZT381" s="775"/>
      <c r="SZU381" s="774"/>
      <c r="SZV381" s="776"/>
      <c r="SZW381" s="430"/>
      <c r="SZX381" s="717"/>
      <c r="SZY381" s="774"/>
      <c r="SZZ381" s="774"/>
      <c r="TAA381" s="422"/>
      <c r="TAB381" s="775"/>
      <c r="TAC381" s="774"/>
      <c r="TAD381" s="776"/>
      <c r="TAE381" s="430"/>
      <c r="TAF381" s="717"/>
      <c r="TAG381" s="774"/>
      <c r="TAH381" s="774"/>
      <c r="TAI381" s="422"/>
      <c r="TAJ381" s="775"/>
      <c r="TAK381" s="774"/>
      <c r="TAL381" s="776"/>
      <c r="TAM381" s="430"/>
      <c r="TAN381" s="717"/>
      <c r="TAO381" s="774"/>
      <c r="TAP381" s="774"/>
      <c r="TAQ381" s="422"/>
      <c r="TAR381" s="775"/>
      <c r="TAS381" s="774"/>
      <c r="TAT381" s="776"/>
      <c r="TAU381" s="430"/>
      <c r="TAV381" s="717"/>
      <c r="TAW381" s="774"/>
      <c r="TAX381" s="774"/>
      <c r="TAY381" s="422"/>
      <c r="TAZ381" s="775"/>
      <c r="TBA381" s="774"/>
      <c r="TBB381" s="776"/>
      <c r="TBC381" s="430"/>
      <c r="TBD381" s="717"/>
      <c r="TBE381" s="774"/>
      <c r="TBF381" s="774"/>
      <c r="TBG381" s="422"/>
      <c r="TBH381" s="775"/>
      <c r="TBI381" s="774"/>
      <c r="TBJ381" s="776"/>
      <c r="TBK381" s="430"/>
      <c r="TBL381" s="717"/>
      <c r="TBM381" s="774"/>
      <c r="TBN381" s="774"/>
      <c r="TBO381" s="422"/>
      <c r="TBP381" s="775"/>
      <c r="TBQ381" s="774"/>
      <c r="TBR381" s="776"/>
      <c r="TBS381" s="430"/>
      <c r="TBT381" s="717"/>
      <c r="TBU381" s="774"/>
      <c r="TBV381" s="774"/>
      <c r="TBW381" s="422"/>
      <c r="TBX381" s="775"/>
      <c r="TBY381" s="774"/>
      <c r="TBZ381" s="776"/>
      <c r="TCA381" s="430"/>
      <c r="TCB381" s="717"/>
      <c r="TCC381" s="774"/>
      <c r="TCD381" s="774"/>
      <c r="TCE381" s="422"/>
      <c r="TCF381" s="775"/>
      <c r="TCG381" s="774"/>
      <c r="TCH381" s="776"/>
      <c r="TCI381" s="430"/>
      <c r="TCJ381" s="717"/>
      <c r="TCK381" s="774"/>
      <c r="TCL381" s="774"/>
      <c r="TCM381" s="422"/>
      <c r="TCN381" s="775"/>
      <c r="TCO381" s="774"/>
      <c r="TCP381" s="776"/>
      <c r="TCQ381" s="430"/>
      <c r="TCR381" s="717"/>
      <c r="TCS381" s="774"/>
      <c r="TCT381" s="774"/>
      <c r="TCU381" s="422"/>
      <c r="TCV381" s="775"/>
      <c r="TCW381" s="774"/>
      <c r="TCX381" s="776"/>
      <c r="TCY381" s="430"/>
      <c r="TCZ381" s="717"/>
      <c r="TDA381" s="774"/>
      <c r="TDB381" s="774"/>
      <c r="TDC381" s="422"/>
      <c r="TDD381" s="775"/>
      <c r="TDE381" s="774"/>
      <c r="TDF381" s="776"/>
      <c r="TDG381" s="430"/>
      <c r="TDH381" s="717"/>
      <c r="TDI381" s="774"/>
      <c r="TDJ381" s="774"/>
      <c r="TDK381" s="422"/>
      <c r="TDL381" s="775"/>
      <c r="TDM381" s="774"/>
      <c r="TDN381" s="776"/>
      <c r="TDO381" s="430"/>
      <c r="TDP381" s="717"/>
      <c r="TDQ381" s="774"/>
      <c r="TDR381" s="774"/>
      <c r="TDS381" s="422"/>
      <c r="TDT381" s="775"/>
      <c r="TDU381" s="774"/>
      <c r="TDV381" s="776"/>
      <c r="TDW381" s="430"/>
      <c r="TDX381" s="717"/>
      <c r="TDY381" s="774"/>
      <c r="TDZ381" s="774"/>
      <c r="TEA381" s="422"/>
      <c r="TEB381" s="775"/>
      <c r="TEC381" s="774"/>
      <c r="TED381" s="776"/>
      <c r="TEE381" s="430"/>
      <c r="TEF381" s="717"/>
      <c r="TEG381" s="774"/>
      <c r="TEH381" s="774"/>
      <c r="TEI381" s="422"/>
      <c r="TEJ381" s="775"/>
      <c r="TEK381" s="774"/>
      <c r="TEL381" s="776"/>
      <c r="TEM381" s="430"/>
      <c r="TEN381" s="717"/>
      <c r="TEO381" s="774"/>
      <c r="TEP381" s="774"/>
      <c r="TEQ381" s="422"/>
      <c r="TER381" s="775"/>
      <c r="TES381" s="774"/>
      <c r="TET381" s="776"/>
      <c r="TEU381" s="430"/>
      <c r="TEV381" s="717"/>
      <c r="TEW381" s="774"/>
      <c r="TEX381" s="774"/>
      <c r="TEY381" s="422"/>
      <c r="TEZ381" s="775"/>
      <c r="TFA381" s="774"/>
      <c r="TFB381" s="776"/>
      <c r="TFC381" s="430"/>
      <c r="TFD381" s="717"/>
      <c r="TFE381" s="774"/>
      <c r="TFF381" s="774"/>
      <c r="TFG381" s="422"/>
      <c r="TFH381" s="775"/>
      <c r="TFI381" s="774"/>
      <c r="TFJ381" s="776"/>
      <c r="TFK381" s="430"/>
      <c r="TFL381" s="717"/>
      <c r="TFM381" s="774"/>
      <c r="TFN381" s="774"/>
      <c r="TFO381" s="422"/>
      <c r="TFP381" s="775"/>
      <c r="TFQ381" s="774"/>
      <c r="TFR381" s="776"/>
      <c r="TFS381" s="430"/>
      <c r="TFT381" s="717"/>
      <c r="TFU381" s="774"/>
      <c r="TFV381" s="774"/>
      <c r="TFW381" s="422"/>
      <c r="TFX381" s="775"/>
      <c r="TFY381" s="774"/>
      <c r="TFZ381" s="776"/>
      <c r="TGA381" s="430"/>
      <c r="TGB381" s="717"/>
      <c r="TGC381" s="774"/>
      <c r="TGD381" s="774"/>
      <c r="TGE381" s="422"/>
      <c r="TGF381" s="775"/>
      <c r="TGG381" s="774"/>
      <c r="TGH381" s="776"/>
      <c r="TGI381" s="430"/>
      <c r="TGJ381" s="717"/>
      <c r="TGK381" s="774"/>
      <c r="TGL381" s="774"/>
      <c r="TGM381" s="422"/>
      <c r="TGN381" s="775"/>
      <c r="TGO381" s="774"/>
      <c r="TGP381" s="776"/>
      <c r="TGQ381" s="430"/>
      <c r="TGR381" s="717"/>
      <c r="TGS381" s="774"/>
      <c r="TGT381" s="774"/>
      <c r="TGU381" s="422"/>
      <c r="TGV381" s="775"/>
      <c r="TGW381" s="774"/>
      <c r="TGX381" s="776"/>
      <c r="TGY381" s="430"/>
      <c r="TGZ381" s="717"/>
      <c r="THA381" s="774"/>
      <c r="THB381" s="774"/>
      <c r="THC381" s="422"/>
      <c r="THD381" s="775"/>
      <c r="THE381" s="774"/>
      <c r="THF381" s="776"/>
      <c r="THG381" s="430"/>
      <c r="THH381" s="717"/>
      <c r="THI381" s="774"/>
      <c r="THJ381" s="774"/>
      <c r="THK381" s="422"/>
      <c r="THL381" s="775"/>
      <c r="THM381" s="774"/>
      <c r="THN381" s="776"/>
      <c r="THO381" s="430"/>
      <c r="THP381" s="717"/>
      <c r="THQ381" s="774"/>
      <c r="THR381" s="774"/>
      <c r="THS381" s="422"/>
      <c r="THT381" s="775"/>
      <c r="THU381" s="774"/>
      <c r="THV381" s="776"/>
      <c r="THW381" s="430"/>
      <c r="THX381" s="717"/>
      <c r="THY381" s="774"/>
      <c r="THZ381" s="774"/>
      <c r="TIA381" s="422"/>
      <c r="TIB381" s="775"/>
      <c r="TIC381" s="774"/>
      <c r="TID381" s="776"/>
      <c r="TIE381" s="430"/>
      <c r="TIF381" s="717"/>
      <c r="TIG381" s="774"/>
      <c r="TIH381" s="774"/>
      <c r="TII381" s="422"/>
      <c r="TIJ381" s="775"/>
      <c r="TIK381" s="774"/>
      <c r="TIL381" s="776"/>
      <c r="TIM381" s="430"/>
      <c r="TIN381" s="717"/>
      <c r="TIO381" s="774"/>
      <c r="TIP381" s="774"/>
      <c r="TIQ381" s="422"/>
      <c r="TIR381" s="775"/>
      <c r="TIS381" s="774"/>
      <c r="TIT381" s="776"/>
      <c r="TIU381" s="430"/>
      <c r="TIV381" s="717"/>
      <c r="TIW381" s="774"/>
      <c r="TIX381" s="774"/>
      <c r="TIY381" s="422"/>
      <c r="TIZ381" s="775"/>
      <c r="TJA381" s="774"/>
      <c r="TJB381" s="776"/>
      <c r="TJC381" s="430"/>
      <c r="TJD381" s="717"/>
      <c r="TJE381" s="774"/>
      <c r="TJF381" s="774"/>
      <c r="TJG381" s="422"/>
      <c r="TJH381" s="775"/>
      <c r="TJI381" s="774"/>
      <c r="TJJ381" s="776"/>
      <c r="TJK381" s="430"/>
      <c r="TJL381" s="717"/>
      <c r="TJM381" s="774"/>
      <c r="TJN381" s="774"/>
      <c r="TJO381" s="422"/>
      <c r="TJP381" s="775"/>
      <c r="TJQ381" s="774"/>
      <c r="TJR381" s="776"/>
      <c r="TJS381" s="430"/>
      <c r="TJT381" s="717"/>
      <c r="TJU381" s="774"/>
      <c r="TJV381" s="774"/>
      <c r="TJW381" s="422"/>
      <c r="TJX381" s="775"/>
      <c r="TJY381" s="774"/>
      <c r="TJZ381" s="776"/>
      <c r="TKA381" s="430"/>
      <c r="TKB381" s="717"/>
      <c r="TKC381" s="774"/>
      <c r="TKD381" s="774"/>
      <c r="TKE381" s="422"/>
      <c r="TKF381" s="775"/>
      <c r="TKG381" s="774"/>
      <c r="TKH381" s="776"/>
      <c r="TKI381" s="430"/>
      <c r="TKJ381" s="717"/>
      <c r="TKK381" s="774"/>
      <c r="TKL381" s="774"/>
      <c r="TKM381" s="422"/>
      <c r="TKN381" s="775"/>
      <c r="TKO381" s="774"/>
      <c r="TKP381" s="776"/>
      <c r="TKQ381" s="430"/>
      <c r="TKR381" s="717"/>
      <c r="TKS381" s="774"/>
      <c r="TKT381" s="774"/>
      <c r="TKU381" s="422"/>
      <c r="TKV381" s="775"/>
      <c r="TKW381" s="774"/>
      <c r="TKX381" s="776"/>
      <c r="TKY381" s="430"/>
      <c r="TKZ381" s="717"/>
      <c r="TLA381" s="774"/>
      <c r="TLB381" s="774"/>
      <c r="TLC381" s="422"/>
      <c r="TLD381" s="775"/>
      <c r="TLE381" s="774"/>
      <c r="TLF381" s="776"/>
      <c r="TLG381" s="430"/>
      <c r="TLH381" s="717"/>
      <c r="TLI381" s="774"/>
      <c r="TLJ381" s="774"/>
      <c r="TLK381" s="422"/>
      <c r="TLL381" s="775"/>
      <c r="TLM381" s="774"/>
      <c r="TLN381" s="776"/>
      <c r="TLO381" s="430"/>
      <c r="TLP381" s="717"/>
      <c r="TLQ381" s="774"/>
      <c r="TLR381" s="774"/>
      <c r="TLS381" s="422"/>
      <c r="TLT381" s="775"/>
      <c r="TLU381" s="774"/>
      <c r="TLV381" s="776"/>
      <c r="TLW381" s="430"/>
      <c r="TLX381" s="717"/>
      <c r="TLY381" s="774"/>
      <c r="TLZ381" s="774"/>
      <c r="TMA381" s="422"/>
      <c r="TMB381" s="775"/>
      <c r="TMC381" s="774"/>
      <c r="TMD381" s="776"/>
      <c r="TME381" s="430"/>
      <c r="TMF381" s="717"/>
      <c r="TMG381" s="774"/>
      <c r="TMH381" s="774"/>
      <c r="TMI381" s="422"/>
      <c r="TMJ381" s="775"/>
      <c r="TMK381" s="774"/>
      <c r="TML381" s="776"/>
      <c r="TMM381" s="430"/>
      <c r="TMN381" s="717"/>
      <c r="TMO381" s="774"/>
      <c r="TMP381" s="774"/>
      <c r="TMQ381" s="422"/>
      <c r="TMR381" s="775"/>
      <c r="TMS381" s="774"/>
      <c r="TMT381" s="776"/>
      <c r="TMU381" s="430"/>
      <c r="TMV381" s="717"/>
      <c r="TMW381" s="774"/>
      <c r="TMX381" s="774"/>
      <c r="TMY381" s="422"/>
      <c r="TMZ381" s="775"/>
      <c r="TNA381" s="774"/>
      <c r="TNB381" s="776"/>
      <c r="TNC381" s="430"/>
      <c r="TND381" s="717"/>
      <c r="TNE381" s="774"/>
      <c r="TNF381" s="774"/>
      <c r="TNG381" s="422"/>
      <c r="TNH381" s="775"/>
      <c r="TNI381" s="774"/>
      <c r="TNJ381" s="776"/>
      <c r="TNK381" s="430"/>
      <c r="TNL381" s="717"/>
      <c r="TNM381" s="774"/>
      <c r="TNN381" s="774"/>
      <c r="TNO381" s="422"/>
      <c r="TNP381" s="775"/>
      <c r="TNQ381" s="774"/>
      <c r="TNR381" s="776"/>
      <c r="TNS381" s="430"/>
      <c r="TNT381" s="717"/>
      <c r="TNU381" s="774"/>
      <c r="TNV381" s="774"/>
      <c r="TNW381" s="422"/>
      <c r="TNX381" s="775"/>
      <c r="TNY381" s="774"/>
      <c r="TNZ381" s="776"/>
      <c r="TOA381" s="430"/>
      <c r="TOB381" s="717"/>
      <c r="TOC381" s="774"/>
      <c r="TOD381" s="774"/>
      <c r="TOE381" s="422"/>
      <c r="TOF381" s="775"/>
      <c r="TOG381" s="774"/>
      <c r="TOH381" s="776"/>
      <c r="TOI381" s="430"/>
      <c r="TOJ381" s="717"/>
      <c r="TOK381" s="774"/>
      <c r="TOL381" s="774"/>
      <c r="TOM381" s="422"/>
      <c r="TON381" s="775"/>
      <c r="TOO381" s="774"/>
      <c r="TOP381" s="776"/>
      <c r="TOQ381" s="430"/>
      <c r="TOR381" s="717"/>
      <c r="TOS381" s="774"/>
      <c r="TOT381" s="774"/>
      <c r="TOU381" s="422"/>
      <c r="TOV381" s="775"/>
      <c r="TOW381" s="774"/>
      <c r="TOX381" s="776"/>
      <c r="TOY381" s="430"/>
      <c r="TOZ381" s="717"/>
      <c r="TPA381" s="774"/>
      <c r="TPB381" s="774"/>
      <c r="TPC381" s="422"/>
      <c r="TPD381" s="775"/>
      <c r="TPE381" s="774"/>
      <c r="TPF381" s="776"/>
      <c r="TPG381" s="430"/>
      <c r="TPH381" s="717"/>
      <c r="TPI381" s="774"/>
      <c r="TPJ381" s="774"/>
      <c r="TPK381" s="422"/>
      <c r="TPL381" s="775"/>
      <c r="TPM381" s="774"/>
      <c r="TPN381" s="776"/>
      <c r="TPO381" s="430"/>
      <c r="TPP381" s="717"/>
      <c r="TPQ381" s="774"/>
      <c r="TPR381" s="774"/>
      <c r="TPS381" s="422"/>
      <c r="TPT381" s="775"/>
      <c r="TPU381" s="774"/>
      <c r="TPV381" s="776"/>
      <c r="TPW381" s="430"/>
      <c r="TPX381" s="717"/>
      <c r="TPY381" s="774"/>
      <c r="TPZ381" s="774"/>
      <c r="TQA381" s="422"/>
      <c r="TQB381" s="775"/>
      <c r="TQC381" s="774"/>
      <c r="TQD381" s="776"/>
      <c r="TQE381" s="430"/>
      <c r="TQF381" s="717"/>
      <c r="TQG381" s="774"/>
      <c r="TQH381" s="774"/>
      <c r="TQI381" s="422"/>
      <c r="TQJ381" s="775"/>
      <c r="TQK381" s="774"/>
      <c r="TQL381" s="776"/>
      <c r="TQM381" s="430"/>
      <c r="TQN381" s="717"/>
      <c r="TQO381" s="774"/>
      <c r="TQP381" s="774"/>
      <c r="TQQ381" s="422"/>
      <c r="TQR381" s="775"/>
      <c r="TQS381" s="774"/>
      <c r="TQT381" s="776"/>
      <c r="TQU381" s="430"/>
      <c r="TQV381" s="717"/>
      <c r="TQW381" s="774"/>
      <c r="TQX381" s="774"/>
      <c r="TQY381" s="422"/>
      <c r="TQZ381" s="775"/>
      <c r="TRA381" s="774"/>
      <c r="TRB381" s="776"/>
      <c r="TRC381" s="430"/>
      <c r="TRD381" s="717"/>
      <c r="TRE381" s="774"/>
      <c r="TRF381" s="774"/>
      <c r="TRG381" s="422"/>
      <c r="TRH381" s="775"/>
      <c r="TRI381" s="774"/>
      <c r="TRJ381" s="776"/>
      <c r="TRK381" s="430"/>
      <c r="TRL381" s="717"/>
      <c r="TRM381" s="774"/>
      <c r="TRN381" s="774"/>
      <c r="TRO381" s="422"/>
      <c r="TRP381" s="775"/>
      <c r="TRQ381" s="774"/>
      <c r="TRR381" s="776"/>
      <c r="TRS381" s="430"/>
      <c r="TRT381" s="717"/>
      <c r="TRU381" s="774"/>
      <c r="TRV381" s="774"/>
      <c r="TRW381" s="422"/>
      <c r="TRX381" s="775"/>
      <c r="TRY381" s="774"/>
      <c r="TRZ381" s="776"/>
      <c r="TSA381" s="430"/>
      <c r="TSB381" s="717"/>
      <c r="TSC381" s="774"/>
      <c r="TSD381" s="774"/>
      <c r="TSE381" s="422"/>
      <c r="TSF381" s="775"/>
      <c r="TSG381" s="774"/>
      <c r="TSH381" s="776"/>
      <c r="TSI381" s="430"/>
      <c r="TSJ381" s="717"/>
      <c r="TSK381" s="774"/>
      <c r="TSL381" s="774"/>
      <c r="TSM381" s="422"/>
      <c r="TSN381" s="775"/>
      <c r="TSO381" s="774"/>
      <c r="TSP381" s="776"/>
      <c r="TSQ381" s="430"/>
      <c r="TSR381" s="717"/>
      <c r="TSS381" s="774"/>
      <c r="TST381" s="774"/>
      <c r="TSU381" s="422"/>
      <c r="TSV381" s="775"/>
      <c r="TSW381" s="774"/>
      <c r="TSX381" s="776"/>
      <c r="TSY381" s="430"/>
      <c r="TSZ381" s="717"/>
      <c r="TTA381" s="774"/>
      <c r="TTB381" s="774"/>
      <c r="TTC381" s="422"/>
      <c r="TTD381" s="775"/>
      <c r="TTE381" s="774"/>
      <c r="TTF381" s="776"/>
      <c r="TTG381" s="430"/>
      <c r="TTH381" s="717"/>
      <c r="TTI381" s="774"/>
      <c r="TTJ381" s="774"/>
      <c r="TTK381" s="422"/>
      <c r="TTL381" s="775"/>
      <c r="TTM381" s="774"/>
      <c r="TTN381" s="776"/>
      <c r="TTO381" s="430"/>
      <c r="TTP381" s="717"/>
      <c r="TTQ381" s="774"/>
      <c r="TTR381" s="774"/>
      <c r="TTS381" s="422"/>
      <c r="TTT381" s="775"/>
      <c r="TTU381" s="774"/>
      <c r="TTV381" s="776"/>
      <c r="TTW381" s="430"/>
      <c r="TTX381" s="717"/>
      <c r="TTY381" s="774"/>
      <c r="TTZ381" s="774"/>
      <c r="TUA381" s="422"/>
      <c r="TUB381" s="775"/>
      <c r="TUC381" s="774"/>
      <c r="TUD381" s="776"/>
      <c r="TUE381" s="430"/>
      <c r="TUF381" s="717"/>
      <c r="TUG381" s="774"/>
      <c r="TUH381" s="774"/>
      <c r="TUI381" s="422"/>
      <c r="TUJ381" s="775"/>
      <c r="TUK381" s="774"/>
      <c r="TUL381" s="776"/>
      <c r="TUM381" s="430"/>
      <c r="TUN381" s="717"/>
      <c r="TUO381" s="774"/>
      <c r="TUP381" s="774"/>
      <c r="TUQ381" s="422"/>
      <c r="TUR381" s="775"/>
      <c r="TUS381" s="774"/>
      <c r="TUT381" s="776"/>
      <c r="TUU381" s="430"/>
      <c r="TUV381" s="717"/>
      <c r="TUW381" s="774"/>
      <c r="TUX381" s="774"/>
      <c r="TUY381" s="422"/>
      <c r="TUZ381" s="775"/>
      <c r="TVA381" s="774"/>
      <c r="TVB381" s="776"/>
      <c r="TVC381" s="430"/>
      <c r="TVD381" s="717"/>
      <c r="TVE381" s="774"/>
      <c r="TVF381" s="774"/>
      <c r="TVG381" s="422"/>
      <c r="TVH381" s="775"/>
      <c r="TVI381" s="774"/>
      <c r="TVJ381" s="776"/>
      <c r="TVK381" s="430"/>
      <c r="TVL381" s="717"/>
      <c r="TVM381" s="774"/>
      <c r="TVN381" s="774"/>
      <c r="TVO381" s="422"/>
      <c r="TVP381" s="775"/>
      <c r="TVQ381" s="774"/>
      <c r="TVR381" s="776"/>
      <c r="TVS381" s="430"/>
      <c r="TVT381" s="717"/>
      <c r="TVU381" s="774"/>
      <c r="TVV381" s="774"/>
      <c r="TVW381" s="422"/>
      <c r="TVX381" s="775"/>
      <c r="TVY381" s="774"/>
      <c r="TVZ381" s="776"/>
      <c r="TWA381" s="430"/>
      <c r="TWB381" s="717"/>
      <c r="TWC381" s="774"/>
      <c r="TWD381" s="774"/>
      <c r="TWE381" s="422"/>
      <c r="TWF381" s="775"/>
      <c r="TWG381" s="774"/>
      <c r="TWH381" s="776"/>
      <c r="TWI381" s="430"/>
      <c r="TWJ381" s="717"/>
      <c r="TWK381" s="774"/>
      <c r="TWL381" s="774"/>
      <c r="TWM381" s="422"/>
      <c r="TWN381" s="775"/>
      <c r="TWO381" s="774"/>
      <c r="TWP381" s="776"/>
      <c r="TWQ381" s="430"/>
      <c r="TWR381" s="717"/>
      <c r="TWS381" s="774"/>
      <c r="TWT381" s="774"/>
      <c r="TWU381" s="422"/>
      <c r="TWV381" s="775"/>
      <c r="TWW381" s="774"/>
      <c r="TWX381" s="776"/>
      <c r="TWY381" s="430"/>
      <c r="TWZ381" s="717"/>
      <c r="TXA381" s="774"/>
      <c r="TXB381" s="774"/>
      <c r="TXC381" s="422"/>
      <c r="TXD381" s="775"/>
      <c r="TXE381" s="774"/>
      <c r="TXF381" s="776"/>
      <c r="TXG381" s="430"/>
      <c r="TXH381" s="717"/>
      <c r="TXI381" s="774"/>
      <c r="TXJ381" s="774"/>
      <c r="TXK381" s="422"/>
      <c r="TXL381" s="775"/>
      <c r="TXM381" s="774"/>
      <c r="TXN381" s="776"/>
      <c r="TXO381" s="430"/>
      <c r="TXP381" s="717"/>
      <c r="TXQ381" s="774"/>
      <c r="TXR381" s="774"/>
      <c r="TXS381" s="422"/>
      <c r="TXT381" s="775"/>
      <c r="TXU381" s="774"/>
      <c r="TXV381" s="776"/>
      <c r="TXW381" s="430"/>
      <c r="TXX381" s="717"/>
      <c r="TXY381" s="774"/>
      <c r="TXZ381" s="774"/>
      <c r="TYA381" s="422"/>
      <c r="TYB381" s="775"/>
      <c r="TYC381" s="774"/>
      <c r="TYD381" s="776"/>
      <c r="TYE381" s="430"/>
      <c r="TYF381" s="717"/>
      <c r="TYG381" s="774"/>
      <c r="TYH381" s="774"/>
      <c r="TYI381" s="422"/>
      <c r="TYJ381" s="775"/>
      <c r="TYK381" s="774"/>
      <c r="TYL381" s="776"/>
      <c r="TYM381" s="430"/>
      <c r="TYN381" s="717"/>
      <c r="TYO381" s="774"/>
      <c r="TYP381" s="774"/>
      <c r="TYQ381" s="422"/>
      <c r="TYR381" s="775"/>
      <c r="TYS381" s="774"/>
      <c r="TYT381" s="776"/>
      <c r="TYU381" s="430"/>
      <c r="TYV381" s="717"/>
      <c r="TYW381" s="774"/>
      <c r="TYX381" s="774"/>
      <c r="TYY381" s="422"/>
      <c r="TYZ381" s="775"/>
      <c r="TZA381" s="774"/>
      <c r="TZB381" s="776"/>
      <c r="TZC381" s="430"/>
      <c r="TZD381" s="717"/>
      <c r="TZE381" s="774"/>
      <c r="TZF381" s="774"/>
      <c r="TZG381" s="422"/>
      <c r="TZH381" s="775"/>
      <c r="TZI381" s="774"/>
      <c r="TZJ381" s="776"/>
      <c r="TZK381" s="430"/>
      <c r="TZL381" s="717"/>
      <c r="TZM381" s="774"/>
      <c r="TZN381" s="774"/>
      <c r="TZO381" s="422"/>
      <c r="TZP381" s="775"/>
      <c r="TZQ381" s="774"/>
      <c r="TZR381" s="776"/>
      <c r="TZS381" s="430"/>
      <c r="TZT381" s="717"/>
      <c r="TZU381" s="774"/>
      <c r="TZV381" s="774"/>
      <c r="TZW381" s="422"/>
      <c r="TZX381" s="775"/>
      <c r="TZY381" s="774"/>
      <c r="TZZ381" s="776"/>
      <c r="UAA381" s="430"/>
      <c r="UAB381" s="717"/>
      <c r="UAC381" s="774"/>
      <c r="UAD381" s="774"/>
      <c r="UAE381" s="422"/>
      <c r="UAF381" s="775"/>
      <c r="UAG381" s="774"/>
      <c r="UAH381" s="776"/>
      <c r="UAI381" s="430"/>
      <c r="UAJ381" s="717"/>
      <c r="UAK381" s="774"/>
      <c r="UAL381" s="774"/>
      <c r="UAM381" s="422"/>
      <c r="UAN381" s="775"/>
      <c r="UAO381" s="774"/>
      <c r="UAP381" s="776"/>
      <c r="UAQ381" s="430"/>
      <c r="UAR381" s="717"/>
      <c r="UAS381" s="774"/>
      <c r="UAT381" s="774"/>
      <c r="UAU381" s="422"/>
      <c r="UAV381" s="775"/>
      <c r="UAW381" s="774"/>
      <c r="UAX381" s="776"/>
      <c r="UAY381" s="430"/>
      <c r="UAZ381" s="717"/>
      <c r="UBA381" s="774"/>
      <c r="UBB381" s="774"/>
      <c r="UBC381" s="422"/>
      <c r="UBD381" s="775"/>
      <c r="UBE381" s="774"/>
      <c r="UBF381" s="776"/>
      <c r="UBG381" s="430"/>
      <c r="UBH381" s="717"/>
      <c r="UBI381" s="774"/>
      <c r="UBJ381" s="774"/>
      <c r="UBK381" s="422"/>
      <c r="UBL381" s="775"/>
      <c r="UBM381" s="774"/>
      <c r="UBN381" s="776"/>
      <c r="UBO381" s="430"/>
      <c r="UBP381" s="717"/>
      <c r="UBQ381" s="774"/>
      <c r="UBR381" s="774"/>
      <c r="UBS381" s="422"/>
      <c r="UBT381" s="775"/>
      <c r="UBU381" s="774"/>
      <c r="UBV381" s="776"/>
      <c r="UBW381" s="430"/>
      <c r="UBX381" s="717"/>
      <c r="UBY381" s="774"/>
      <c r="UBZ381" s="774"/>
      <c r="UCA381" s="422"/>
      <c r="UCB381" s="775"/>
      <c r="UCC381" s="774"/>
      <c r="UCD381" s="776"/>
      <c r="UCE381" s="430"/>
      <c r="UCF381" s="717"/>
      <c r="UCG381" s="774"/>
      <c r="UCH381" s="774"/>
      <c r="UCI381" s="422"/>
      <c r="UCJ381" s="775"/>
      <c r="UCK381" s="774"/>
      <c r="UCL381" s="776"/>
      <c r="UCM381" s="430"/>
      <c r="UCN381" s="717"/>
      <c r="UCO381" s="774"/>
      <c r="UCP381" s="774"/>
      <c r="UCQ381" s="422"/>
      <c r="UCR381" s="775"/>
      <c r="UCS381" s="774"/>
      <c r="UCT381" s="776"/>
      <c r="UCU381" s="430"/>
      <c r="UCV381" s="717"/>
      <c r="UCW381" s="774"/>
      <c r="UCX381" s="774"/>
      <c r="UCY381" s="422"/>
      <c r="UCZ381" s="775"/>
      <c r="UDA381" s="774"/>
      <c r="UDB381" s="776"/>
      <c r="UDC381" s="430"/>
      <c r="UDD381" s="717"/>
      <c r="UDE381" s="774"/>
      <c r="UDF381" s="774"/>
      <c r="UDG381" s="422"/>
      <c r="UDH381" s="775"/>
      <c r="UDI381" s="774"/>
      <c r="UDJ381" s="776"/>
      <c r="UDK381" s="430"/>
      <c r="UDL381" s="717"/>
      <c r="UDM381" s="774"/>
      <c r="UDN381" s="774"/>
      <c r="UDO381" s="422"/>
      <c r="UDP381" s="775"/>
      <c r="UDQ381" s="774"/>
      <c r="UDR381" s="776"/>
      <c r="UDS381" s="430"/>
      <c r="UDT381" s="717"/>
      <c r="UDU381" s="774"/>
      <c r="UDV381" s="774"/>
      <c r="UDW381" s="422"/>
      <c r="UDX381" s="775"/>
      <c r="UDY381" s="774"/>
      <c r="UDZ381" s="776"/>
      <c r="UEA381" s="430"/>
      <c r="UEB381" s="717"/>
      <c r="UEC381" s="774"/>
      <c r="UED381" s="774"/>
      <c r="UEE381" s="422"/>
      <c r="UEF381" s="775"/>
      <c r="UEG381" s="774"/>
      <c r="UEH381" s="776"/>
      <c r="UEI381" s="430"/>
      <c r="UEJ381" s="717"/>
      <c r="UEK381" s="774"/>
      <c r="UEL381" s="774"/>
      <c r="UEM381" s="422"/>
      <c r="UEN381" s="775"/>
      <c r="UEO381" s="774"/>
      <c r="UEP381" s="776"/>
      <c r="UEQ381" s="430"/>
      <c r="UER381" s="717"/>
      <c r="UES381" s="774"/>
      <c r="UET381" s="774"/>
      <c r="UEU381" s="422"/>
      <c r="UEV381" s="775"/>
      <c r="UEW381" s="774"/>
      <c r="UEX381" s="776"/>
      <c r="UEY381" s="430"/>
      <c r="UEZ381" s="717"/>
      <c r="UFA381" s="774"/>
      <c r="UFB381" s="774"/>
      <c r="UFC381" s="422"/>
      <c r="UFD381" s="775"/>
      <c r="UFE381" s="774"/>
      <c r="UFF381" s="776"/>
      <c r="UFG381" s="430"/>
      <c r="UFH381" s="717"/>
      <c r="UFI381" s="774"/>
      <c r="UFJ381" s="774"/>
      <c r="UFK381" s="422"/>
      <c r="UFL381" s="775"/>
      <c r="UFM381" s="774"/>
      <c r="UFN381" s="776"/>
      <c r="UFO381" s="430"/>
      <c r="UFP381" s="717"/>
      <c r="UFQ381" s="774"/>
      <c r="UFR381" s="774"/>
      <c r="UFS381" s="422"/>
      <c r="UFT381" s="775"/>
      <c r="UFU381" s="774"/>
      <c r="UFV381" s="776"/>
      <c r="UFW381" s="430"/>
      <c r="UFX381" s="717"/>
      <c r="UFY381" s="774"/>
      <c r="UFZ381" s="774"/>
      <c r="UGA381" s="422"/>
      <c r="UGB381" s="775"/>
      <c r="UGC381" s="774"/>
      <c r="UGD381" s="776"/>
      <c r="UGE381" s="430"/>
      <c r="UGF381" s="717"/>
      <c r="UGG381" s="774"/>
      <c r="UGH381" s="774"/>
      <c r="UGI381" s="422"/>
      <c r="UGJ381" s="775"/>
      <c r="UGK381" s="774"/>
      <c r="UGL381" s="776"/>
      <c r="UGM381" s="430"/>
      <c r="UGN381" s="717"/>
      <c r="UGO381" s="774"/>
      <c r="UGP381" s="774"/>
      <c r="UGQ381" s="422"/>
      <c r="UGR381" s="775"/>
      <c r="UGS381" s="774"/>
      <c r="UGT381" s="776"/>
      <c r="UGU381" s="430"/>
      <c r="UGV381" s="717"/>
      <c r="UGW381" s="774"/>
      <c r="UGX381" s="774"/>
      <c r="UGY381" s="422"/>
      <c r="UGZ381" s="775"/>
      <c r="UHA381" s="774"/>
      <c r="UHB381" s="776"/>
      <c r="UHC381" s="430"/>
      <c r="UHD381" s="717"/>
      <c r="UHE381" s="774"/>
      <c r="UHF381" s="774"/>
      <c r="UHG381" s="422"/>
      <c r="UHH381" s="775"/>
      <c r="UHI381" s="774"/>
      <c r="UHJ381" s="776"/>
      <c r="UHK381" s="430"/>
      <c r="UHL381" s="717"/>
      <c r="UHM381" s="774"/>
      <c r="UHN381" s="774"/>
      <c r="UHO381" s="422"/>
      <c r="UHP381" s="775"/>
      <c r="UHQ381" s="774"/>
      <c r="UHR381" s="776"/>
      <c r="UHS381" s="430"/>
      <c r="UHT381" s="717"/>
      <c r="UHU381" s="774"/>
      <c r="UHV381" s="774"/>
      <c r="UHW381" s="422"/>
      <c r="UHX381" s="775"/>
      <c r="UHY381" s="774"/>
      <c r="UHZ381" s="776"/>
      <c r="UIA381" s="430"/>
      <c r="UIB381" s="717"/>
      <c r="UIC381" s="774"/>
      <c r="UID381" s="774"/>
      <c r="UIE381" s="422"/>
      <c r="UIF381" s="775"/>
      <c r="UIG381" s="774"/>
      <c r="UIH381" s="776"/>
      <c r="UII381" s="430"/>
      <c r="UIJ381" s="717"/>
      <c r="UIK381" s="774"/>
      <c r="UIL381" s="774"/>
      <c r="UIM381" s="422"/>
      <c r="UIN381" s="775"/>
      <c r="UIO381" s="774"/>
      <c r="UIP381" s="776"/>
      <c r="UIQ381" s="430"/>
      <c r="UIR381" s="717"/>
      <c r="UIS381" s="774"/>
      <c r="UIT381" s="774"/>
      <c r="UIU381" s="422"/>
      <c r="UIV381" s="775"/>
      <c r="UIW381" s="774"/>
      <c r="UIX381" s="776"/>
      <c r="UIY381" s="430"/>
      <c r="UIZ381" s="717"/>
      <c r="UJA381" s="774"/>
      <c r="UJB381" s="774"/>
      <c r="UJC381" s="422"/>
      <c r="UJD381" s="775"/>
      <c r="UJE381" s="774"/>
      <c r="UJF381" s="776"/>
      <c r="UJG381" s="430"/>
      <c r="UJH381" s="717"/>
      <c r="UJI381" s="774"/>
      <c r="UJJ381" s="774"/>
      <c r="UJK381" s="422"/>
      <c r="UJL381" s="775"/>
      <c r="UJM381" s="774"/>
      <c r="UJN381" s="776"/>
      <c r="UJO381" s="430"/>
      <c r="UJP381" s="717"/>
      <c r="UJQ381" s="774"/>
      <c r="UJR381" s="774"/>
      <c r="UJS381" s="422"/>
      <c r="UJT381" s="775"/>
      <c r="UJU381" s="774"/>
      <c r="UJV381" s="776"/>
      <c r="UJW381" s="430"/>
      <c r="UJX381" s="717"/>
      <c r="UJY381" s="774"/>
      <c r="UJZ381" s="774"/>
      <c r="UKA381" s="422"/>
      <c r="UKB381" s="775"/>
      <c r="UKC381" s="774"/>
      <c r="UKD381" s="776"/>
      <c r="UKE381" s="430"/>
      <c r="UKF381" s="717"/>
      <c r="UKG381" s="774"/>
      <c r="UKH381" s="774"/>
      <c r="UKI381" s="422"/>
      <c r="UKJ381" s="775"/>
      <c r="UKK381" s="774"/>
      <c r="UKL381" s="776"/>
      <c r="UKM381" s="430"/>
      <c r="UKN381" s="717"/>
      <c r="UKO381" s="774"/>
      <c r="UKP381" s="774"/>
      <c r="UKQ381" s="422"/>
      <c r="UKR381" s="775"/>
      <c r="UKS381" s="774"/>
      <c r="UKT381" s="776"/>
      <c r="UKU381" s="430"/>
      <c r="UKV381" s="717"/>
      <c r="UKW381" s="774"/>
      <c r="UKX381" s="774"/>
      <c r="UKY381" s="422"/>
      <c r="UKZ381" s="775"/>
      <c r="ULA381" s="774"/>
      <c r="ULB381" s="776"/>
      <c r="ULC381" s="430"/>
      <c r="ULD381" s="717"/>
      <c r="ULE381" s="774"/>
      <c r="ULF381" s="774"/>
      <c r="ULG381" s="422"/>
      <c r="ULH381" s="775"/>
      <c r="ULI381" s="774"/>
      <c r="ULJ381" s="776"/>
      <c r="ULK381" s="430"/>
      <c r="ULL381" s="717"/>
      <c r="ULM381" s="774"/>
      <c r="ULN381" s="774"/>
      <c r="ULO381" s="422"/>
      <c r="ULP381" s="775"/>
      <c r="ULQ381" s="774"/>
      <c r="ULR381" s="776"/>
      <c r="ULS381" s="430"/>
      <c r="ULT381" s="717"/>
      <c r="ULU381" s="774"/>
      <c r="ULV381" s="774"/>
      <c r="ULW381" s="422"/>
      <c r="ULX381" s="775"/>
      <c r="ULY381" s="774"/>
      <c r="ULZ381" s="776"/>
      <c r="UMA381" s="430"/>
      <c r="UMB381" s="717"/>
      <c r="UMC381" s="774"/>
      <c r="UMD381" s="774"/>
      <c r="UME381" s="422"/>
      <c r="UMF381" s="775"/>
      <c r="UMG381" s="774"/>
      <c r="UMH381" s="776"/>
      <c r="UMI381" s="430"/>
      <c r="UMJ381" s="717"/>
      <c r="UMK381" s="774"/>
      <c r="UML381" s="774"/>
      <c r="UMM381" s="422"/>
      <c r="UMN381" s="775"/>
      <c r="UMO381" s="774"/>
      <c r="UMP381" s="776"/>
      <c r="UMQ381" s="430"/>
      <c r="UMR381" s="717"/>
      <c r="UMS381" s="774"/>
      <c r="UMT381" s="774"/>
      <c r="UMU381" s="422"/>
      <c r="UMV381" s="775"/>
      <c r="UMW381" s="774"/>
      <c r="UMX381" s="776"/>
      <c r="UMY381" s="430"/>
      <c r="UMZ381" s="717"/>
      <c r="UNA381" s="774"/>
      <c r="UNB381" s="774"/>
      <c r="UNC381" s="422"/>
      <c r="UND381" s="775"/>
      <c r="UNE381" s="774"/>
      <c r="UNF381" s="776"/>
      <c r="UNG381" s="430"/>
      <c r="UNH381" s="717"/>
      <c r="UNI381" s="774"/>
      <c r="UNJ381" s="774"/>
      <c r="UNK381" s="422"/>
      <c r="UNL381" s="775"/>
      <c r="UNM381" s="774"/>
      <c r="UNN381" s="776"/>
      <c r="UNO381" s="430"/>
      <c r="UNP381" s="717"/>
      <c r="UNQ381" s="774"/>
      <c r="UNR381" s="774"/>
      <c r="UNS381" s="422"/>
      <c r="UNT381" s="775"/>
      <c r="UNU381" s="774"/>
      <c r="UNV381" s="776"/>
      <c r="UNW381" s="430"/>
      <c r="UNX381" s="717"/>
      <c r="UNY381" s="774"/>
      <c r="UNZ381" s="774"/>
      <c r="UOA381" s="422"/>
      <c r="UOB381" s="775"/>
      <c r="UOC381" s="774"/>
      <c r="UOD381" s="776"/>
      <c r="UOE381" s="430"/>
      <c r="UOF381" s="717"/>
      <c r="UOG381" s="774"/>
      <c r="UOH381" s="774"/>
      <c r="UOI381" s="422"/>
      <c r="UOJ381" s="775"/>
      <c r="UOK381" s="774"/>
      <c r="UOL381" s="776"/>
      <c r="UOM381" s="430"/>
      <c r="UON381" s="717"/>
      <c r="UOO381" s="774"/>
      <c r="UOP381" s="774"/>
      <c r="UOQ381" s="422"/>
      <c r="UOR381" s="775"/>
      <c r="UOS381" s="774"/>
      <c r="UOT381" s="776"/>
      <c r="UOU381" s="430"/>
      <c r="UOV381" s="717"/>
      <c r="UOW381" s="774"/>
      <c r="UOX381" s="774"/>
      <c r="UOY381" s="422"/>
      <c r="UOZ381" s="775"/>
      <c r="UPA381" s="774"/>
      <c r="UPB381" s="776"/>
      <c r="UPC381" s="430"/>
      <c r="UPD381" s="717"/>
      <c r="UPE381" s="774"/>
      <c r="UPF381" s="774"/>
      <c r="UPG381" s="422"/>
      <c r="UPH381" s="775"/>
      <c r="UPI381" s="774"/>
      <c r="UPJ381" s="776"/>
      <c r="UPK381" s="430"/>
      <c r="UPL381" s="717"/>
      <c r="UPM381" s="774"/>
      <c r="UPN381" s="774"/>
      <c r="UPO381" s="422"/>
      <c r="UPP381" s="775"/>
      <c r="UPQ381" s="774"/>
      <c r="UPR381" s="776"/>
      <c r="UPS381" s="430"/>
      <c r="UPT381" s="717"/>
      <c r="UPU381" s="774"/>
      <c r="UPV381" s="774"/>
      <c r="UPW381" s="422"/>
      <c r="UPX381" s="775"/>
      <c r="UPY381" s="774"/>
      <c r="UPZ381" s="776"/>
      <c r="UQA381" s="430"/>
      <c r="UQB381" s="717"/>
      <c r="UQC381" s="774"/>
      <c r="UQD381" s="774"/>
      <c r="UQE381" s="422"/>
      <c r="UQF381" s="775"/>
      <c r="UQG381" s="774"/>
      <c r="UQH381" s="776"/>
      <c r="UQI381" s="430"/>
      <c r="UQJ381" s="717"/>
      <c r="UQK381" s="774"/>
      <c r="UQL381" s="774"/>
      <c r="UQM381" s="422"/>
      <c r="UQN381" s="775"/>
      <c r="UQO381" s="774"/>
      <c r="UQP381" s="776"/>
      <c r="UQQ381" s="430"/>
      <c r="UQR381" s="717"/>
      <c r="UQS381" s="774"/>
      <c r="UQT381" s="774"/>
      <c r="UQU381" s="422"/>
      <c r="UQV381" s="775"/>
      <c r="UQW381" s="774"/>
      <c r="UQX381" s="776"/>
      <c r="UQY381" s="430"/>
      <c r="UQZ381" s="717"/>
      <c r="URA381" s="774"/>
      <c r="URB381" s="774"/>
      <c r="URC381" s="422"/>
      <c r="URD381" s="775"/>
      <c r="URE381" s="774"/>
      <c r="URF381" s="776"/>
      <c r="URG381" s="430"/>
      <c r="URH381" s="717"/>
      <c r="URI381" s="774"/>
      <c r="URJ381" s="774"/>
      <c r="URK381" s="422"/>
      <c r="URL381" s="775"/>
      <c r="URM381" s="774"/>
      <c r="URN381" s="776"/>
      <c r="URO381" s="430"/>
      <c r="URP381" s="717"/>
      <c r="URQ381" s="774"/>
      <c r="URR381" s="774"/>
      <c r="URS381" s="422"/>
      <c r="URT381" s="775"/>
      <c r="URU381" s="774"/>
      <c r="URV381" s="776"/>
      <c r="URW381" s="430"/>
      <c r="URX381" s="717"/>
      <c r="URY381" s="774"/>
      <c r="URZ381" s="774"/>
      <c r="USA381" s="422"/>
      <c r="USB381" s="775"/>
      <c r="USC381" s="774"/>
      <c r="USD381" s="776"/>
      <c r="USE381" s="430"/>
      <c r="USF381" s="717"/>
      <c r="USG381" s="774"/>
      <c r="USH381" s="774"/>
      <c r="USI381" s="422"/>
      <c r="USJ381" s="775"/>
      <c r="USK381" s="774"/>
      <c r="USL381" s="776"/>
      <c r="USM381" s="430"/>
      <c r="USN381" s="717"/>
      <c r="USO381" s="774"/>
      <c r="USP381" s="774"/>
      <c r="USQ381" s="422"/>
      <c r="USR381" s="775"/>
      <c r="USS381" s="774"/>
      <c r="UST381" s="776"/>
      <c r="USU381" s="430"/>
      <c r="USV381" s="717"/>
      <c r="USW381" s="774"/>
      <c r="USX381" s="774"/>
      <c r="USY381" s="422"/>
      <c r="USZ381" s="775"/>
      <c r="UTA381" s="774"/>
      <c r="UTB381" s="776"/>
      <c r="UTC381" s="430"/>
      <c r="UTD381" s="717"/>
      <c r="UTE381" s="774"/>
      <c r="UTF381" s="774"/>
      <c r="UTG381" s="422"/>
      <c r="UTH381" s="775"/>
      <c r="UTI381" s="774"/>
      <c r="UTJ381" s="776"/>
      <c r="UTK381" s="430"/>
      <c r="UTL381" s="717"/>
      <c r="UTM381" s="774"/>
      <c r="UTN381" s="774"/>
      <c r="UTO381" s="422"/>
      <c r="UTP381" s="775"/>
      <c r="UTQ381" s="774"/>
      <c r="UTR381" s="776"/>
      <c r="UTS381" s="430"/>
      <c r="UTT381" s="717"/>
      <c r="UTU381" s="774"/>
      <c r="UTV381" s="774"/>
      <c r="UTW381" s="422"/>
      <c r="UTX381" s="775"/>
      <c r="UTY381" s="774"/>
      <c r="UTZ381" s="776"/>
      <c r="UUA381" s="430"/>
      <c r="UUB381" s="717"/>
      <c r="UUC381" s="774"/>
      <c r="UUD381" s="774"/>
      <c r="UUE381" s="422"/>
      <c r="UUF381" s="775"/>
      <c r="UUG381" s="774"/>
      <c r="UUH381" s="776"/>
      <c r="UUI381" s="430"/>
      <c r="UUJ381" s="717"/>
      <c r="UUK381" s="774"/>
      <c r="UUL381" s="774"/>
      <c r="UUM381" s="422"/>
      <c r="UUN381" s="775"/>
      <c r="UUO381" s="774"/>
      <c r="UUP381" s="776"/>
      <c r="UUQ381" s="430"/>
      <c r="UUR381" s="717"/>
      <c r="UUS381" s="774"/>
      <c r="UUT381" s="774"/>
      <c r="UUU381" s="422"/>
      <c r="UUV381" s="775"/>
      <c r="UUW381" s="774"/>
      <c r="UUX381" s="776"/>
      <c r="UUY381" s="430"/>
      <c r="UUZ381" s="717"/>
      <c r="UVA381" s="774"/>
      <c r="UVB381" s="774"/>
      <c r="UVC381" s="422"/>
      <c r="UVD381" s="775"/>
      <c r="UVE381" s="774"/>
      <c r="UVF381" s="776"/>
      <c r="UVG381" s="430"/>
      <c r="UVH381" s="717"/>
      <c r="UVI381" s="774"/>
      <c r="UVJ381" s="774"/>
      <c r="UVK381" s="422"/>
      <c r="UVL381" s="775"/>
      <c r="UVM381" s="774"/>
      <c r="UVN381" s="776"/>
      <c r="UVO381" s="430"/>
      <c r="UVP381" s="717"/>
      <c r="UVQ381" s="774"/>
      <c r="UVR381" s="774"/>
      <c r="UVS381" s="422"/>
      <c r="UVT381" s="775"/>
      <c r="UVU381" s="774"/>
      <c r="UVV381" s="776"/>
      <c r="UVW381" s="430"/>
      <c r="UVX381" s="717"/>
      <c r="UVY381" s="774"/>
      <c r="UVZ381" s="774"/>
      <c r="UWA381" s="422"/>
      <c r="UWB381" s="775"/>
      <c r="UWC381" s="774"/>
      <c r="UWD381" s="776"/>
      <c r="UWE381" s="430"/>
      <c r="UWF381" s="717"/>
      <c r="UWG381" s="774"/>
      <c r="UWH381" s="774"/>
      <c r="UWI381" s="422"/>
      <c r="UWJ381" s="775"/>
      <c r="UWK381" s="774"/>
      <c r="UWL381" s="776"/>
      <c r="UWM381" s="430"/>
      <c r="UWN381" s="717"/>
      <c r="UWO381" s="774"/>
      <c r="UWP381" s="774"/>
      <c r="UWQ381" s="422"/>
      <c r="UWR381" s="775"/>
      <c r="UWS381" s="774"/>
      <c r="UWT381" s="776"/>
      <c r="UWU381" s="430"/>
      <c r="UWV381" s="717"/>
      <c r="UWW381" s="774"/>
      <c r="UWX381" s="774"/>
      <c r="UWY381" s="422"/>
      <c r="UWZ381" s="775"/>
      <c r="UXA381" s="774"/>
      <c r="UXB381" s="776"/>
      <c r="UXC381" s="430"/>
      <c r="UXD381" s="717"/>
      <c r="UXE381" s="774"/>
      <c r="UXF381" s="774"/>
      <c r="UXG381" s="422"/>
      <c r="UXH381" s="775"/>
      <c r="UXI381" s="774"/>
      <c r="UXJ381" s="776"/>
      <c r="UXK381" s="430"/>
      <c r="UXL381" s="717"/>
      <c r="UXM381" s="774"/>
      <c r="UXN381" s="774"/>
      <c r="UXO381" s="422"/>
      <c r="UXP381" s="775"/>
      <c r="UXQ381" s="774"/>
      <c r="UXR381" s="776"/>
      <c r="UXS381" s="430"/>
      <c r="UXT381" s="717"/>
      <c r="UXU381" s="774"/>
      <c r="UXV381" s="774"/>
      <c r="UXW381" s="422"/>
      <c r="UXX381" s="775"/>
      <c r="UXY381" s="774"/>
      <c r="UXZ381" s="776"/>
      <c r="UYA381" s="430"/>
      <c r="UYB381" s="717"/>
      <c r="UYC381" s="774"/>
      <c r="UYD381" s="774"/>
      <c r="UYE381" s="422"/>
      <c r="UYF381" s="775"/>
      <c r="UYG381" s="774"/>
      <c r="UYH381" s="776"/>
      <c r="UYI381" s="430"/>
      <c r="UYJ381" s="717"/>
      <c r="UYK381" s="774"/>
      <c r="UYL381" s="774"/>
      <c r="UYM381" s="422"/>
      <c r="UYN381" s="775"/>
      <c r="UYO381" s="774"/>
      <c r="UYP381" s="776"/>
      <c r="UYQ381" s="430"/>
      <c r="UYR381" s="717"/>
      <c r="UYS381" s="774"/>
      <c r="UYT381" s="774"/>
      <c r="UYU381" s="422"/>
      <c r="UYV381" s="775"/>
      <c r="UYW381" s="774"/>
      <c r="UYX381" s="776"/>
      <c r="UYY381" s="430"/>
      <c r="UYZ381" s="717"/>
      <c r="UZA381" s="774"/>
      <c r="UZB381" s="774"/>
      <c r="UZC381" s="422"/>
      <c r="UZD381" s="775"/>
      <c r="UZE381" s="774"/>
      <c r="UZF381" s="776"/>
      <c r="UZG381" s="430"/>
      <c r="UZH381" s="717"/>
      <c r="UZI381" s="774"/>
      <c r="UZJ381" s="774"/>
      <c r="UZK381" s="422"/>
      <c r="UZL381" s="775"/>
      <c r="UZM381" s="774"/>
      <c r="UZN381" s="776"/>
      <c r="UZO381" s="430"/>
      <c r="UZP381" s="717"/>
      <c r="UZQ381" s="774"/>
      <c r="UZR381" s="774"/>
      <c r="UZS381" s="422"/>
      <c r="UZT381" s="775"/>
      <c r="UZU381" s="774"/>
      <c r="UZV381" s="776"/>
      <c r="UZW381" s="430"/>
      <c r="UZX381" s="717"/>
      <c r="UZY381" s="774"/>
      <c r="UZZ381" s="774"/>
      <c r="VAA381" s="422"/>
      <c r="VAB381" s="775"/>
      <c r="VAC381" s="774"/>
      <c r="VAD381" s="776"/>
      <c r="VAE381" s="430"/>
      <c r="VAF381" s="717"/>
      <c r="VAG381" s="774"/>
      <c r="VAH381" s="774"/>
      <c r="VAI381" s="422"/>
      <c r="VAJ381" s="775"/>
      <c r="VAK381" s="774"/>
      <c r="VAL381" s="776"/>
      <c r="VAM381" s="430"/>
      <c r="VAN381" s="717"/>
      <c r="VAO381" s="774"/>
      <c r="VAP381" s="774"/>
      <c r="VAQ381" s="422"/>
      <c r="VAR381" s="775"/>
      <c r="VAS381" s="774"/>
      <c r="VAT381" s="776"/>
      <c r="VAU381" s="430"/>
      <c r="VAV381" s="717"/>
      <c r="VAW381" s="774"/>
      <c r="VAX381" s="774"/>
      <c r="VAY381" s="422"/>
      <c r="VAZ381" s="775"/>
      <c r="VBA381" s="774"/>
      <c r="VBB381" s="776"/>
      <c r="VBC381" s="430"/>
      <c r="VBD381" s="717"/>
      <c r="VBE381" s="774"/>
      <c r="VBF381" s="774"/>
      <c r="VBG381" s="422"/>
      <c r="VBH381" s="775"/>
      <c r="VBI381" s="774"/>
      <c r="VBJ381" s="776"/>
      <c r="VBK381" s="430"/>
      <c r="VBL381" s="717"/>
      <c r="VBM381" s="774"/>
      <c r="VBN381" s="774"/>
      <c r="VBO381" s="422"/>
      <c r="VBP381" s="775"/>
      <c r="VBQ381" s="774"/>
      <c r="VBR381" s="776"/>
      <c r="VBS381" s="430"/>
      <c r="VBT381" s="717"/>
      <c r="VBU381" s="774"/>
      <c r="VBV381" s="774"/>
      <c r="VBW381" s="422"/>
      <c r="VBX381" s="775"/>
      <c r="VBY381" s="774"/>
      <c r="VBZ381" s="776"/>
      <c r="VCA381" s="430"/>
      <c r="VCB381" s="717"/>
      <c r="VCC381" s="774"/>
      <c r="VCD381" s="774"/>
      <c r="VCE381" s="422"/>
      <c r="VCF381" s="775"/>
      <c r="VCG381" s="774"/>
      <c r="VCH381" s="776"/>
      <c r="VCI381" s="430"/>
      <c r="VCJ381" s="717"/>
      <c r="VCK381" s="774"/>
      <c r="VCL381" s="774"/>
      <c r="VCM381" s="422"/>
      <c r="VCN381" s="775"/>
      <c r="VCO381" s="774"/>
      <c r="VCP381" s="776"/>
      <c r="VCQ381" s="430"/>
      <c r="VCR381" s="717"/>
      <c r="VCS381" s="774"/>
      <c r="VCT381" s="774"/>
      <c r="VCU381" s="422"/>
      <c r="VCV381" s="775"/>
      <c r="VCW381" s="774"/>
      <c r="VCX381" s="776"/>
      <c r="VCY381" s="430"/>
      <c r="VCZ381" s="717"/>
      <c r="VDA381" s="774"/>
      <c r="VDB381" s="774"/>
      <c r="VDC381" s="422"/>
      <c r="VDD381" s="775"/>
      <c r="VDE381" s="774"/>
      <c r="VDF381" s="776"/>
      <c r="VDG381" s="430"/>
      <c r="VDH381" s="717"/>
      <c r="VDI381" s="774"/>
      <c r="VDJ381" s="774"/>
      <c r="VDK381" s="422"/>
      <c r="VDL381" s="775"/>
      <c r="VDM381" s="774"/>
      <c r="VDN381" s="776"/>
      <c r="VDO381" s="430"/>
      <c r="VDP381" s="717"/>
      <c r="VDQ381" s="774"/>
      <c r="VDR381" s="774"/>
      <c r="VDS381" s="422"/>
      <c r="VDT381" s="775"/>
      <c r="VDU381" s="774"/>
      <c r="VDV381" s="776"/>
      <c r="VDW381" s="430"/>
      <c r="VDX381" s="717"/>
      <c r="VDY381" s="774"/>
      <c r="VDZ381" s="774"/>
      <c r="VEA381" s="422"/>
      <c r="VEB381" s="775"/>
      <c r="VEC381" s="774"/>
      <c r="VED381" s="776"/>
      <c r="VEE381" s="430"/>
      <c r="VEF381" s="717"/>
      <c r="VEG381" s="774"/>
      <c r="VEH381" s="774"/>
      <c r="VEI381" s="422"/>
      <c r="VEJ381" s="775"/>
      <c r="VEK381" s="774"/>
      <c r="VEL381" s="776"/>
      <c r="VEM381" s="430"/>
      <c r="VEN381" s="717"/>
      <c r="VEO381" s="774"/>
      <c r="VEP381" s="774"/>
      <c r="VEQ381" s="422"/>
      <c r="VER381" s="775"/>
      <c r="VES381" s="774"/>
      <c r="VET381" s="776"/>
      <c r="VEU381" s="430"/>
      <c r="VEV381" s="717"/>
      <c r="VEW381" s="774"/>
      <c r="VEX381" s="774"/>
      <c r="VEY381" s="422"/>
      <c r="VEZ381" s="775"/>
      <c r="VFA381" s="774"/>
      <c r="VFB381" s="776"/>
      <c r="VFC381" s="430"/>
      <c r="VFD381" s="717"/>
      <c r="VFE381" s="774"/>
      <c r="VFF381" s="774"/>
      <c r="VFG381" s="422"/>
      <c r="VFH381" s="775"/>
      <c r="VFI381" s="774"/>
      <c r="VFJ381" s="776"/>
      <c r="VFK381" s="430"/>
      <c r="VFL381" s="717"/>
      <c r="VFM381" s="774"/>
      <c r="VFN381" s="774"/>
      <c r="VFO381" s="422"/>
      <c r="VFP381" s="775"/>
      <c r="VFQ381" s="774"/>
      <c r="VFR381" s="776"/>
      <c r="VFS381" s="430"/>
      <c r="VFT381" s="717"/>
      <c r="VFU381" s="774"/>
      <c r="VFV381" s="774"/>
      <c r="VFW381" s="422"/>
      <c r="VFX381" s="775"/>
      <c r="VFY381" s="774"/>
      <c r="VFZ381" s="776"/>
      <c r="VGA381" s="430"/>
      <c r="VGB381" s="717"/>
      <c r="VGC381" s="774"/>
      <c r="VGD381" s="774"/>
      <c r="VGE381" s="422"/>
      <c r="VGF381" s="775"/>
      <c r="VGG381" s="774"/>
      <c r="VGH381" s="776"/>
      <c r="VGI381" s="430"/>
      <c r="VGJ381" s="717"/>
      <c r="VGK381" s="774"/>
      <c r="VGL381" s="774"/>
      <c r="VGM381" s="422"/>
      <c r="VGN381" s="775"/>
      <c r="VGO381" s="774"/>
      <c r="VGP381" s="776"/>
      <c r="VGQ381" s="430"/>
      <c r="VGR381" s="717"/>
      <c r="VGS381" s="774"/>
      <c r="VGT381" s="774"/>
      <c r="VGU381" s="422"/>
      <c r="VGV381" s="775"/>
      <c r="VGW381" s="774"/>
      <c r="VGX381" s="776"/>
      <c r="VGY381" s="430"/>
      <c r="VGZ381" s="717"/>
      <c r="VHA381" s="774"/>
      <c r="VHB381" s="774"/>
      <c r="VHC381" s="422"/>
      <c r="VHD381" s="775"/>
      <c r="VHE381" s="774"/>
      <c r="VHF381" s="776"/>
      <c r="VHG381" s="430"/>
      <c r="VHH381" s="717"/>
      <c r="VHI381" s="774"/>
      <c r="VHJ381" s="774"/>
      <c r="VHK381" s="422"/>
      <c r="VHL381" s="775"/>
      <c r="VHM381" s="774"/>
      <c r="VHN381" s="776"/>
      <c r="VHO381" s="430"/>
      <c r="VHP381" s="717"/>
      <c r="VHQ381" s="774"/>
      <c r="VHR381" s="774"/>
      <c r="VHS381" s="422"/>
      <c r="VHT381" s="775"/>
      <c r="VHU381" s="774"/>
      <c r="VHV381" s="776"/>
      <c r="VHW381" s="430"/>
      <c r="VHX381" s="717"/>
      <c r="VHY381" s="774"/>
      <c r="VHZ381" s="774"/>
      <c r="VIA381" s="422"/>
      <c r="VIB381" s="775"/>
      <c r="VIC381" s="774"/>
      <c r="VID381" s="776"/>
      <c r="VIE381" s="430"/>
      <c r="VIF381" s="717"/>
      <c r="VIG381" s="774"/>
      <c r="VIH381" s="774"/>
      <c r="VII381" s="422"/>
      <c r="VIJ381" s="775"/>
      <c r="VIK381" s="774"/>
      <c r="VIL381" s="776"/>
      <c r="VIM381" s="430"/>
      <c r="VIN381" s="717"/>
      <c r="VIO381" s="774"/>
      <c r="VIP381" s="774"/>
      <c r="VIQ381" s="422"/>
      <c r="VIR381" s="775"/>
      <c r="VIS381" s="774"/>
      <c r="VIT381" s="776"/>
      <c r="VIU381" s="430"/>
      <c r="VIV381" s="717"/>
      <c r="VIW381" s="774"/>
      <c r="VIX381" s="774"/>
      <c r="VIY381" s="422"/>
      <c r="VIZ381" s="775"/>
      <c r="VJA381" s="774"/>
      <c r="VJB381" s="776"/>
      <c r="VJC381" s="430"/>
      <c r="VJD381" s="717"/>
      <c r="VJE381" s="774"/>
      <c r="VJF381" s="774"/>
      <c r="VJG381" s="422"/>
      <c r="VJH381" s="775"/>
      <c r="VJI381" s="774"/>
      <c r="VJJ381" s="776"/>
      <c r="VJK381" s="430"/>
      <c r="VJL381" s="717"/>
      <c r="VJM381" s="774"/>
      <c r="VJN381" s="774"/>
      <c r="VJO381" s="422"/>
      <c r="VJP381" s="775"/>
      <c r="VJQ381" s="774"/>
      <c r="VJR381" s="776"/>
      <c r="VJS381" s="430"/>
      <c r="VJT381" s="717"/>
      <c r="VJU381" s="774"/>
      <c r="VJV381" s="774"/>
      <c r="VJW381" s="422"/>
      <c r="VJX381" s="775"/>
      <c r="VJY381" s="774"/>
      <c r="VJZ381" s="776"/>
      <c r="VKA381" s="430"/>
      <c r="VKB381" s="717"/>
      <c r="VKC381" s="774"/>
      <c r="VKD381" s="774"/>
      <c r="VKE381" s="422"/>
      <c r="VKF381" s="775"/>
      <c r="VKG381" s="774"/>
      <c r="VKH381" s="776"/>
      <c r="VKI381" s="430"/>
      <c r="VKJ381" s="717"/>
      <c r="VKK381" s="774"/>
      <c r="VKL381" s="774"/>
      <c r="VKM381" s="422"/>
      <c r="VKN381" s="775"/>
      <c r="VKO381" s="774"/>
      <c r="VKP381" s="776"/>
      <c r="VKQ381" s="430"/>
      <c r="VKR381" s="717"/>
      <c r="VKS381" s="774"/>
      <c r="VKT381" s="774"/>
      <c r="VKU381" s="422"/>
      <c r="VKV381" s="775"/>
      <c r="VKW381" s="774"/>
      <c r="VKX381" s="776"/>
      <c r="VKY381" s="430"/>
      <c r="VKZ381" s="717"/>
      <c r="VLA381" s="774"/>
      <c r="VLB381" s="774"/>
      <c r="VLC381" s="422"/>
      <c r="VLD381" s="775"/>
      <c r="VLE381" s="774"/>
      <c r="VLF381" s="776"/>
      <c r="VLG381" s="430"/>
      <c r="VLH381" s="717"/>
      <c r="VLI381" s="774"/>
      <c r="VLJ381" s="774"/>
      <c r="VLK381" s="422"/>
      <c r="VLL381" s="775"/>
      <c r="VLM381" s="774"/>
      <c r="VLN381" s="776"/>
      <c r="VLO381" s="430"/>
      <c r="VLP381" s="717"/>
      <c r="VLQ381" s="774"/>
      <c r="VLR381" s="774"/>
      <c r="VLS381" s="422"/>
      <c r="VLT381" s="775"/>
      <c r="VLU381" s="774"/>
      <c r="VLV381" s="776"/>
      <c r="VLW381" s="430"/>
      <c r="VLX381" s="717"/>
      <c r="VLY381" s="774"/>
      <c r="VLZ381" s="774"/>
      <c r="VMA381" s="422"/>
      <c r="VMB381" s="775"/>
      <c r="VMC381" s="774"/>
      <c r="VMD381" s="776"/>
      <c r="VME381" s="430"/>
      <c r="VMF381" s="717"/>
      <c r="VMG381" s="774"/>
      <c r="VMH381" s="774"/>
      <c r="VMI381" s="422"/>
      <c r="VMJ381" s="775"/>
      <c r="VMK381" s="774"/>
      <c r="VML381" s="776"/>
      <c r="VMM381" s="430"/>
      <c r="VMN381" s="717"/>
      <c r="VMO381" s="774"/>
      <c r="VMP381" s="774"/>
      <c r="VMQ381" s="422"/>
      <c r="VMR381" s="775"/>
      <c r="VMS381" s="774"/>
      <c r="VMT381" s="776"/>
      <c r="VMU381" s="430"/>
      <c r="VMV381" s="717"/>
      <c r="VMW381" s="774"/>
      <c r="VMX381" s="774"/>
      <c r="VMY381" s="422"/>
      <c r="VMZ381" s="775"/>
      <c r="VNA381" s="774"/>
      <c r="VNB381" s="776"/>
      <c r="VNC381" s="430"/>
      <c r="VND381" s="717"/>
      <c r="VNE381" s="774"/>
      <c r="VNF381" s="774"/>
      <c r="VNG381" s="422"/>
      <c r="VNH381" s="775"/>
      <c r="VNI381" s="774"/>
      <c r="VNJ381" s="776"/>
      <c r="VNK381" s="430"/>
      <c r="VNL381" s="717"/>
      <c r="VNM381" s="774"/>
      <c r="VNN381" s="774"/>
      <c r="VNO381" s="422"/>
      <c r="VNP381" s="775"/>
      <c r="VNQ381" s="774"/>
      <c r="VNR381" s="776"/>
      <c r="VNS381" s="430"/>
      <c r="VNT381" s="717"/>
      <c r="VNU381" s="774"/>
      <c r="VNV381" s="774"/>
      <c r="VNW381" s="422"/>
      <c r="VNX381" s="775"/>
      <c r="VNY381" s="774"/>
      <c r="VNZ381" s="776"/>
      <c r="VOA381" s="430"/>
      <c r="VOB381" s="717"/>
      <c r="VOC381" s="774"/>
      <c r="VOD381" s="774"/>
      <c r="VOE381" s="422"/>
      <c r="VOF381" s="775"/>
      <c r="VOG381" s="774"/>
      <c r="VOH381" s="776"/>
      <c r="VOI381" s="430"/>
      <c r="VOJ381" s="717"/>
      <c r="VOK381" s="774"/>
      <c r="VOL381" s="774"/>
      <c r="VOM381" s="422"/>
      <c r="VON381" s="775"/>
      <c r="VOO381" s="774"/>
      <c r="VOP381" s="776"/>
      <c r="VOQ381" s="430"/>
      <c r="VOR381" s="717"/>
      <c r="VOS381" s="774"/>
      <c r="VOT381" s="774"/>
      <c r="VOU381" s="422"/>
      <c r="VOV381" s="775"/>
      <c r="VOW381" s="774"/>
      <c r="VOX381" s="776"/>
      <c r="VOY381" s="430"/>
      <c r="VOZ381" s="717"/>
      <c r="VPA381" s="774"/>
      <c r="VPB381" s="774"/>
      <c r="VPC381" s="422"/>
      <c r="VPD381" s="775"/>
      <c r="VPE381" s="774"/>
      <c r="VPF381" s="776"/>
      <c r="VPG381" s="430"/>
      <c r="VPH381" s="717"/>
      <c r="VPI381" s="774"/>
      <c r="VPJ381" s="774"/>
      <c r="VPK381" s="422"/>
      <c r="VPL381" s="775"/>
      <c r="VPM381" s="774"/>
      <c r="VPN381" s="776"/>
      <c r="VPO381" s="430"/>
      <c r="VPP381" s="717"/>
      <c r="VPQ381" s="774"/>
      <c r="VPR381" s="774"/>
      <c r="VPS381" s="422"/>
      <c r="VPT381" s="775"/>
      <c r="VPU381" s="774"/>
      <c r="VPV381" s="776"/>
      <c r="VPW381" s="430"/>
      <c r="VPX381" s="717"/>
      <c r="VPY381" s="774"/>
      <c r="VPZ381" s="774"/>
      <c r="VQA381" s="422"/>
      <c r="VQB381" s="775"/>
      <c r="VQC381" s="774"/>
      <c r="VQD381" s="776"/>
      <c r="VQE381" s="430"/>
      <c r="VQF381" s="717"/>
      <c r="VQG381" s="774"/>
      <c r="VQH381" s="774"/>
      <c r="VQI381" s="422"/>
      <c r="VQJ381" s="775"/>
      <c r="VQK381" s="774"/>
      <c r="VQL381" s="776"/>
      <c r="VQM381" s="430"/>
      <c r="VQN381" s="717"/>
      <c r="VQO381" s="774"/>
      <c r="VQP381" s="774"/>
      <c r="VQQ381" s="422"/>
      <c r="VQR381" s="775"/>
      <c r="VQS381" s="774"/>
      <c r="VQT381" s="776"/>
      <c r="VQU381" s="430"/>
      <c r="VQV381" s="717"/>
      <c r="VQW381" s="774"/>
      <c r="VQX381" s="774"/>
      <c r="VQY381" s="422"/>
      <c r="VQZ381" s="775"/>
      <c r="VRA381" s="774"/>
      <c r="VRB381" s="776"/>
      <c r="VRC381" s="430"/>
      <c r="VRD381" s="717"/>
      <c r="VRE381" s="774"/>
      <c r="VRF381" s="774"/>
      <c r="VRG381" s="422"/>
      <c r="VRH381" s="775"/>
      <c r="VRI381" s="774"/>
      <c r="VRJ381" s="776"/>
      <c r="VRK381" s="430"/>
      <c r="VRL381" s="717"/>
      <c r="VRM381" s="774"/>
      <c r="VRN381" s="774"/>
      <c r="VRO381" s="422"/>
      <c r="VRP381" s="775"/>
      <c r="VRQ381" s="774"/>
      <c r="VRR381" s="776"/>
      <c r="VRS381" s="430"/>
      <c r="VRT381" s="717"/>
      <c r="VRU381" s="774"/>
      <c r="VRV381" s="774"/>
      <c r="VRW381" s="422"/>
      <c r="VRX381" s="775"/>
      <c r="VRY381" s="774"/>
      <c r="VRZ381" s="776"/>
      <c r="VSA381" s="430"/>
      <c r="VSB381" s="717"/>
      <c r="VSC381" s="774"/>
      <c r="VSD381" s="774"/>
      <c r="VSE381" s="422"/>
      <c r="VSF381" s="775"/>
      <c r="VSG381" s="774"/>
      <c r="VSH381" s="776"/>
      <c r="VSI381" s="430"/>
      <c r="VSJ381" s="717"/>
      <c r="VSK381" s="774"/>
      <c r="VSL381" s="774"/>
      <c r="VSM381" s="422"/>
      <c r="VSN381" s="775"/>
      <c r="VSO381" s="774"/>
      <c r="VSP381" s="776"/>
      <c r="VSQ381" s="430"/>
      <c r="VSR381" s="717"/>
      <c r="VSS381" s="774"/>
      <c r="VST381" s="774"/>
      <c r="VSU381" s="422"/>
      <c r="VSV381" s="775"/>
      <c r="VSW381" s="774"/>
      <c r="VSX381" s="776"/>
      <c r="VSY381" s="430"/>
      <c r="VSZ381" s="717"/>
      <c r="VTA381" s="774"/>
      <c r="VTB381" s="774"/>
      <c r="VTC381" s="422"/>
      <c r="VTD381" s="775"/>
      <c r="VTE381" s="774"/>
      <c r="VTF381" s="776"/>
      <c r="VTG381" s="430"/>
      <c r="VTH381" s="717"/>
      <c r="VTI381" s="774"/>
      <c r="VTJ381" s="774"/>
      <c r="VTK381" s="422"/>
      <c r="VTL381" s="775"/>
      <c r="VTM381" s="774"/>
      <c r="VTN381" s="776"/>
      <c r="VTO381" s="430"/>
      <c r="VTP381" s="717"/>
      <c r="VTQ381" s="774"/>
      <c r="VTR381" s="774"/>
      <c r="VTS381" s="422"/>
      <c r="VTT381" s="775"/>
      <c r="VTU381" s="774"/>
      <c r="VTV381" s="776"/>
      <c r="VTW381" s="430"/>
      <c r="VTX381" s="717"/>
      <c r="VTY381" s="774"/>
      <c r="VTZ381" s="774"/>
      <c r="VUA381" s="422"/>
      <c r="VUB381" s="775"/>
      <c r="VUC381" s="774"/>
      <c r="VUD381" s="776"/>
      <c r="VUE381" s="430"/>
      <c r="VUF381" s="717"/>
      <c r="VUG381" s="774"/>
      <c r="VUH381" s="774"/>
      <c r="VUI381" s="422"/>
      <c r="VUJ381" s="775"/>
      <c r="VUK381" s="774"/>
      <c r="VUL381" s="776"/>
      <c r="VUM381" s="430"/>
      <c r="VUN381" s="717"/>
      <c r="VUO381" s="774"/>
      <c r="VUP381" s="774"/>
      <c r="VUQ381" s="422"/>
      <c r="VUR381" s="775"/>
      <c r="VUS381" s="774"/>
      <c r="VUT381" s="776"/>
      <c r="VUU381" s="430"/>
      <c r="VUV381" s="717"/>
      <c r="VUW381" s="774"/>
      <c r="VUX381" s="774"/>
      <c r="VUY381" s="422"/>
      <c r="VUZ381" s="775"/>
      <c r="VVA381" s="774"/>
      <c r="VVB381" s="776"/>
      <c r="VVC381" s="430"/>
      <c r="VVD381" s="717"/>
      <c r="VVE381" s="774"/>
      <c r="VVF381" s="774"/>
      <c r="VVG381" s="422"/>
      <c r="VVH381" s="775"/>
      <c r="VVI381" s="774"/>
      <c r="VVJ381" s="776"/>
      <c r="VVK381" s="430"/>
      <c r="VVL381" s="717"/>
      <c r="VVM381" s="774"/>
      <c r="VVN381" s="774"/>
      <c r="VVO381" s="422"/>
      <c r="VVP381" s="775"/>
      <c r="VVQ381" s="774"/>
      <c r="VVR381" s="776"/>
      <c r="VVS381" s="430"/>
      <c r="VVT381" s="717"/>
      <c r="VVU381" s="774"/>
      <c r="VVV381" s="774"/>
      <c r="VVW381" s="422"/>
      <c r="VVX381" s="775"/>
      <c r="VVY381" s="774"/>
      <c r="VVZ381" s="776"/>
      <c r="VWA381" s="430"/>
      <c r="VWB381" s="717"/>
      <c r="VWC381" s="774"/>
      <c r="VWD381" s="774"/>
      <c r="VWE381" s="422"/>
      <c r="VWF381" s="775"/>
      <c r="VWG381" s="774"/>
      <c r="VWH381" s="776"/>
      <c r="VWI381" s="430"/>
      <c r="VWJ381" s="717"/>
      <c r="VWK381" s="774"/>
      <c r="VWL381" s="774"/>
      <c r="VWM381" s="422"/>
      <c r="VWN381" s="775"/>
      <c r="VWO381" s="774"/>
      <c r="VWP381" s="776"/>
      <c r="VWQ381" s="430"/>
      <c r="VWR381" s="717"/>
      <c r="VWS381" s="774"/>
      <c r="VWT381" s="774"/>
      <c r="VWU381" s="422"/>
      <c r="VWV381" s="775"/>
      <c r="VWW381" s="774"/>
      <c r="VWX381" s="776"/>
      <c r="VWY381" s="430"/>
      <c r="VWZ381" s="717"/>
      <c r="VXA381" s="774"/>
      <c r="VXB381" s="774"/>
      <c r="VXC381" s="422"/>
      <c r="VXD381" s="775"/>
      <c r="VXE381" s="774"/>
      <c r="VXF381" s="776"/>
      <c r="VXG381" s="430"/>
      <c r="VXH381" s="717"/>
      <c r="VXI381" s="774"/>
      <c r="VXJ381" s="774"/>
      <c r="VXK381" s="422"/>
      <c r="VXL381" s="775"/>
      <c r="VXM381" s="774"/>
      <c r="VXN381" s="776"/>
      <c r="VXO381" s="430"/>
      <c r="VXP381" s="717"/>
      <c r="VXQ381" s="774"/>
      <c r="VXR381" s="774"/>
      <c r="VXS381" s="422"/>
      <c r="VXT381" s="775"/>
      <c r="VXU381" s="774"/>
      <c r="VXV381" s="776"/>
      <c r="VXW381" s="430"/>
      <c r="VXX381" s="717"/>
      <c r="VXY381" s="774"/>
      <c r="VXZ381" s="774"/>
      <c r="VYA381" s="422"/>
      <c r="VYB381" s="775"/>
      <c r="VYC381" s="774"/>
      <c r="VYD381" s="776"/>
      <c r="VYE381" s="430"/>
      <c r="VYF381" s="717"/>
      <c r="VYG381" s="774"/>
      <c r="VYH381" s="774"/>
      <c r="VYI381" s="422"/>
      <c r="VYJ381" s="775"/>
      <c r="VYK381" s="774"/>
      <c r="VYL381" s="776"/>
      <c r="VYM381" s="430"/>
      <c r="VYN381" s="717"/>
      <c r="VYO381" s="774"/>
      <c r="VYP381" s="774"/>
      <c r="VYQ381" s="422"/>
      <c r="VYR381" s="775"/>
      <c r="VYS381" s="774"/>
      <c r="VYT381" s="776"/>
      <c r="VYU381" s="430"/>
      <c r="VYV381" s="717"/>
      <c r="VYW381" s="774"/>
      <c r="VYX381" s="774"/>
      <c r="VYY381" s="422"/>
      <c r="VYZ381" s="775"/>
      <c r="VZA381" s="774"/>
      <c r="VZB381" s="776"/>
      <c r="VZC381" s="430"/>
      <c r="VZD381" s="717"/>
      <c r="VZE381" s="774"/>
      <c r="VZF381" s="774"/>
      <c r="VZG381" s="422"/>
      <c r="VZH381" s="775"/>
      <c r="VZI381" s="774"/>
      <c r="VZJ381" s="776"/>
      <c r="VZK381" s="430"/>
      <c r="VZL381" s="717"/>
      <c r="VZM381" s="774"/>
      <c r="VZN381" s="774"/>
      <c r="VZO381" s="422"/>
      <c r="VZP381" s="775"/>
      <c r="VZQ381" s="774"/>
      <c r="VZR381" s="776"/>
      <c r="VZS381" s="430"/>
      <c r="VZT381" s="717"/>
      <c r="VZU381" s="774"/>
      <c r="VZV381" s="774"/>
      <c r="VZW381" s="422"/>
      <c r="VZX381" s="775"/>
      <c r="VZY381" s="774"/>
      <c r="VZZ381" s="776"/>
      <c r="WAA381" s="430"/>
      <c r="WAB381" s="717"/>
      <c r="WAC381" s="774"/>
      <c r="WAD381" s="774"/>
      <c r="WAE381" s="422"/>
      <c r="WAF381" s="775"/>
      <c r="WAG381" s="774"/>
      <c r="WAH381" s="776"/>
      <c r="WAI381" s="430"/>
      <c r="WAJ381" s="717"/>
      <c r="WAK381" s="774"/>
      <c r="WAL381" s="774"/>
      <c r="WAM381" s="422"/>
      <c r="WAN381" s="775"/>
      <c r="WAO381" s="774"/>
      <c r="WAP381" s="776"/>
      <c r="WAQ381" s="430"/>
      <c r="WAR381" s="717"/>
      <c r="WAS381" s="774"/>
      <c r="WAT381" s="774"/>
      <c r="WAU381" s="422"/>
      <c r="WAV381" s="775"/>
      <c r="WAW381" s="774"/>
      <c r="WAX381" s="776"/>
      <c r="WAY381" s="430"/>
      <c r="WAZ381" s="717"/>
      <c r="WBA381" s="774"/>
      <c r="WBB381" s="774"/>
      <c r="WBC381" s="422"/>
      <c r="WBD381" s="775"/>
      <c r="WBE381" s="774"/>
      <c r="WBF381" s="776"/>
      <c r="WBG381" s="430"/>
      <c r="WBH381" s="717"/>
      <c r="WBI381" s="774"/>
      <c r="WBJ381" s="774"/>
      <c r="WBK381" s="422"/>
      <c r="WBL381" s="775"/>
      <c r="WBM381" s="774"/>
      <c r="WBN381" s="776"/>
      <c r="WBO381" s="430"/>
      <c r="WBP381" s="717"/>
      <c r="WBQ381" s="774"/>
      <c r="WBR381" s="774"/>
      <c r="WBS381" s="422"/>
      <c r="WBT381" s="775"/>
      <c r="WBU381" s="774"/>
      <c r="WBV381" s="776"/>
      <c r="WBW381" s="430"/>
      <c r="WBX381" s="717"/>
      <c r="WBY381" s="774"/>
      <c r="WBZ381" s="774"/>
      <c r="WCA381" s="422"/>
      <c r="WCB381" s="775"/>
      <c r="WCC381" s="774"/>
      <c r="WCD381" s="776"/>
      <c r="WCE381" s="430"/>
      <c r="WCF381" s="717"/>
      <c r="WCG381" s="774"/>
      <c r="WCH381" s="774"/>
      <c r="WCI381" s="422"/>
      <c r="WCJ381" s="775"/>
      <c r="WCK381" s="774"/>
      <c r="WCL381" s="776"/>
      <c r="WCM381" s="430"/>
      <c r="WCN381" s="717"/>
      <c r="WCO381" s="774"/>
      <c r="WCP381" s="774"/>
      <c r="WCQ381" s="422"/>
      <c r="WCR381" s="775"/>
      <c r="WCS381" s="774"/>
      <c r="WCT381" s="776"/>
      <c r="WCU381" s="430"/>
      <c r="WCV381" s="717"/>
      <c r="WCW381" s="774"/>
      <c r="WCX381" s="774"/>
      <c r="WCY381" s="422"/>
      <c r="WCZ381" s="775"/>
      <c r="WDA381" s="774"/>
      <c r="WDB381" s="776"/>
      <c r="WDC381" s="430"/>
      <c r="WDD381" s="717"/>
      <c r="WDE381" s="774"/>
      <c r="WDF381" s="774"/>
      <c r="WDG381" s="422"/>
      <c r="WDH381" s="775"/>
      <c r="WDI381" s="774"/>
      <c r="WDJ381" s="776"/>
      <c r="WDK381" s="430"/>
      <c r="WDL381" s="717"/>
      <c r="WDM381" s="774"/>
      <c r="WDN381" s="774"/>
      <c r="WDO381" s="422"/>
      <c r="WDP381" s="775"/>
      <c r="WDQ381" s="774"/>
      <c r="WDR381" s="776"/>
      <c r="WDS381" s="430"/>
      <c r="WDT381" s="717"/>
      <c r="WDU381" s="774"/>
      <c r="WDV381" s="774"/>
      <c r="WDW381" s="422"/>
      <c r="WDX381" s="775"/>
      <c r="WDY381" s="774"/>
      <c r="WDZ381" s="776"/>
      <c r="WEA381" s="430"/>
      <c r="WEB381" s="717"/>
      <c r="WEC381" s="774"/>
      <c r="WED381" s="774"/>
      <c r="WEE381" s="422"/>
      <c r="WEF381" s="775"/>
      <c r="WEG381" s="774"/>
      <c r="WEH381" s="776"/>
      <c r="WEI381" s="430"/>
      <c r="WEJ381" s="717"/>
      <c r="WEK381" s="774"/>
      <c r="WEL381" s="774"/>
      <c r="WEM381" s="422"/>
      <c r="WEN381" s="775"/>
      <c r="WEO381" s="774"/>
      <c r="WEP381" s="776"/>
      <c r="WEQ381" s="430"/>
      <c r="WER381" s="717"/>
      <c r="WES381" s="774"/>
      <c r="WET381" s="774"/>
      <c r="WEU381" s="422"/>
      <c r="WEV381" s="775"/>
      <c r="WEW381" s="774"/>
      <c r="WEX381" s="776"/>
      <c r="WEY381" s="430"/>
      <c r="WEZ381" s="717"/>
      <c r="WFA381" s="774"/>
      <c r="WFB381" s="774"/>
      <c r="WFC381" s="422"/>
      <c r="WFD381" s="775"/>
      <c r="WFE381" s="774"/>
      <c r="WFF381" s="776"/>
      <c r="WFG381" s="430"/>
      <c r="WFH381" s="717"/>
      <c r="WFI381" s="774"/>
      <c r="WFJ381" s="774"/>
      <c r="WFK381" s="422"/>
      <c r="WFL381" s="775"/>
      <c r="WFM381" s="774"/>
      <c r="WFN381" s="776"/>
      <c r="WFO381" s="430"/>
      <c r="WFP381" s="717"/>
      <c r="WFQ381" s="774"/>
      <c r="WFR381" s="774"/>
      <c r="WFS381" s="422"/>
      <c r="WFT381" s="775"/>
      <c r="WFU381" s="774"/>
      <c r="WFV381" s="776"/>
      <c r="WFW381" s="430"/>
      <c r="WFX381" s="717"/>
      <c r="WFY381" s="774"/>
      <c r="WFZ381" s="774"/>
      <c r="WGA381" s="422"/>
      <c r="WGB381" s="775"/>
      <c r="WGC381" s="774"/>
      <c r="WGD381" s="776"/>
      <c r="WGE381" s="430"/>
      <c r="WGF381" s="717"/>
      <c r="WGG381" s="774"/>
      <c r="WGH381" s="774"/>
      <c r="WGI381" s="422"/>
      <c r="WGJ381" s="775"/>
      <c r="WGK381" s="774"/>
      <c r="WGL381" s="776"/>
      <c r="WGM381" s="430"/>
      <c r="WGN381" s="717"/>
      <c r="WGO381" s="774"/>
      <c r="WGP381" s="774"/>
      <c r="WGQ381" s="422"/>
      <c r="WGR381" s="775"/>
      <c r="WGS381" s="774"/>
      <c r="WGT381" s="776"/>
      <c r="WGU381" s="430"/>
      <c r="WGV381" s="717"/>
      <c r="WGW381" s="774"/>
      <c r="WGX381" s="774"/>
      <c r="WGY381" s="422"/>
      <c r="WGZ381" s="775"/>
      <c r="WHA381" s="774"/>
      <c r="WHB381" s="776"/>
      <c r="WHC381" s="430"/>
      <c r="WHD381" s="717"/>
      <c r="WHE381" s="774"/>
      <c r="WHF381" s="774"/>
      <c r="WHG381" s="422"/>
      <c r="WHH381" s="775"/>
      <c r="WHI381" s="774"/>
      <c r="WHJ381" s="776"/>
      <c r="WHK381" s="430"/>
      <c r="WHL381" s="717"/>
      <c r="WHM381" s="774"/>
      <c r="WHN381" s="774"/>
      <c r="WHO381" s="422"/>
      <c r="WHP381" s="775"/>
      <c r="WHQ381" s="774"/>
      <c r="WHR381" s="776"/>
      <c r="WHS381" s="430"/>
      <c r="WHT381" s="717"/>
      <c r="WHU381" s="774"/>
      <c r="WHV381" s="774"/>
      <c r="WHW381" s="422"/>
      <c r="WHX381" s="775"/>
      <c r="WHY381" s="774"/>
      <c r="WHZ381" s="776"/>
      <c r="WIA381" s="430"/>
      <c r="WIB381" s="717"/>
      <c r="WIC381" s="774"/>
      <c r="WID381" s="774"/>
      <c r="WIE381" s="422"/>
      <c r="WIF381" s="775"/>
      <c r="WIG381" s="774"/>
      <c r="WIH381" s="776"/>
      <c r="WII381" s="430"/>
      <c r="WIJ381" s="717"/>
      <c r="WIK381" s="774"/>
      <c r="WIL381" s="774"/>
      <c r="WIM381" s="422"/>
      <c r="WIN381" s="775"/>
      <c r="WIO381" s="774"/>
      <c r="WIP381" s="776"/>
      <c r="WIQ381" s="430"/>
      <c r="WIR381" s="717"/>
      <c r="WIS381" s="774"/>
      <c r="WIT381" s="774"/>
      <c r="WIU381" s="422"/>
      <c r="WIV381" s="775"/>
      <c r="WIW381" s="774"/>
      <c r="WIX381" s="776"/>
      <c r="WIY381" s="430"/>
      <c r="WIZ381" s="717"/>
      <c r="WJA381" s="774"/>
      <c r="WJB381" s="774"/>
      <c r="WJC381" s="422"/>
      <c r="WJD381" s="775"/>
      <c r="WJE381" s="774"/>
      <c r="WJF381" s="776"/>
      <c r="WJG381" s="430"/>
      <c r="WJH381" s="717"/>
      <c r="WJI381" s="774"/>
      <c r="WJJ381" s="774"/>
      <c r="WJK381" s="422"/>
      <c r="WJL381" s="775"/>
      <c r="WJM381" s="774"/>
      <c r="WJN381" s="776"/>
      <c r="WJO381" s="430"/>
      <c r="WJP381" s="717"/>
      <c r="WJQ381" s="774"/>
      <c r="WJR381" s="774"/>
      <c r="WJS381" s="422"/>
      <c r="WJT381" s="775"/>
      <c r="WJU381" s="774"/>
      <c r="WJV381" s="776"/>
      <c r="WJW381" s="430"/>
      <c r="WJX381" s="717"/>
      <c r="WJY381" s="774"/>
      <c r="WJZ381" s="774"/>
      <c r="WKA381" s="422"/>
      <c r="WKB381" s="775"/>
      <c r="WKC381" s="774"/>
      <c r="WKD381" s="776"/>
      <c r="WKE381" s="430"/>
      <c r="WKF381" s="717"/>
      <c r="WKG381" s="774"/>
      <c r="WKH381" s="774"/>
      <c r="WKI381" s="422"/>
      <c r="WKJ381" s="775"/>
      <c r="WKK381" s="774"/>
      <c r="WKL381" s="776"/>
      <c r="WKM381" s="430"/>
      <c r="WKN381" s="717"/>
      <c r="WKO381" s="774"/>
      <c r="WKP381" s="774"/>
      <c r="WKQ381" s="422"/>
      <c r="WKR381" s="775"/>
      <c r="WKS381" s="774"/>
      <c r="WKT381" s="776"/>
      <c r="WKU381" s="430"/>
      <c r="WKV381" s="717"/>
      <c r="WKW381" s="774"/>
      <c r="WKX381" s="774"/>
      <c r="WKY381" s="422"/>
      <c r="WKZ381" s="775"/>
      <c r="WLA381" s="774"/>
      <c r="WLB381" s="776"/>
      <c r="WLC381" s="430"/>
      <c r="WLD381" s="717"/>
      <c r="WLE381" s="774"/>
      <c r="WLF381" s="774"/>
      <c r="WLG381" s="422"/>
      <c r="WLH381" s="775"/>
      <c r="WLI381" s="774"/>
      <c r="WLJ381" s="776"/>
      <c r="WLK381" s="430"/>
      <c r="WLL381" s="717"/>
      <c r="WLM381" s="774"/>
      <c r="WLN381" s="774"/>
      <c r="WLO381" s="422"/>
      <c r="WLP381" s="775"/>
      <c r="WLQ381" s="774"/>
      <c r="WLR381" s="776"/>
      <c r="WLS381" s="430"/>
      <c r="WLT381" s="717"/>
      <c r="WLU381" s="774"/>
      <c r="WLV381" s="774"/>
      <c r="WLW381" s="422"/>
      <c r="WLX381" s="775"/>
      <c r="WLY381" s="774"/>
      <c r="WLZ381" s="776"/>
      <c r="WMA381" s="430"/>
      <c r="WMB381" s="717"/>
      <c r="WMC381" s="774"/>
      <c r="WMD381" s="774"/>
      <c r="WME381" s="422"/>
      <c r="WMF381" s="775"/>
      <c r="WMG381" s="774"/>
      <c r="WMH381" s="776"/>
      <c r="WMI381" s="430"/>
      <c r="WMJ381" s="717"/>
      <c r="WMK381" s="774"/>
      <c r="WML381" s="774"/>
      <c r="WMM381" s="422"/>
      <c r="WMN381" s="775"/>
      <c r="WMO381" s="774"/>
      <c r="WMP381" s="776"/>
      <c r="WMQ381" s="430"/>
      <c r="WMR381" s="717"/>
      <c r="WMS381" s="774"/>
      <c r="WMT381" s="774"/>
      <c r="WMU381" s="422"/>
      <c r="WMV381" s="775"/>
      <c r="WMW381" s="774"/>
      <c r="WMX381" s="776"/>
      <c r="WMY381" s="430"/>
      <c r="WMZ381" s="717"/>
      <c r="WNA381" s="774"/>
      <c r="WNB381" s="774"/>
      <c r="WNC381" s="422"/>
      <c r="WND381" s="775"/>
      <c r="WNE381" s="774"/>
      <c r="WNF381" s="776"/>
      <c r="WNG381" s="430"/>
      <c r="WNH381" s="717"/>
      <c r="WNI381" s="774"/>
      <c r="WNJ381" s="774"/>
      <c r="WNK381" s="422"/>
      <c r="WNL381" s="775"/>
      <c r="WNM381" s="774"/>
      <c r="WNN381" s="776"/>
      <c r="WNO381" s="430"/>
      <c r="WNP381" s="717"/>
      <c r="WNQ381" s="774"/>
      <c r="WNR381" s="774"/>
      <c r="WNS381" s="422"/>
      <c r="WNT381" s="775"/>
      <c r="WNU381" s="774"/>
      <c r="WNV381" s="776"/>
      <c r="WNW381" s="430"/>
      <c r="WNX381" s="717"/>
      <c r="WNY381" s="774"/>
      <c r="WNZ381" s="774"/>
      <c r="WOA381" s="422"/>
      <c r="WOB381" s="775"/>
      <c r="WOC381" s="774"/>
      <c r="WOD381" s="776"/>
      <c r="WOE381" s="430"/>
      <c r="WOF381" s="717"/>
      <c r="WOG381" s="774"/>
      <c r="WOH381" s="774"/>
      <c r="WOI381" s="422"/>
      <c r="WOJ381" s="775"/>
      <c r="WOK381" s="774"/>
      <c r="WOL381" s="776"/>
      <c r="WOM381" s="430"/>
      <c r="WON381" s="717"/>
      <c r="WOO381" s="774"/>
      <c r="WOP381" s="774"/>
      <c r="WOQ381" s="422"/>
      <c r="WOR381" s="775"/>
      <c r="WOS381" s="774"/>
      <c r="WOT381" s="776"/>
      <c r="WOU381" s="430"/>
      <c r="WOV381" s="717"/>
      <c r="WOW381" s="774"/>
      <c r="WOX381" s="774"/>
      <c r="WOY381" s="422"/>
      <c r="WOZ381" s="775"/>
      <c r="WPA381" s="774"/>
      <c r="WPB381" s="776"/>
      <c r="WPC381" s="430"/>
      <c r="WPD381" s="717"/>
      <c r="WPE381" s="774"/>
      <c r="WPF381" s="774"/>
      <c r="WPG381" s="422"/>
      <c r="WPH381" s="775"/>
      <c r="WPI381" s="774"/>
      <c r="WPJ381" s="776"/>
      <c r="WPK381" s="430"/>
      <c r="WPL381" s="717"/>
      <c r="WPM381" s="774"/>
      <c r="WPN381" s="774"/>
      <c r="WPO381" s="422"/>
      <c r="WPP381" s="775"/>
      <c r="WPQ381" s="774"/>
      <c r="WPR381" s="776"/>
      <c r="WPS381" s="430"/>
      <c r="WPT381" s="717"/>
      <c r="WPU381" s="774"/>
      <c r="WPV381" s="774"/>
      <c r="WPW381" s="422"/>
      <c r="WPX381" s="775"/>
      <c r="WPY381" s="774"/>
      <c r="WPZ381" s="776"/>
      <c r="WQA381" s="430"/>
      <c r="WQB381" s="717"/>
      <c r="WQC381" s="774"/>
      <c r="WQD381" s="774"/>
      <c r="WQE381" s="422"/>
      <c r="WQF381" s="775"/>
      <c r="WQG381" s="774"/>
      <c r="WQH381" s="776"/>
      <c r="WQI381" s="430"/>
      <c r="WQJ381" s="717"/>
      <c r="WQK381" s="774"/>
      <c r="WQL381" s="774"/>
      <c r="WQM381" s="422"/>
      <c r="WQN381" s="775"/>
      <c r="WQO381" s="774"/>
      <c r="WQP381" s="776"/>
      <c r="WQQ381" s="430"/>
      <c r="WQR381" s="717"/>
      <c r="WQS381" s="774"/>
      <c r="WQT381" s="774"/>
      <c r="WQU381" s="422"/>
      <c r="WQV381" s="775"/>
      <c r="WQW381" s="774"/>
      <c r="WQX381" s="776"/>
      <c r="WQY381" s="430"/>
      <c r="WQZ381" s="717"/>
      <c r="WRA381" s="774"/>
      <c r="WRB381" s="774"/>
      <c r="WRC381" s="422"/>
      <c r="WRD381" s="775"/>
      <c r="WRE381" s="774"/>
      <c r="WRF381" s="776"/>
      <c r="WRG381" s="430"/>
      <c r="WRH381" s="717"/>
      <c r="WRI381" s="774"/>
      <c r="WRJ381" s="774"/>
      <c r="WRK381" s="422"/>
      <c r="WRL381" s="775"/>
      <c r="WRM381" s="774"/>
      <c r="WRN381" s="776"/>
      <c r="WRO381" s="430"/>
      <c r="WRP381" s="717"/>
      <c r="WRQ381" s="774"/>
      <c r="WRR381" s="774"/>
      <c r="WRS381" s="422"/>
      <c r="WRT381" s="775"/>
      <c r="WRU381" s="774"/>
      <c r="WRV381" s="776"/>
      <c r="WRW381" s="430"/>
      <c r="WRX381" s="717"/>
      <c r="WRY381" s="774"/>
      <c r="WRZ381" s="774"/>
      <c r="WSA381" s="422"/>
      <c r="WSB381" s="775"/>
      <c r="WSC381" s="774"/>
      <c r="WSD381" s="776"/>
      <c r="WSE381" s="430"/>
      <c r="WSF381" s="717"/>
      <c r="WSG381" s="774"/>
      <c r="WSH381" s="774"/>
      <c r="WSI381" s="422"/>
      <c r="WSJ381" s="775"/>
      <c r="WSK381" s="774"/>
      <c r="WSL381" s="776"/>
      <c r="WSM381" s="430"/>
      <c r="WSN381" s="717"/>
      <c r="WSO381" s="774"/>
      <c r="WSP381" s="774"/>
      <c r="WSQ381" s="422"/>
      <c r="WSR381" s="775"/>
      <c r="WSS381" s="774"/>
      <c r="WST381" s="776"/>
      <c r="WSU381" s="430"/>
      <c r="WSV381" s="717"/>
      <c r="WSW381" s="774"/>
      <c r="WSX381" s="774"/>
      <c r="WSY381" s="422"/>
      <c r="WSZ381" s="775"/>
      <c r="WTA381" s="774"/>
      <c r="WTB381" s="776"/>
      <c r="WTC381" s="430"/>
      <c r="WTD381" s="717"/>
      <c r="WTE381" s="774"/>
      <c r="WTF381" s="774"/>
      <c r="WTG381" s="422"/>
      <c r="WTH381" s="775"/>
      <c r="WTI381" s="774"/>
      <c r="WTJ381" s="776"/>
      <c r="WTK381" s="430"/>
      <c r="WTL381" s="717"/>
      <c r="WTM381" s="774"/>
      <c r="WTN381" s="774"/>
      <c r="WTO381" s="422"/>
      <c r="WTP381" s="775"/>
      <c r="WTQ381" s="774"/>
      <c r="WTR381" s="776"/>
      <c r="WTS381" s="430"/>
      <c r="WTT381" s="717"/>
      <c r="WTU381" s="774"/>
      <c r="WTV381" s="774"/>
      <c r="WTW381" s="422"/>
      <c r="WTX381" s="775"/>
      <c r="WTY381" s="774"/>
      <c r="WTZ381" s="776"/>
      <c r="WUA381" s="430"/>
      <c r="WUB381" s="717"/>
      <c r="WUC381" s="774"/>
      <c r="WUD381" s="774"/>
      <c r="WUE381" s="422"/>
      <c r="WUF381" s="775"/>
      <c r="WUG381" s="774"/>
      <c r="WUH381" s="776"/>
      <c r="WUI381" s="430"/>
      <c r="WUJ381" s="717"/>
      <c r="WUK381" s="774"/>
      <c r="WUL381" s="774"/>
      <c r="WUM381" s="422"/>
      <c r="WUN381" s="775"/>
      <c r="WUO381" s="774"/>
      <c r="WUP381" s="776"/>
      <c r="WUQ381" s="430"/>
      <c r="WUR381" s="717"/>
      <c r="WUS381" s="774"/>
      <c r="WUT381" s="774"/>
      <c r="WUU381" s="422"/>
      <c r="WUV381" s="775"/>
      <c r="WUW381" s="774"/>
      <c r="WUX381" s="776"/>
      <c r="WUY381" s="430"/>
      <c r="WUZ381" s="717"/>
      <c r="WVA381" s="774"/>
      <c r="WVB381" s="774"/>
      <c r="WVC381" s="422"/>
      <c r="WVD381" s="775"/>
      <c r="WVE381" s="774"/>
      <c r="WVF381" s="776"/>
      <c r="WVG381" s="430"/>
      <c r="WVH381" s="717"/>
      <c r="WVI381" s="774"/>
      <c r="WVJ381" s="774"/>
      <c r="WVK381" s="422"/>
      <c r="WVL381" s="775"/>
      <c r="WVM381" s="774"/>
      <c r="WVN381" s="776"/>
      <c r="WVO381" s="430"/>
      <c r="WVP381" s="717"/>
      <c r="WVQ381" s="774"/>
      <c r="WVR381" s="774"/>
      <c r="WVS381" s="422"/>
      <c r="WVT381" s="775"/>
      <c r="WVU381" s="774"/>
      <c r="WVV381" s="776"/>
      <c r="WVW381" s="430"/>
      <c r="WVX381" s="717"/>
      <c r="WVY381" s="774"/>
      <c r="WVZ381" s="774"/>
      <c r="WWA381" s="422"/>
      <c r="WWB381" s="775"/>
      <c r="WWC381" s="774"/>
      <c r="WWD381" s="776"/>
      <c r="WWE381" s="430"/>
      <c r="WWF381" s="717"/>
      <c r="WWG381" s="774"/>
      <c r="WWH381" s="774"/>
      <c r="WWI381" s="422"/>
      <c r="WWJ381" s="775"/>
      <c r="WWK381" s="774"/>
      <c r="WWL381" s="776"/>
      <c r="WWM381" s="430"/>
      <c r="WWN381" s="717"/>
      <c r="WWO381" s="774"/>
      <c r="WWP381" s="774"/>
      <c r="WWQ381" s="422"/>
      <c r="WWR381" s="775"/>
      <c r="WWS381" s="774"/>
      <c r="WWT381" s="776"/>
      <c r="WWU381" s="430"/>
      <c r="WWV381" s="717"/>
      <c r="WWW381" s="774"/>
      <c r="WWX381" s="774"/>
      <c r="WWY381" s="422"/>
      <c r="WWZ381" s="775"/>
      <c r="WXA381" s="774"/>
      <c r="WXB381" s="776"/>
      <c r="WXC381" s="430"/>
      <c r="WXD381" s="717"/>
      <c r="WXE381" s="774"/>
      <c r="WXF381" s="774"/>
      <c r="WXG381" s="422"/>
      <c r="WXH381" s="775"/>
      <c r="WXI381" s="774"/>
      <c r="WXJ381" s="776"/>
      <c r="WXK381" s="430"/>
      <c r="WXL381" s="717"/>
      <c r="WXM381" s="774"/>
      <c r="WXN381" s="774"/>
      <c r="WXO381" s="422"/>
      <c r="WXP381" s="775"/>
      <c r="WXQ381" s="774"/>
      <c r="WXR381" s="776"/>
      <c r="WXS381" s="430"/>
      <c r="WXT381" s="717"/>
      <c r="WXU381" s="774"/>
      <c r="WXV381" s="774"/>
      <c r="WXW381" s="422"/>
      <c r="WXX381" s="775"/>
      <c r="WXY381" s="774"/>
      <c r="WXZ381" s="776"/>
      <c r="WYA381" s="430"/>
      <c r="WYB381" s="717"/>
      <c r="WYC381" s="774"/>
      <c r="WYD381" s="774"/>
      <c r="WYE381" s="422"/>
      <c r="WYF381" s="775"/>
      <c r="WYG381" s="774"/>
      <c r="WYH381" s="776"/>
      <c r="WYI381" s="430"/>
      <c r="WYJ381" s="717"/>
      <c r="WYK381" s="774"/>
      <c r="WYL381" s="774"/>
      <c r="WYM381" s="422"/>
      <c r="WYN381" s="775"/>
      <c r="WYO381" s="774"/>
      <c r="WYP381" s="776"/>
      <c r="WYQ381" s="430"/>
      <c r="WYR381" s="717"/>
      <c r="WYS381" s="774"/>
      <c r="WYT381" s="774"/>
      <c r="WYU381" s="422"/>
      <c r="WYV381" s="775"/>
      <c r="WYW381" s="774"/>
      <c r="WYX381" s="776"/>
      <c r="WYY381" s="430"/>
      <c r="WYZ381" s="717"/>
      <c r="WZA381" s="774"/>
      <c r="WZB381" s="774"/>
      <c r="WZC381" s="422"/>
      <c r="WZD381" s="775"/>
      <c r="WZE381" s="774"/>
      <c r="WZF381" s="776"/>
      <c r="WZG381" s="430"/>
      <c r="WZH381" s="717"/>
      <c r="WZI381" s="774"/>
      <c r="WZJ381" s="774"/>
      <c r="WZK381" s="422"/>
      <c r="WZL381" s="775"/>
      <c r="WZM381" s="774"/>
      <c r="WZN381" s="776"/>
      <c r="WZO381" s="430"/>
      <c r="WZP381" s="717"/>
      <c r="WZQ381" s="774"/>
      <c r="WZR381" s="774"/>
      <c r="WZS381" s="422"/>
      <c r="WZT381" s="775"/>
      <c r="WZU381" s="774"/>
      <c r="WZV381" s="776"/>
      <c r="WZW381" s="430"/>
      <c r="WZX381" s="717"/>
      <c r="WZY381" s="774"/>
      <c r="WZZ381" s="774"/>
      <c r="XAA381" s="422"/>
      <c r="XAB381" s="775"/>
      <c r="XAC381" s="774"/>
      <c r="XAD381" s="776"/>
      <c r="XAE381" s="430"/>
      <c r="XAF381" s="717"/>
      <c r="XAG381" s="774"/>
      <c r="XAH381" s="774"/>
      <c r="XAI381" s="422"/>
      <c r="XAJ381" s="775"/>
      <c r="XAK381" s="774"/>
      <c r="XAL381" s="776"/>
      <c r="XAM381" s="430"/>
      <c r="XAN381" s="717"/>
      <c r="XAO381" s="774"/>
      <c r="XAP381" s="774"/>
      <c r="XAQ381" s="422"/>
      <c r="XAR381" s="775"/>
      <c r="XAS381" s="774"/>
      <c r="XAT381" s="776"/>
      <c r="XAU381" s="430"/>
      <c r="XAV381" s="717"/>
      <c r="XAW381" s="774"/>
      <c r="XAX381" s="774"/>
      <c r="XAY381" s="422"/>
      <c r="XAZ381" s="775"/>
      <c r="XBA381" s="774"/>
      <c r="XBB381" s="776"/>
      <c r="XBC381" s="430"/>
      <c r="XBD381" s="717"/>
      <c r="XBE381" s="774"/>
      <c r="XBF381" s="774"/>
      <c r="XBG381" s="422"/>
      <c r="XBH381" s="775"/>
      <c r="XBI381" s="774"/>
      <c r="XBJ381" s="776"/>
      <c r="XBK381" s="430"/>
      <c r="XBL381" s="717"/>
      <c r="XBM381" s="774"/>
      <c r="XBN381" s="774"/>
      <c r="XBO381" s="422"/>
      <c r="XBP381" s="775"/>
      <c r="XBQ381" s="774"/>
      <c r="XBR381" s="776"/>
      <c r="XBS381" s="430"/>
      <c r="XBT381" s="717"/>
      <c r="XBU381" s="774"/>
      <c r="XBV381" s="774"/>
      <c r="XBW381" s="422"/>
      <c r="XBX381" s="775"/>
      <c r="XBY381" s="774"/>
      <c r="XBZ381" s="776"/>
      <c r="XCA381" s="430"/>
      <c r="XCB381" s="717"/>
      <c r="XCC381" s="774"/>
      <c r="XCD381" s="774"/>
      <c r="XCE381" s="422"/>
      <c r="XCF381" s="775"/>
      <c r="XCG381" s="774"/>
      <c r="XCH381" s="776"/>
      <c r="XCI381" s="430"/>
      <c r="XCJ381" s="717"/>
      <c r="XCK381" s="774"/>
      <c r="XCL381" s="774"/>
      <c r="XCM381" s="422"/>
      <c r="XCN381" s="775"/>
      <c r="XCO381" s="774"/>
      <c r="XCP381" s="776"/>
      <c r="XCQ381" s="430"/>
      <c r="XCR381" s="717"/>
      <c r="XCS381" s="774"/>
      <c r="XCT381" s="774"/>
      <c r="XCU381" s="422"/>
      <c r="XCV381" s="775"/>
      <c r="XCW381" s="774"/>
      <c r="XCX381" s="776"/>
      <c r="XCY381" s="430"/>
      <c r="XCZ381" s="717"/>
      <c r="XDA381" s="774"/>
      <c r="XDB381" s="774"/>
      <c r="XDC381" s="422"/>
      <c r="XDD381" s="775"/>
      <c r="XDE381" s="774"/>
      <c r="XDF381" s="776"/>
      <c r="XDG381" s="430"/>
      <c r="XDH381" s="717"/>
      <c r="XDI381" s="774"/>
      <c r="XDJ381" s="774"/>
      <c r="XDK381" s="422"/>
      <c r="XDL381" s="775"/>
      <c r="XDM381" s="774"/>
      <c r="XDN381" s="776"/>
      <c r="XDO381" s="430"/>
      <c r="XDP381" s="717"/>
      <c r="XDQ381" s="774"/>
      <c r="XDR381" s="774"/>
      <c r="XDS381" s="422"/>
      <c r="XDT381" s="775"/>
      <c r="XDU381" s="774"/>
      <c r="XDV381" s="776"/>
      <c r="XDW381" s="430"/>
      <c r="XDX381" s="717"/>
      <c r="XDY381" s="774"/>
      <c r="XDZ381" s="774"/>
      <c r="XEA381" s="422"/>
      <c r="XEB381" s="775"/>
      <c r="XEC381" s="774"/>
      <c r="XED381" s="776"/>
      <c r="XEE381" s="430"/>
      <c r="XEF381" s="717"/>
      <c r="XEG381" s="774"/>
      <c r="XEH381" s="774"/>
      <c r="XEI381" s="422"/>
      <c r="XEJ381" s="775"/>
      <c r="XEK381" s="774"/>
      <c r="XEL381" s="776"/>
      <c r="XEM381" s="430"/>
      <c r="XEN381" s="717"/>
      <c r="XEO381" s="774"/>
      <c r="XEP381" s="774"/>
      <c r="XEQ381" s="422"/>
      <c r="XER381" s="775"/>
      <c r="XES381" s="774"/>
      <c r="XET381" s="776"/>
      <c r="XEU381" s="430"/>
      <c r="XEV381" s="717"/>
      <c r="XEW381" s="774"/>
      <c r="XEX381" s="774"/>
      <c r="XEY381" s="422"/>
      <c r="XEZ381" s="775"/>
      <c r="XFA381" s="774"/>
      <c r="XFB381" s="776"/>
      <c r="XFC381" s="430"/>
      <c r="XFD381" s="717"/>
    </row>
    <row r="382" spans="1:16384" s="421" customFormat="1">
      <c r="A382" s="985">
        <v>398</v>
      </c>
      <c r="B382" s="997" t="s">
        <v>1311</v>
      </c>
      <c r="C382" s="330" t="s">
        <v>1772</v>
      </c>
      <c r="D382" s="998" t="s">
        <v>188</v>
      </c>
      <c r="E382" s="999">
        <v>162</v>
      </c>
      <c r="F382" s="987">
        <f>+ROUND(Materiales[[#This Row],[PRECIO BASE]]*(1+Materiales[[#This Row],[AJUSTE POSITIVO]]),0)</f>
        <v>3295600</v>
      </c>
      <c r="G382" s="994">
        <v>2865739</v>
      </c>
      <c r="H382" s="1001">
        <f t="shared" si="12"/>
        <v>0.15</v>
      </c>
      <c r="I382" s="34"/>
    </row>
    <row r="383" spans="1:16384">
      <c r="A383" s="997">
        <v>399</v>
      </c>
      <c r="B383" s="997" t="s">
        <v>1311</v>
      </c>
      <c r="C383" s="330" t="s">
        <v>1773</v>
      </c>
      <c r="D383" s="998" t="s">
        <v>188</v>
      </c>
      <c r="E383" s="999">
        <v>162</v>
      </c>
      <c r="F383" s="987">
        <f>+ROUND(Materiales[[#This Row],[PRECIO BASE]]*(1+Materiales[[#This Row],[AJUSTE POSITIVO]]),0)</f>
        <v>8625000</v>
      </c>
      <c r="G383" s="994">
        <v>7500000</v>
      </c>
      <c r="H383" s="1001">
        <f t="shared" si="12"/>
        <v>0.15</v>
      </c>
      <c r="I383" s="34"/>
    </row>
    <row r="384" spans="1:16384">
      <c r="A384" s="997">
        <v>400</v>
      </c>
      <c r="B384" s="997" t="s">
        <v>1329</v>
      </c>
      <c r="C384" s="330" t="s">
        <v>1774</v>
      </c>
      <c r="D384" s="998" t="s">
        <v>188</v>
      </c>
      <c r="E384" s="999">
        <v>0.3</v>
      </c>
      <c r="F384" s="987">
        <f>+ROUND(Materiales[[#This Row],[PRECIO BASE]]*(1+Materiales[[#This Row],[AJUSTE POSITIVO]]),0)</f>
        <v>1380000</v>
      </c>
      <c r="G384" s="994">
        <v>1200000</v>
      </c>
      <c r="H384" s="1001">
        <f t="shared" si="12"/>
        <v>0.15</v>
      </c>
      <c r="I384" s="34"/>
    </row>
    <row r="385" spans="1:9" s="421" customFormat="1" ht="14.5">
      <c r="A385" s="997">
        <v>401</v>
      </c>
      <c r="B385" s="1122" t="s">
        <v>1775</v>
      </c>
      <c r="C385" s="1137" t="s">
        <v>1776</v>
      </c>
      <c r="D385" s="998" t="s">
        <v>188</v>
      </c>
      <c r="E385" s="999">
        <v>0.24</v>
      </c>
      <c r="F385" s="987">
        <f>+ROUND(Materiales[[#This Row],[PRECIO BASE]]*(1+Materiales[[#This Row],[AJUSTE POSITIVO]]),0)</f>
        <v>16650</v>
      </c>
      <c r="G385" s="994">
        <v>14478</v>
      </c>
      <c r="H385" s="995">
        <f t="shared" si="12"/>
        <v>0.15</v>
      </c>
      <c r="I385" s="34"/>
    </row>
    <row r="386" spans="1:9" ht="15.5">
      <c r="A386" s="997">
        <v>402</v>
      </c>
      <c r="B386" s="997" t="s">
        <v>1313</v>
      </c>
      <c r="C386" s="1132" t="s">
        <v>1777</v>
      </c>
      <c r="D386" s="1138" t="s">
        <v>760</v>
      </c>
      <c r="E386" s="999"/>
      <c r="F386" s="987">
        <f>+ROUND(Materiales[[#This Row],[PRECIO BASE]]*(1+Materiales[[#This Row],[AJUSTE POSITIVO]]),0)</f>
        <v>1265</v>
      </c>
      <c r="G386" s="994">
        <v>1100</v>
      </c>
      <c r="H386" s="1001">
        <f t="shared" si="12"/>
        <v>0.15</v>
      </c>
      <c r="I386" s="34"/>
    </row>
    <row r="387" spans="1:9">
      <c r="A387" s="997">
        <v>403</v>
      </c>
      <c r="B387" s="997" t="s">
        <v>1327</v>
      </c>
      <c r="C387" s="330" t="s">
        <v>1778</v>
      </c>
      <c r="D387" s="998" t="s">
        <v>188</v>
      </c>
      <c r="E387" s="999">
        <v>0.05</v>
      </c>
      <c r="F387" s="987">
        <f>+ROUND(Materiales[[#This Row],[PRECIO BASE]]*(1+Materiales[[#This Row],[AJUSTE POSITIVO]]),0)</f>
        <v>288</v>
      </c>
      <c r="G387" s="994">
        <v>250</v>
      </c>
      <c r="H387" s="995">
        <f t="shared" si="12"/>
        <v>0.15</v>
      </c>
      <c r="I387" s="34"/>
    </row>
    <row r="388" spans="1:9" ht="15.5">
      <c r="A388" s="997">
        <v>404</v>
      </c>
      <c r="B388" s="997" t="s">
        <v>1313</v>
      </c>
      <c r="C388" s="1132" t="s">
        <v>1779</v>
      </c>
      <c r="D388" s="1138" t="s">
        <v>1780</v>
      </c>
      <c r="E388" s="999"/>
      <c r="F388" s="987">
        <f>+ROUND(Materiales[[#This Row],[PRECIO BASE]]*(1+Materiales[[#This Row],[AJUSTE POSITIVO]]),0)</f>
        <v>33437</v>
      </c>
      <c r="G388" s="994">
        <v>29076</v>
      </c>
      <c r="H388" s="1001">
        <f t="shared" si="12"/>
        <v>0.15</v>
      </c>
      <c r="I388" s="34"/>
    </row>
    <row r="389" spans="1:9" ht="14.5">
      <c r="A389" s="997">
        <v>405</v>
      </c>
      <c r="B389" s="1121" t="s">
        <v>1721</v>
      </c>
      <c r="C389" s="1133" t="s">
        <v>1733</v>
      </c>
      <c r="D389" s="1020" t="s">
        <v>990</v>
      </c>
      <c r="E389" s="64"/>
      <c r="F389" s="987">
        <f>+ROUND(Materiales[[#This Row],[PRECIO BASE]]*(1+Materiales[[#This Row],[AJUSTE POSITIVO]]),0)</f>
        <v>13685000</v>
      </c>
      <c r="G389" s="994">
        <v>11900000</v>
      </c>
      <c r="H389" s="1001">
        <f t="shared" si="12"/>
        <v>0.15</v>
      </c>
      <c r="I389" s="34"/>
    </row>
    <row r="390" spans="1:9" ht="14.5">
      <c r="A390" s="997">
        <v>406</v>
      </c>
      <c r="B390" s="1121" t="s">
        <v>1721</v>
      </c>
      <c r="C390" s="1133" t="s">
        <v>1734</v>
      </c>
      <c r="D390" s="1020" t="s">
        <v>760</v>
      </c>
      <c r="E390" s="64"/>
      <c r="F390" s="987">
        <f>+ROUND(Materiales[[#This Row],[PRECIO BASE]]*(1+Materiales[[#This Row],[AJUSTE POSITIVO]]),0)</f>
        <v>3694950</v>
      </c>
      <c r="G390" s="994">
        <v>3213000</v>
      </c>
      <c r="H390" s="1001">
        <f t="shared" si="12"/>
        <v>0.15</v>
      </c>
      <c r="I390" s="34"/>
    </row>
    <row r="391" spans="1:9" ht="14.5">
      <c r="A391" s="985">
        <v>407</v>
      </c>
      <c r="B391" s="1024" t="s">
        <v>1721</v>
      </c>
      <c r="C391" s="1025" t="s">
        <v>1735</v>
      </c>
      <c r="D391" s="1021" t="s">
        <v>760</v>
      </c>
      <c r="E391" s="64"/>
      <c r="F391" s="987">
        <f>+ROUND(Materiales[[#This Row],[PRECIO BASE]]*(1+Materiales[[#This Row],[AJUSTE POSITIVO]]),0)</f>
        <v>410550</v>
      </c>
      <c r="G391" s="994">
        <v>357000</v>
      </c>
      <c r="H391" s="1001">
        <f t="shared" si="12"/>
        <v>0.15</v>
      </c>
      <c r="I391" s="34"/>
    </row>
    <row r="392" spans="1:9" ht="14.5">
      <c r="A392" s="997">
        <v>408</v>
      </c>
      <c r="B392" s="1024" t="s">
        <v>1721</v>
      </c>
      <c r="C392" s="1025" t="s">
        <v>1736</v>
      </c>
      <c r="D392" s="1020" t="s">
        <v>760</v>
      </c>
      <c r="E392" s="64"/>
      <c r="F392" s="987">
        <f>+ROUND(Materiales[[#This Row],[PRECIO BASE]]*(1+Materiales[[#This Row],[AJUSTE POSITIVO]]),0)</f>
        <v>4885545</v>
      </c>
      <c r="G392" s="994">
        <v>4248300</v>
      </c>
      <c r="H392" s="1001">
        <f t="shared" si="12"/>
        <v>0.15</v>
      </c>
      <c r="I392" s="34"/>
    </row>
    <row r="393" spans="1:9" ht="14.5">
      <c r="A393" s="985">
        <v>409</v>
      </c>
      <c r="B393" s="1024" t="s">
        <v>1721</v>
      </c>
      <c r="C393" s="1025" t="s">
        <v>1737</v>
      </c>
      <c r="D393" s="1020" t="s">
        <v>760</v>
      </c>
      <c r="E393" s="64"/>
      <c r="F393" s="987">
        <f>+ROUND(Materiales[[#This Row],[PRECIO BASE]]*(1+Materiales[[#This Row],[AJUSTE POSITIVO]]),0)</f>
        <v>4563948</v>
      </c>
      <c r="G393" s="994">
        <v>3968650</v>
      </c>
      <c r="H393" s="1001">
        <f t="shared" si="12"/>
        <v>0.15</v>
      </c>
      <c r="I393" s="34"/>
    </row>
    <row r="394" spans="1:9" ht="14.5">
      <c r="A394" s="997">
        <v>410</v>
      </c>
      <c r="B394" s="1024" t="s">
        <v>1721</v>
      </c>
      <c r="C394" s="1025"/>
      <c r="D394" s="1020"/>
      <c r="E394" s="64"/>
      <c r="F394" s="987"/>
      <c r="G394" s="994"/>
      <c r="H394" s="1001">
        <f t="shared" si="12"/>
        <v>0.15</v>
      </c>
      <c r="I394" s="34"/>
    </row>
    <row r="395" spans="1:9" ht="14.5">
      <c r="A395" s="997">
        <v>411</v>
      </c>
      <c r="B395" s="1024"/>
      <c r="C395" s="1025" t="s">
        <v>1781</v>
      </c>
      <c r="D395" s="1020" t="s">
        <v>188</v>
      </c>
      <c r="E395" s="64">
        <v>0.25</v>
      </c>
      <c r="F395" s="987">
        <f>+ROUND(Materiales[[#This Row],[PRECIO BASE]]*(1+Materiales[[#This Row],[AJUSTE POSITIVO]]),0)</f>
        <v>23496</v>
      </c>
      <c r="G395" s="994">
        <v>20431</v>
      </c>
      <c r="H395" s="1001">
        <f t="shared" si="12"/>
        <v>0.15</v>
      </c>
      <c r="I395" s="34"/>
    </row>
    <row r="396" spans="1:9" ht="13">
      <c r="A396" s="985">
        <v>412</v>
      </c>
      <c r="B396" s="1147"/>
      <c r="C396" s="1148" t="s">
        <v>1782</v>
      </c>
      <c r="D396" s="1139" t="s">
        <v>1164</v>
      </c>
      <c r="E396" s="64">
        <v>0.48499999999999999</v>
      </c>
      <c r="F396" s="987">
        <f>+ROUND(Materiales[[#This Row],[PRECIO BASE]]*(1+Materiales[[#This Row],[AJUSTE POSITIVO]]),0)</f>
        <v>47465</v>
      </c>
      <c r="G396" s="994">
        <v>41274</v>
      </c>
      <c r="H396" s="995">
        <f t="shared" si="12"/>
        <v>0.15</v>
      </c>
      <c r="I396" s="34"/>
    </row>
    <row r="397" spans="1:9">
      <c r="A397" s="985">
        <v>1321</v>
      </c>
      <c r="B397" s="985" t="s">
        <v>1313</v>
      </c>
      <c r="C397" s="103" t="s">
        <v>1760</v>
      </c>
      <c r="D397" s="1139" t="s">
        <v>1164</v>
      </c>
      <c r="E397" s="64">
        <f>2.95/50</f>
        <v>5.9000000000000004E-2</v>
      </c>
      <c r="F397" s="987">
        <f>+ROUND(Materiales[[#This Row],[PRECIO BASE]]*(1+Materiales[[#This Row],[AJUSTE POSITIVO]]),0)</f>
        <v>4633</v>
      </c>
      <c r="G397" s="994">
        <v>4029</v>
      </c>
      <c r="H397" s="995">
        <f t="shared" si="12"/>
        <v>0.15</v>
      </c>
      <c r="I397" s="34" t="s">
        <v>1479</v>
      </c>
    </row>
    <row r="398" spans="1:9">
      <c r="A398" s="997"/>
      <c r="B398" s="985"/>
      <c r="C398" s="1006" t="s">
        <v>1615</v>
      </c>
      <c r="D398" s="1139" t="s">
        <v>188</v>
      </c>
      <c r="E398" s="64">
        <v>1.45</v>
      </c>
      <c r="F398" s="987">
        <f>+ROUND(Materiales[[#This Row],[PRECIO BASE]]*(1+Materiales[[#This Row],[AJUSTE POSITIVO]]),0)</f>
        <v>125150</v>
      </c>
      <c r="G398" s="994">
        <v>125150</v>
      </c>
      <c r="H398" s="1001"/>
      <c r="I398" s="34"/>
    </row>
    <row r="399" spans="1:9" ht="15" customHeight="1">
      <c r="A399" s="1754" t="s">
        <v>1783</v>
      </c>
      <c r="B399" s="1755"/>
      <c r="C399" s="1755"/>
      <c r="D399" s="1755"/>
      <c r="E399" s="1755"/>
      <c r="F399" s="1755"/>
      <c r="G399" s="1755"/>
      <c r="H399" s="1755"/>
    </row>
    <row r="400" spans="1:9" ht="15" customHeight="1">
      <c r="A400" s="1755"/>
      <c r="B400" s="1755"/>
      <c r="C400" s="1755"/>
      <c r="D400" s="1755"/>
      <c r="E400" s="1755"/>
      <c r="F400" s="1755"/>
      <c r="G400" s="1755"/>
      <c r="H400" s="1755"/>
    </row>
    <row r="401" spans="1:8" ht="15" customHeight="1">
      <c r="A401" s="1755"/>
      <c r="B401" s="1755"/>
      <c r="C401" s="1755"/>
      <c r="D401" s="1755"/>
      <c r="E401" s="1755"/>
      <c r="F401" s="1755"/>
      <c r="G401" s="1755"/>
      <c r="H401" s="1755"/>
    </row>
    <row r="402" spans="1:8" ht="15" customHeight="1">
      <c r="A402" s="1755"/>
      <c r="B402" s="1755"/>
      <c r="C402" s="1755"/>
      <c r="D402" s="1755"/>
      <c r="E402" s="1755"/>
      <c r="F402" s="1755"/>
      <c r="G402" s="1755"/>
      <c r="H402" s="1755"/>
    </row>
    <row r="403" spans="1:8" ht="15" customHeight="1">
      <c r="A403" s="1755"/>
      <c r="B403" s="1755"/>
      <c r="C403" s="1755"/>
      <c r="D403" s="1755"/>
      <c r="E403" s="1755"/>
      <c r="F403" s="1755"/>
      <c r="G403" s="1755"/>
      <c r="H403" s="1755"/>
    </row>
    <row r="404" spans="1:8" ht="15" customHeight="1">
      <c r="A404" s="1755"/>
      <c r="B404" s="1755"/>
      <c r="C404" s="1755"/>
      <c r="D404" s="1755"/>
      <c r="E404" s="1755"/>
      <c r="F404" s="1755"/>
      <c r="G404" s="1755"/>
      <c r="H404" s="1755"/>
    </row>
    <row r="405" spans="1:8" ht="15" customHeight="1">
      <c r="A405" s="1755"/>
      <c r="B405" s="1755"/>
      <c r="C405" s="1755"/>
      <c r="D405" s="1755"/>
      <c r="E405" s="1755"/>
      <c r="F405" s="1755"/>
      <c r="G405" s="1755"/>
      <c r="H405" s="1755"/>
    </row>
    <row r="406" spans="1:8" ht="15" customHeight="1">
      <c r="A406" s="1755"/>
      <c r="B406" s="1755"/>
      <c r="C406" s="1755"/>
      <c r="D406" s="1755"/>
      <c r="E406" s="1755"/>
      <c r="F406" s="1755"/>
      <c r="G406" s="1755"/>
      <c r="H406" s="1755"/>
    </row>
    <row r="407" spans="1:8" ht="15" customHeight="1">
      <c r="A407" s="1755"/>
      <c r="B407" s="1755"/>
      <c r="C407" s="1755"/>
      <c r="D407" s="1755"/>
      <c r="E407" s="1755"/>
      <c r="F407" s="1755"/>
      <c r="G407" s="1755"/>
      <c r="H407" s="1755"/>
    </row>
    <row r="408" spans="1:8" ht="15" customHeight="1">
      <c r="A408" s="1755"/>
      <c r="B408" s="1755"/>
      <c r="C408" s="1755"/>
      <c r="D408" s="1755"/>
      <c r="E408" s="1755"/>
      <c r="F408" s="1755"/>
      <c r="G408" s="1755"/>
      <c r="H408" s="1755"/>
    </row>
    <row r="409" spans="1:8" ht="15" customHeight="1">
      <c r="A409" s="1755"/>
      <c r="B409" s="1755"/>
      <c r="C409" s="1755"/>
      <c r="D409" s="1755"/>
      <c r="E409" s="1755"/>
      <c r="F409" s="1755"/>
      <c r="G409" s="1755"/>
      <c r="H409" s="1755"/>
    </row>
    <row r="410" spans="1:8" ht="15" customHeight="1">
      <c r="A410" s="1755"/>
      <c r="B410" s="1755"/>
      <c r="C410" s="1755"/>
      <c r="D410" s="1755"/>
      <c r="E410" s="1755"/>
      <c r="F410" s="1755"/>
      <c r="G410" s="1755"/>
      <c r="H410" s="1755"/>
    </row>
    <row r="411" spans="1:8" ht="15" customHeight="1">
      <c r="A411" s="1755"/>
      <c r="B411" s="1755"/>
      <c r="C411" s="1755"/>
      <c r="D411" s="1755"/>
      <c r="E411" s="1755"/>
      <c r="F411" s="1755"/>
      <c r="G411" s="1755"/>
      <c r="H411" s="1755"/>
    </row>
    <row r="412" spans="1:8" ht="15" customHeight="1">
      <c r="A412" s="1755"/>
      <c r="B412" s="1755"/>
      <c r="C412" s="1755"/>
      <c r="D412" s="1755"/>
      <c r="E412" s="1755"/>
      <c r="F412" s="1755"/>
      <c r="G412" s="1755"/>
      <c r="H412" s="1755"/>
    </row>
    <row r="413" spans="1:8" ht="15" customHeight="1">
      <c r="A413" s="1755"/>
      <c r="B413" s="1755"/>
      <c r="C413" s="1755"/>
      <c r="D413" s="1755"/>
      <c r="E413" s="1755"/>
      <c r="F413" s="1755"/>
      <c r="G413" s="1755"/>
      <c r="H413" s="1755"/>
    </row>
    <row r="414" spans="1:8" ht="15" customHeight="1">
      <c r="A414" s="1755"/>
      <c r="B414" s="1755"/>
      <c r="C414" s="1755"/>
      <c r="D414" s="1755"/>
      <c r="E414" s="1755"/>
      <c r="F414" s="1755"/>
      <c r="G414" s="1755"/>
      <c r="H414" s="1755"/>
    </row>
    <row r="415" spans="1:8" ht="15" customHeight="1">
      <c r="A415" s="1755"/>
      <c r="B415" s="1755"/>
      <c r="C415" s="1755"/>
      <c r="D415" s="1755"/>
      <c r="E415" s="1755"/>
      <c r="F415" s="1755"/>
      <c r="G415" s="1755"/>
      <c r="H415" s="1755"/>
    </row>
    <row r="416" spans="1:8" ht="15" customHeight="1">
      <c r="A416" s="1755"/>
      <c r="B416" s="1755"/>
      <c r="C416" s="1755"/>
      <c r="D416" s="1755"/>
      <c r="E416" s="1755"/>
      <c r="F416" s="1755"/>
      <c r="G416" s="1755"/>
      <c r="H416" s="1755"/>
    </row>
    <row r="417" spans="1:8" ht="15" customHeight="1">
      <c r="A417" s="1755"/>
      <c r="B417" s="1755"/>
      <c r="C417" s="1755"/>
      <c r="D417" s="1755"/>
      <c r="E417" s="1755"/>
      <c r="F417" s="1755"/>
      <c r="G417" s="1755"/>
      <c r="H417" s="1755"/>
    </row>
    <row r="418" spans="1:8" ht="15" customHeight="1">
      <c r="A418" s="1755"/>
      <c r="B418" s="1755"/>
      <c r="C418" s="1755"/>
      <c r="D418" s="1755"/>
      <c r="E418" s="1755"/>
      <c r="F418" s="1755"/>
      <c r="G418" s="1755"/>
      <c r="H418" s="1755"/>
    </row>
  </sheetData>
  <mergeCells count="2">
    <mergeCell ref="A3:I3"/>
    <mergeCell ref="A399:H418"/>
  </mergeCells>
  <phoneticPr fontId="16" type="noConversion"/>
  <conditionalFormatting sqref="C178">
    <cfRule type="duplicateValues" dxfId="0" priority="1"/>
  </conditionalFormatting>
  <hyperlinks>
    <hyperlink ref="I146" r:id="rId1" xr:uid="{00000000-0004-0000-0A00-000000000000}"/>
    <hyperlink ref="I262" r:id="rId2" xr:uid="{9F09F82C-3664-42D9-A477-019333C8763C}"/>
    <hyperlink ref="I263" r:id="rId3" xr:uid="{0DB39030-8EC0-49B6-A43D-001BF751052F}"/>
    <hyperlink ref="I264" r:id="rId4" xr:uid="{C9674594-C83F-4BF9-B299-CB4005566DD8}"/>
    <hyperlink ref="I282" r:id="rId5" xr:uid="{9C571E36-4824-4BE0-85F3-D89A50B77D74}"/>
    <hyperlink ref="I283" r:id="rId6" xr:uid="{5788CC33-3B58-4DEF-B259-C8D8176B240E}"/>
    <hyperlink ref="I281" r:id="rId7" xr:uid="{A937D439-F672-4AB7-8B13-9E121A01A7CA}"/>
    <hyperlink ref="I304" r:id="rId8" xr:uid="{7D436B78-FA40-4626-B68E-846F6A5C1A99}"/>
    <hyperlink ref="I310" r:id="rId9" xr:uid="{3D7E8DF3-9FBF-420F-A900-32E2EDED09F1}"/>
    <hyperlink ref="I311" r:id="rId10" xr:uid="{D0C205DF-8424-41CC-8249-2FFCFAA70EAF}"/>
    <hyperlink ref="I312" r:id="rId11" xr:uid="{9DD27472-1574-4475-A510-417A1CF6CFF5}"/>
    <hyperlink ref="I314" r:id="rId12" xr:uid="{6C92D8FC-E9BC-431D-87B4-501D8B389626}"/>
    <hyperlink ref="I315" r:id="rId13" xr:uid="{76AD0FCA-4AA4-4344-A62F-7BE8F58F0E9B}"/>
    <hyperlink ref="I316" r:id="rId14" xr:uid="{6691AF8E-D0B1-4BBE-80FB-E66E2A7A2E1E}"/>
    <hyperlink ref="I317" r:id="rId15" xr:uid="{512720FB-021F-4ED6-B19D-ED1D80332C30}"/>
    <hyperlink ref="I318" r:id="rId16" xr:uid="{16CC74C2-4315-4609-84E3-C98A308BFEAC}"/>
    <hyperlink ref="I322" r:id="rId17" xr:uid="{498A69E6-FE44-499C-B859-53F8A451BF38}"/>
    <hyperlink ref="I323" r:id="rId18" xr:uid="{F80528A0-028B-4055-8314-A40E5A64A016}"/>
    <hyperlink ref="I320" r:id="rId19" xr:uid="{95AAA484-C8EE-4704-8481-C4017FA7DD3B}"/>
    <hyperlink ref="I327" r:id="rId20" xr:uid="{56CD2FD8-4A33-42D1-9640-FEE6D0E94D7B}"/>
    <hyperlink ref="I326" r:id="rId21" xr:uid="{A4B6E454-2529-4CB4-9988-F290DD1D89A4}"/>
  </hyperlinks>
  <pageMargins left="0.70866141732283472" right="0.70866141732283472" top="0.74803149606299213" bottom="0.74803149606299213" header="0.31496062992125984" footer="0.31496062992125984"/>
  <pageSetup scale="45" fitToHeight="2" orientation="portrait" r:id="rId22"/>
  <tableParts count="1">
    <tablePart r:id="rId23"/>
  </tableParts>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0" tint="-0.14999847407452621"/>
    <pageSetUpPr fitToPage="1"/>
  </sheetPr>
  <dimension ref="A1:I35"/>
  <sheetViews>
    <sheetView view="pageBreakPreview" topLeftCell="A16" zoomScale="60" zoomScaleNormal="100" workbookViewId="0">
      <selection activeCell="L7" sqref="L7"/>
    </sheetView>
  </sheetViews>
  <sheetFormatPr baseColWidth="10" defaultColWidth="11.453125" defaultRowHeight="12.5"/>
  <cols>
    <col min="1" max="1" width="8.453125" style="5" customWidth="1"/>
    <col min="2" max="2" width="46.54296875" style="5" customWidth="1"/>
    <col min="3" max="3" width="11.453125" style="5"/>
    <col min="4" max="5" width="11.54296875" style="5" customWidth="1"/>
    <col min="6" max="6" width="15" style="5" customWidth="1"/>
    <col min="7" max="7" width="17.81640625" style="5" bestFit="1" customWidth="1"/>
    <col min="8" max="8" width="6.453125" style="5" customWidth="1"/>
    <col min="9" max="9" width="11.453125" style="5"/>
    <col min="10" max="10" width="11.54296875" style="5" bestFit="1" customWidth="1"/>
    <col min="11" max="16384" width="11.453125" style="5"/>
  </cols>
  <sheetData>
    <row r="1" spans="1:9" ht="32.5" customHeight="1">
      <c r="A1" s="1729" t="str">
        <f>+'1'!A1</f>
        <v>IMPLEMENTACIÓN DE SOLUCIONES ENERGÉTICAS CON FUENTES NO CONVENCIONALES DE ENERGÍA PARA USUARIOS EN ZONAS RURALES DEL MUNICIPIO DE TEORAMA EN EL DEPARTAMENTO DE NORTE DE SANTANDER</v>
      </c>
      <c r="B1" s="1729"/>
      <c r="C1" s="1729"/>
      <c r="D1" s="1729"/>
      <c r="E1" s="1729"/>
      <c r="F1" s="1729"/>
      <c r="G1" s="1729"/>
    </row>
    <row r="3" spans="1:9" ht="12.75" customHeight="1">
      <c r="B3" s="1727" t="e">
        <f>CONCATENATE("ITEM:  ",#REF!)</f>
        <v>#REF!</v>
      </c>
      <c r="C3" s="1728"/>
      <c r="D3" s="1728"/>
      <c r="E3" s="1728"/>
      <c r="F3" s="1728"/>
      <c r="G3" s="6" t="s">
        <v>1229</v>
      </c>
      <c r="H3" s="7"/>
    </row>
    <row r="4" spans="1:9" ht="79.5" customHeight="1">
      <c r="B4" s="1722" t="e">
        <f>+#REF!</f>
        <v>#REF!</v>
      </c>
      <c r="C4" s="1723"/>
      <c r="D4" s="1724"/>
      <c r="E4" s="328"/>
      <c r="G4" s="8" t="e">
        <f>+#REF!</f>
        <v>#REF!</v>
      </c>
    </row>
    <row r="5" spans="1:9" ht="13">
      <c r="B5" s="9"/>
      <c r="G5" s="10"/>
    </row>
    <row r="6" spans="1:9" ht="13">
      <c r="B6" s="20" t="s">
        <v>1219</v>
      </c>
    </row>
    <row r="7" spans="1:9" ht="13">
      <c r="A7" s="119" t="s">
        <v>184</v>
      </c>
      <c r="B7" s="120" t="s">
        <v>1</v>
      </c>
      <c r="C7" s="120" t="s">
        <v>185</v>
      </c>
      <c r="D7" s="120" t="s">
        <v>334</v>
      </c>
      <c r="E7" s="120" t="s">
        <v>1230</v>
      </c>
      <c r="F7" s="120" t="s">
        <v>751</v>
      </c>
      <c r="G7" s="120" t="s">
        <v>752</v>
      </c>
    </row>
    <row r="8" spans="1:9" ht="14.5">
      <c r="A8" s="125">
        <v>197</v>
      </c>
      <c r="B8" s="122" t="str">
        <f>VLOOKUP(A8,Materiales[],3,FALSE)</f>
        <v>Aplicativo Captura Datalogger (Datasol)</v>
      </c>
      <c r="C8" s="121" t="str">
        <f>VLOOKUP(A8,Materiales[],4,FALSE)</f>
        <v>UN</v>
      </c>
      <c r="D8" s="118">
        <v>8</v>
      </c>
      <c r="E8" s="329">
        <f>VLOOKUP(A8,Materiales[],5,FALSE)*D8</f>
        <v>0</v>
      </c>
      <c r="F8" s="123">
        <f>VLOOKUP(A8,Materiales[],6,FALSE)</f>
        <v>10454545</v>
      </c>
      <c r="G8" s="123">
        <f>ROUND(D8*F8,0)</f>
        <v>83636360</v>
      </c>
      <c r="I8" s="33"/>
    </row>
    <row r="9" spans="1:9" ht="14.5">
      <c r="A9" s="125">
        <v>198</v>
      </c>
      <c r="B9" s="122" t="str">
        <f>VLOOKUP(A9,Materiales[],3,FALSE)</f>
        <v>Servidor (Pantalla-Teclado-Mouse)</v>
      </c>
      <c r="C9" s="121" t="str">
        <f>VLOOKUP(A9,Materiales[],4,FALSE)</f>
        <v>UN</v>
      </c>
      <c r="D9" s="118">
        <v>2</v>
      </c>
      <c r="E9" s="329">
        <f>VLOOKUP(A9,Materiales[],5,FALSE)*D9</f>
        <v>30</v>
      </c>
      <c r="F9" s="123">
        <f>VLOOKUP(A9,Materiales[],6,FALSE)</f>
        <v>9220909</v>
      </c>
      <c r="G9" s="123">
        <f>ROUND(D9*F9,0)</f>
        <v>18441818</v>
      </c>
      <c r="I9" s="33"/>
    </row>
    <row r="10" spans="1:9" ht="14.5">
      <c r="A10" s="125">
        <v>199</v>
      </c>
      <c r="B10" s="122" t="str">
        <f>VLOOKUP(A10,Materiales[],3,FALSE)</f>
        <v>UPS  Servidor</v>
      </c>
      <c r="C10" s="121" t="str">
        <f>VLOOKUP(A10,Materiales[],4,FALSE)</f>
        <v>UN</v>
      </c>
      <c r="D10" s="118">
        <v>2</v>
      </c>
      <c r="E10" s="329">
        <f>VLOOKUP(A10,Materiales[],5,FALSE)*D10</f>
        <v>40</v>
      </c>
      <c r="F10" s="123">
        <f>VLOOKUP(A10,Materiales[],6,FALSE)</f>
        <v>1061136</v>
      </c>
      <c r="G10" s="123">
        <f t="shared" ref="G10" si="0">ROUND(D10*F10,0)</f>
        <v>2122272</v>
      </c>
      <c r="I10" s="33"/>
    </row>
    <row r="11" spans="1:9" ht="13">
      <c r="D11" s="18"/>
      <c r="E11" s="18"/>
      <c r="F11" s="29" t="s">
        <v>1220</v>
      </c>
      <c r="G11" s="42">
        <f>SUM(G8:G10)</f>
        <v>104200450</v>
      </c>
    </row>
    <row r="13" spans="1:9" ht="13">
      <c r="B13" s="20" t="s">
        <v>1221</v>
      </c>
      <c r="G13" s="39"/>
    </row>
    <row r="14" spans="1:9" ht="13">
      <c r="A14" s="119" t="s">
        <v>184</v>
      </c>
      <c r="B14" s="120" t="s">
        <v>1</v>
      </c>
      <c r="C14" s="13" t="s">
        <v>1231</v>
      </c>
      <c r="D14" s="13" t="s">
        <v>1222</v>
      </c>
      <c r="E14" s="13"/>
      <c r="F14" s="13" t="s">
        <v>307</v>
      </c>
      <c r="G14" s="13" t="s">
        <v>752</v>
      </c>
    </row>
    <row r="15" spans="1:9" ht="14.5">
      <c r="A15" s="125">
        <v>1</v>
      </c>
      <c r="B15" s="122" t="str">
        <f>VLOOKUP(A15,Equip.Herram[],2,FALSE)</f>
        <v>Herramienta menor</v>
      </c>
      <c r="C15" s="15" t="str">
        <f>VLOOKUP(A15,Equip.Herram[],3,FALSE)</f>
        <v>UN</v>
      </c>
      <c r="D15" s="36">
        <f>VLOOKUP(A15,Equip.Herram[],4,FALSE)</f>
        <v>24840</v>
      </c>
      <c r="E15" s="36"/>
      <c r="F15" s="16">
        <f>+RENDIMIENTOS!$C$48</f>
        <v>3</v>
      </c>
      <c r="G15" s="36">
        <f>ROUND(D15/F15,0)</f>
        <v>8280</v>
      </c>
    </row>
    <row r="16" spans="1:9" ht="14.5">
      <c r="A16" s="125"/>
      <c r="B16" s="122"/>
      <c r="C16" s="15"/>
      <c r="D16" s="36"/>
      <c r="E16" s="36"/>
      <c r="F16" s="16"/>
      <c r="G16" s="36"/>
    </row>
    <row r="17" spans="1:9">
      <c r="B17" s="14"/>
      <c r="C17" s="15"/>
      <c r="D17" s="17"/>
      <c r="E17" s="17"/>
      <c r="F17" s="22"/>
      <c r="G17" s="21"/>
    </row>
    <row r="18" spans="1:9" ht="13">
      <c r="D18" s="18"/>
      <c r="E18" s="18"/>
      <c r="F18" s="19" t="s">
        <v>1220</v>
      </c>
      <c r="G18" s="37">
        <f>SUM(G15:G17)</f>
        <v>8280</v>
      </c>
    </row>
    <row r="19" spans="1:9" ht="13">
      <c r="D19" s="18"/>
      <c r="E19" s="18"/>
      <c r="F19" s="18"/>
      <c r="G19" s="23"/>
    </row>
    <row r="20" spans="1:9" ht="13">
      <c r="B20" s="11" t="s">
        <v>1223</v>
      </c>
      <c r="G20" s="24"/>
    </row>
    <row r="21" spans="1:9" ht="13">
      <c r="A21" s="119" t="s">
        <v>184</v>
      </c>
      <c r="B21" s="12" t="s">
        <v>1</v>
      </c>
      <c r="C21" s="13" t="s">
        <v>185</v>
      </c>
      <c r="D21" s="13" t="s">
        <v>1230</v>
      </c>
      <c r="E21" s="13"/>
      <c r="F21" s="13" t="s">
        <v>1233</v>
      </c>
      <c r="G21" s="25" t="s">
        <v>752</v>
      </c>
      <c r="I21" s="39"/>
    </row>
    <row r="22" spans="1:9" ht="26.5" customHeight="1">
      <c r="A22" s="125">
        <v>1</v>
      </c>
      <c r="B22" s="122" t="str">
        <f>VLOOKUP(A22,Transporte[],2,FALSE)</f>
        <v>Carga terrestre Bogotá - Teorama</v>
      </c>
      <c r="C22" s="27" t="s">
        <v>1234</v>
      </c>
      <c r="D22" s="333">
        <f>+SUM(E8:E10)</f>
        <v>70</v>
      </c>
      <c r="E22" s="118"/>
      <c r="F22" s="142">
        <f>VLOOKUP(A22,Transporte[],7,FALSE)</f>
        <v>214.17955999999998</v>
      </c>
      <c r="G22" s="35">
        <f>D22*F22</f>
        <v>14992.569199999998</v>
      </c>
    </row>
    <row r="23" spans="1:9" ht="13.4" customHeight="1">
      <c r="A23" s="125">
        <v>3</v>
      </c>
      <c r="B23" s="122" t="str">
        <f>VLOOKUP(A23,Transporte[],2,FALSE)</f>
        <v>Carga terrestre Teorama - Comunidades</v>
      </c>
      <c r="C23" s="27" t="s">
        <v>1234</v>
      </c>
      <c r="D23" s="333">
        <f>+SUM(E8:E10)</f>
        <v>70</v>
      </c>
      <c r="E23" s="118"/>
      <c r="F23" s="142">
        <f>VLOOKUP(A23,Transporte[],7,FALSE)</f>
        <v>1491</v>
      </c>
      <c r="G23" s="35">
        <f>D23*F23</f>
        <v>104370</v>
      </c>
    </row>
    <row r="24" spans="1:9" ht="13">
      <c r="D24" s="18"/>
      <c r="E24" s="18"/>
      <c r="F24" s="29" t="s">
        <v>1220</v>
      </c>
      <c r="G24" s="37">
        <f>SUM(G22:G23)</f>
        <v>119362.5692</v>
      </c>
    </row>
    <row r="25" spans="1:9" ht="13">
      <c r="D25" s="18"/>
      <c r="E25" s="18"/>
      <c r="G25" s="23"/>
    </row>
    <row r="26" spans="1:9" ht="13">
      <c r="B26" s="11" t="s">
        <v>1225</v>
      </c>
      <c r="D26" s="30"/>
      <c r="E26" s="30"/>
      <c r="F26" s="31"/>
      <c r="G26" s="24"/>
    </row>
    <row r="27" spans="1:9" s="18" customFormat="1" ht="13">
      <c r="A27" s="119" t="s">
        <v>184</v>
      </c>
      <c r="B27" s="12" t="s">
        <v>1</v>
      </c>
      <c r="C27" s="13" t="s">
        <v>1226</v>
      </c>
      <c r="D27" s="13" t="s">
        <v>1227</v>
      </c>
      <c r="E27" s="13"/>
      <c r="F27" s="13" t="s">
        <v>307</v>
      </c>
      <c r="G27" s="25" t="s">
        <v>752</v>
      </c>
    </row>
    <row r="28" spans="1:9" ht="14.5">
      <c r="A28" s="125">
        <v>1</v>
      </c>
      <c r="B28" s="122" t="str">
        <f>VLOOKUP(A28,ManoObra[],2,FALSE)</f>
        <v>Electricista</v>
      </c>
      <c r="C28" s="40">
        <f>VLOOKUP(A28,ManoObra[],7,FALSE)</f>
        <v>71863</v>
      </c>
      <c r="D28" s="22">
        <f>FP!$B$28</f>
        <v>1.61</v>
      </c>
      <c r="E28" s="22"/>
      <c r="F28" s="16">
        <f>+RENDIMIENTOS!$C$50</f>
        <v>3</v>
      </c>
      <c r="G28" s="36">
        <f>ROUND(C28*D28/F28,0)</f>
        <v>38566</v>
      </c>
      <c r="I28" s="81"/>
    </row>
    <row r="29" spans="1:9" ht="14.5">
      <c r="A29" s="125">
        <v>2</v>
      </c>
      <c r="B29" s="122" t="str">
        <f>VLOOKUP(A29,ManoObra[],2,FALSE)</f>
        <v>Ayudante</v>
      </c>
      <c r="C29" s="40">
        <f>VLOOKUP(A29,ManoObra[],7,FALSE)</f>
        <v>66050</v>
      </c>
      <c r="D29" s="22">
        <f>FP!$B$28</f>
        <v>1.61</v>
      </c>
      <c r="E29" s="22"/>
      <c r="F29" s="16">
        <f>+RENDIMIENTOS!$C$50</f>
        <v>3</v>
      </c>
      <c r="G29" s="36">
        <f>ROUND(C29*D29/F29,0)</f>
        <v>35447</v>
      </c>
    </row>
    <row r="30" spans="1:9" ht="13">
      <c r="D30" s="18"/>
      <c r="E30" s="18"/>
      <c r="F30" s="29" t="s">
        <v>1220</v>
      </c>
      <c r="G30" s="42">
        <f>SUM(G28:G29)</f>
        <v>74013</v>
      </c>
    </row>
    <row r="31" spans="1:9" ht="13">
      <c r="D31" s="18"/>
      <c r="E31" s="18"/>
      <c r="G31" s="24"/>
    </row>
    <row r="32" spans="1:9" ht="12.75" customHeight="1">
      <c r="A32"/>
      <c r="D32" s="1725" t="s">
        <v>1228</v>
      </c>
      <c r="E32" s="1730"/>
      <c r="F32" s="1726"/>
      <c r="G32" s="38">
        <f>G11+G18+G24+G30</f>
        <v>104402105.56919999</v>
      </c>
    </row>
    <row r="33" spans="1:7" ht="13">
      <c r="A33" s="441"/>
      <c r="B33" s="441"/>
      <c r="D33" s="18"/>
      <c r="E33" s="18"/>
      <c r="F33" s="10"/>
      <c r="G33" s="41"/>
    </row>
    <row r="34" spans="1:7" ht="14">
      <c r="A34" s="442"/>
      <c r="B34" s="840"/>
    </row>
    <row r="35" spans="1:7" ht="42">
      <c r="B35" s="1028" t="s">
        <v>1235</v>
      </c>
    </row>
  </sheetData>
  <mergeCells count="4">
    <mergeCell ref="B3:F3"/>
    <mergeCell ref="B4:D4"/>
    <mergeCell ref="D32:F32"/>
    <mergeCell ref="A1:G1"/>
  </mergeCells>
  <printOptions horizontalCentered="1"/>
  <pageMargins left="0.70866141732283472" right="0.70866141732283472" top="1.5748031496062993" bottom="0.98425196850393704" header="0.98425196850393704" footer="0.51181102362204722"/>
  <pageSetup scale="75" orientation="portrait" r:id="rId1"/>
  <headerFooter alignWithMargins="0">
    <oddHeader xml:space="preserve">&amp;C&amp;"Arial,Negrita"&amp;12ANÁLISIS DE PRECIOS UNITARIOS
</oddHeader>
  </headerFooter>
  <drawing r:id="rId2"/>
  <legacyDrawing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23">
    <tabColor theme="8" tint="0.59999389629810485"/>
  </sheetPr>
  <dimension ref="A1:K79"/>
  <sheetViews>
    <sheetView workbookViewId="0"/>
  </sheetViews>
  <sheetFormatPr baseColWidth="10" defaultColWidth="11.453125" defaultRowHeight="12.5"/>
  <cols>
    <col min="1" max="1" width="12" bestFit="1" customWidth="1"/>
    <col min="2" max="2" width="12.54296875" customWidth="1"/>
    <col min="3" max="3" width="54.453125" bestFit="1" customWidth="1"/>
    <col min="4" max="4" width="33.54296875" bestFit="1" customWidth="1"/>
    <col min="5" max="5" width="13.54296875" customWidth="1"/>
    <col min="6" max="6" width="17.81640625" customWidth="1"/>
    <col min="7" max="7" width="17.54296875" customWidth="1"/>
    <col min="8" max="8" width="23.453125" bestFit="1" customWidth="1"/>
    <col min="9" max="9" width="17.1796875" customWidth="1"/>
    <col min="10" max="10" width="18.54296875" customWidth="1"/>
    <col min="11" max="11" width="14" customWidth="1"/>
  </cols>
  <sheetData>
    <row r="1" spans="1:11" ht="13">
      <c r="B1" s="1434" t="s">
        <v>1784</v>
      </c>
      <c r="C1" s="1434"/>
      <c r="D1" s="1434"/>
      <c r="F1" s="116" t="s">
        <v>1785</v>
      </c>
    </row>
    <row r="2" spans="1:11" ht="13.5" customHeight="1">
      <c r="B2" s="159" t="s">
        <v>836</v>
      </c>
      <c r="C2" s="159" t="s">
        <v>1</v>
      </c>
      <c r="D2" s="159" t="s">
        <v>840</v>
      </c>
      <c r="F2" s="79" t="e">
        <f>#REF!</f>
        <v>#REF!</v>
      </c>
      <c r="G2" s="270" t="e">
        <f>F2/'MANO DE OBRA'!C5</f>
        <v>#REF!</v>
      </c>
    </row>
    <row r="3" spans="1:11" ht="13">
      <c r="B3" s="188">
        <v>1</v>
      </c>
      <c r="C3" s="94" t="s">
        <v>895</v>
      </c>
      <c r="D3" s="109" t="e">
        <f>SUM(PersonalINT[Total])</f>
        <v>#REF!</v>
      </c>
      <c r="F3" s="79" t="e">
        <f>F2/1.19</f>
        <v>#REF!</v>
      </c>
    </row>
    <row r="4" spans="1:11" ht="13">
      <c r="B4" s="188">
        <v>2</v>
      </c>
      <c r="C4" s="94" t="s">
        <v>870</v>
      </c>
      <c r="D4" s="109" t="e">
        <f>H34</f>
        <v>#REF!</v>
      </c>
      <c r="F4" s="79" t="e">
        <f>F2/1.19</f>
        <v>#REF!</v>
      </c>
    </row>
    <row r="5" spans="1:11" ht="13">
      <c r="B5" s="188">
        <v>3</v>
      </c>
      <c r="C5" s="94" t="s">
        <v>1786</v>
      </c>
      <c r="D5" s="109" t="e">
        <f>H41</f>
        <v>#REF!</v>
      </c>
      <c r="F5" s="150" t="e">
        <f>+#REF!</f>
        <v>#REF!</v>
      </c>
    </row>
    <row r="6" spans="1:11" ht="13">
      <c r="B6" s="188">
        <v>4</v>
      </c>
      <c r="C6" s="94" t="s">
        <v>1787</v>
      </c>
      <c r="D6" s="109" t="e">
        <f>F54</f>
        <v>#REF!</v>
      </c>
    </row>
    <row r="7" spans="1:11" ht="13">
      <c r="B7" s="188">
        <v>5</v>
      </c>
      <c r="C7" s="94" t="s">
        <v>1788</v>
      </c>
      <c r="D7" s="109" t="e">
        <f>E69</f>
        <v>#REF!</v>
      </c>
    </row>
    <row r="8" spans="1:11" ht="13">
      <c r="B8" s="188">
        <v>6</v>
      </c>
      <c r="C8" s="94" t="s">
        <v>1789</v>
      </c>
      <c r="D8" s="109" t="e">
        <f>SUM(D3:D7)</f>
        <v>#REF!</v>
      </c>
    </row>
    <row r="9" spans="1:11" ht="13">
      <c r="B9" s="188">
        <v>7</v>
      </c>
      <c r="C9" s="94" t="s">
        <v>1790</v>
      </c>
      <c r="D9" s="109" t="e">
        <f>ROUND(D8*10%,0)</f>
        <v>#REF!</v>
      </c>
    </row>
    <row r="10" spans="1:11" ht="13">
      <c r="B10" s="188">
        <v>8</v>
      </c>
      <c r="C10" s="94" t="s">
        <v>1791</v>
      </c>
      <c r="D10" s="109" t="e">
        <f>D8+D9</f>
        <v>#REF!</v>
      </c>
    </row>
    <row r="11" spans="1:11" ht="13">
      <c r="B11" s="188">
        <v>9</v>
      </c>
      <c r="C11" s="94" t="s">
        <v>1792</v>
      </c>
      <c r="D11" s="109" t="e">
        <f>ROUND(D10*19%,0)</f>
        <v>#REF!</v>
      </c>
    </row>
    <row r="12" spans="1:11" ht="13">
      <c r="B12" s="251">
        <v>10</v>
      </c>
      <c r="C12" s="95" t="s">
        <v>1793</v>
      </c>
      <c r="D12" s="252" t="e">
        <f>SUM(D10:D11)</f>
        <v>#REF!</v>
      </c>
    </row>
    <row r="14" spans="1:11" ht="13">
      <c r="A14" s="1757" t="s">
        <v>834</v>
      </c>
      <c r="B14" s="1758"/>
      <c r="C14" s="1758"/>
      <c r="D14" s="1758"/>
      <c r="E14" s="1758"/>
      <c r="F14" s="1758"/>
      <c r="G14" s="1758"/>
      <c r="H14" s="1758"/>
      <c r="I14" s="1758"/>
      <c r="J14" s="1758"/>
      <c r="K14" s="1759"/>
    </row>
    <row r="15" spans="1:11" ht="13">
      <c r="A15" s="172" t="s">
        <v>184</v>
      </c>
      <c r="B15" s="129" t="s">
        <v>836</v>
      </c>
      <c r="C15" s="129" t="s">
        <v>404</v>
      </c>
      <c r="D15" s="129" t="s">
        <v>405</v>
      </c>
      <c r="E15" s="129" t="s">
        <v>837</v>
      </c>
      <c r="F15" s="129" t="s">
        <v>838</v>
      </c>
      <c r="G15" s="129" t="s">
        <v>839</v>
      </c>
      <c r="H15" s="129" t="s">
        <v>863</v>
      </c>
      <c r="I15" s="129" t="s">
        <v>1794</v>
      </c>
      <c r="J15" s="129" t="s">
        <v>399</v>
      </c>
      <c r="K15" s="174" t="s">
        <v>674</v>
      </c>
    </row>
    <row r="16" spans="1:11" ht="14.5">
      <c r="A16" s="117">
        <v>18</v>
      </c>
      <c r="B16" s="175" t="s">
        <v>1795</v>
      </c>
      <c r="C16" s="176" t="str">
        <f>VLOOKUP($A16,ManoObra[],2,FALSE)</f>
        <v>Director de interventoría</v>
      </c>
      <c r="D16" s="176" t="str">
        <f>VLOOKUP($A16,ManoObra[],3,FALSE)</f>
        <v>Obra</v>
      </c>
      <c r="E16" s="176" t="e">
        <f>'TIEMPO EJECUCIÓN'!$B$19</f>
        <v>#REF!</v>
      </c>
      <c r="F16" s="175">
        <v>1</v>
      </c>
      <c r="G16" s="177">
        <v>0.5</v>
      </c>
      <c r="H16" s="176">
        <f>FP!$B$28</f>
        <v>1.61</v>
      </c>
      <c r="I16" s="178">
        <f>ROUND(VLOOKUP($A16,ManoObra[],4,FALSE)*1.1,0)</f>
        <v>5803081</v>
      </c>
      <c r="J16" s="179">
        <f>VLOOKUP($A16,ManoObra[],5,FALSE)</f>
        <v>0</v>
      </c>
      <c r="K16" s="180" t="e">
        <f t="shared" ref="K16:K26" si="0">ROUND(I16*H16*G16*F16*E16+J16,0)</f>
        <v>#REF!</v>
      </c>
    </row>
    <row r="17" spans="1:11" ht="14.5">
      <c r="A17" s="117">
        <v>7</v>
      </c>
      <c r="B17" s="175" t="s">
        <v>1796</v>
      </c>
      <c r="C17" s="157" t="str">
        <f>VLOOKUP($A17,ManoObra[],2,FALSE)</f>
        <v>Ingeniero Residente</v>
      </c>
      <c r="D17" s="157" t="str">
        <f>VLOOKUP($A17,ManoObra[],3,FALSE)</f>
        <v>Obra</v>
      </c>
      <c r="E17" s="157" t="e">
        <f>'TIEMPO EJECUCIÓN'!$B$19</f>
        <v>#REF!</v>
      </c>
      <c r="F17" s="125">
        <v>1</v>
      </c>
      <c r="G17" s="177">
        <v>1</v>
      </c>
      <c r="H17" s="157">
        <f>FP!$B$28</f>
        <v>1.61</v>
      </c>
      <c r="I17" s="163">
        <f>ROUND(VLOOKUP($A17,ManoObra[],4,FALSE)*1.1,0)</f>
        <v>3257593</v>
      </c>
      <c r="J17" s="164">
        <f>VLOOKUP($A17,ManoObra[],5,FALSE)</f>
        <v>0</v>
      </c>
      <c r="K17" s="173" t="e">
        <f t="shared" si="0"/>
        <v>#REF!</v>
      </c>
    </row>
    <row r="18" spans="1:11" ht="14.5">
      <c r="A18" s="117">
        <v>1</v>
      </c>
      <c r="B18" s="175" t="s">
        <v>1797</v>
      </c>
      <c r="C18" s="157" t="str">
        <f>VLOOKUP($A18,ManoObra[],2,FALSE)</f>
        <v>Electricista</v>
      </c>
      <c r="D18" s="157" t="str">
        <f>VLOOKUP($A18,ManoObra[],3,FALSE)</f>
        <v>Obra</v>
      </c>
      <c r="E18" s="157" t="e">
        <f>'TIEMPO EJECUCIÓN'!$B$19</f>
        <v>#REF!</v>
      </c>
      <c r="F18" s="125">
        <v>1</v>
      </c>
      <c r="G18" s="177">
        <v>0.5</v>
      </c>
      <c r="H18" s="157">
        <f>FP!$B$28</f>
        <v>1.61</v>
      </c>
      <c r="I18" s="163">
        <f>ROUND(VLOOKUP($A18,ManoObra[],4,FALSE)*1.1,0)</f>
        <v>1723021</v>
      </c>
      <c r="J18" s="164">
        <f>VLOOKUP($A18,ManoObra[],5,FALSE)</f>
        <v>200000</v>
      </c>
      <c r="K18" s="173" t="e">
        <f t="shared" si="0"/>
        <v>#REF!</v>
      </c>
    </row>
    <row r="19" spans="1:11" ht="14.5">
      <c r="A19" s="117">
        <v>11</v>
      </c>
      <c r="B19" s="175" t="s">
        <v>1798</v>
      </c>
      <c r="C19" s="157" t="str">
        <f>VLOOKUP($A19,ManoObra[],2,FALSE)</f>
        <v>Ingeniero Ambiental</v>
      </c>
      <c r="D19" s="157" t="str">
        <f>VLOOKUP($A19,ManoObra[],3,FALSE)</f>
        <v>Obra</v>
      </c>
      <c r="E19" s="157" t="e">
        <f>'TIEMPO EJECUCIÓN'!$B$19</f>
        <v>#REF!</v>
      </c>
      <c r="F19" s="125">
        <v>1</v>
      </c>
      <c r="G19" s="177">
        <v>0.5</v>
      </c>
      <c r="H19" s="157">
        <f>FP!$B$28</f>
        <v>1.61</v>
      </c>
      <c r="I19" s="163">
        <f>ROUND(VLOOKUP($A19,ManoObra[],4,FALSE)*1.1,0)</f>
        <v>2696685</v>
      </c>
      <c r="J19" s="164">
        <f>VLOOKUP($A19,ManoObra[],5,FALSE)</f>
        <v>200000</v>
      </c>
      <c r="K19" s="173" t="e">
        <f t="shared" si="0"/>
        <v>#REF!</v>
      </c>
    </row>
    <row r="20" spans="1:11" ht="14.5">
      <c r="A20" s="117">
        <v>12</v>
      </c>
      <c r="B20" s="175" t="s">
        <v>1799</v>
      </c>
      <c r="C20" s="157" t="str">
        <f>VLOOKUP($A20,ManoObra[],2,FALSE)</f>
        <v>Profesional SGSST</v>
      </c>
      <c r="D20" s="157" t="str">
        <f>VLOOKUP($A20,ManoObra[],3,FALSE)</f>
        <v>Obra</v>
      </c>
      <c r="E20" s="157" t="e">
        <f>'TIEMPO EJECUCIÓN'!$B$19</f>
        <v>#REF!</v>
      </c>
      <c r="F20" s="125">
        <v>1</v>
      </c>
      <c r="G20" s="177">
        <v>0.5</v>
      </c>
      <c r="H20" s="157">
        <f>FP!$B$28</f>
        <v>1.61</v>
      </c>
      <c r="I20" s="163">
        <f>ROUND(VLOOKUP($A20,ManoObra[],4,FALSE)*1.1,0)</f>
        <v>1688172</v>
      </c>
      <c r="J20" s="164">
        <f>VLOOKUP($A20,ManoObra[],5,FALSE)</f>
        <v>200000</v>
      </c>
      <c r="K20" s="173" t="e">
        <f t="shared" si="0"/>
        <v>#REF!</v>
      </c>
    </row>
    <row r="21" spans="1:11" ht="14.5">
      <c r="A21" s="117">
        <v>13</v>
      </c>
      <c r="B21" s="175" t="s">
        <v>1800</v>
      </c>
      <c r="C21" s="157" t="str">
        <f>VLOOKUP($A21,ManoObra[],2,FALSE)</f>
        <v>Ingeniero Civil</v>
      </c>
      <c r="D21" s="157" t="str">
        <f>VLOOKUP($A21,ManoObra[],3,FALSE)</f>
        <v>Obra</v>
      </c>
      <c r="E21" s="157" t="e">
        <f>'TIEMPO EJECUCIÓN'!$B$19</f>
        <v>#REF!</v>
      </c>
      <c r="F21" s="125">
        <v>1</v>
      </c>
      <c r="G21" s="177">
        <v>0.5</v>
      </c>
      <c r="H21" s="157">
        <f>FP!$B$28</f>
        <v>1.61</v>
      </c>
      <c r="I21" s="163">
        <f>ROUND(VLOOKUP($A21,ManoObra[],4,FALSE)*1.1,0)</f>
        <v>3609961</v>
      </c>
      <c r="J21" s="164">
        <f>VLOOKUP($A21,ManoObra[],5,FALSE)</f>
        <v>0</v>
      </c>
      <c r="K21" s="173" t="e">
        <f t="shared" si="0"/>
        <v>#REF!</v>
      </c>
    </row>
    <row r="22" spans="1:11" ht="14.5">
      <c r="A22" s="117">
        <v>14</v>
      </c>
      <c r="B22" s="175" t="s">
        <v>1801</v>
      </c>
      <c r="C22" s="157" t="str">
        <f>VLOOKUP($A22,ManoObra[],2,FALSE)</f>
        <v>Trabajador Social</v>
      </c>
      <c r="D22" s="157" t="str">
        <f>VLOOKUP($A22,ManoObra[],3,FALSE)</f>
        <v>Obra</v>
      </c>
      <c r="E22" s="157" t="e">
        <f>'TIEMPO EJECUCIÓN'!$B$19</f>
        <v>#REF!</v>
      </c>
      <c r="F22" s="125">
        <v>1</v>
      </c>
      <c r="G22" s="177">
        <v>0.5</v>
      </c>
      <c r="H22" s="157">
        <f>FP!$B$28</f>
        <v>1.61</v>
      </c>
      <c r="I22" s="163">
        <f>ROUND(VLOOKUP($A22,ManoObra[],4,FALSE)*1.1,0)</f>
        <v>2211194</v>
      </c>
      <c r="J22" s="164">
        <f>VLOOKUP($A22,ManoObra[],5,FALSE)</f>
        <v>200000</v>
      </c>
      <c r="K22" s="173" t="e">
        <f t="shared" si="0"/>
        <v>#REF!</v>
      </c>
    </row>
    <row r="23" spans="1:11" ht="14.5">
      <c r="A23" s="117">
        <v>8</v>
      </c>
      <c r="B23" s="175" t="s">
        <v>1802</v>
      </c>
      <c r="C23" s="157" t="str">
        <f>VLOOKUP($A23,ManoObra[],2,FALSE)</f>
        <v>Gerente</v>
      </c>
      <c r="D23" s="157" t="str">
        <f>VLOOKUP($A23,ManoObra[],3,FALSE)</f>
        <v>Oficina</v>
      </c>
      <c r="E23" s="157" t="e">
        <f>'TIEMPO EJECUCIÓN'!$B$19</f>
        <v>#REF!</v>
      </c>
      <c r="F23" s="125">
        <v>1</v>
      </c>
      <c r="G23" s="177">
        <v>0.5</v>
      </c>
      <c r="H23" s="157">
        <f>FP!$B$28</f>
        <v>1.61</v>
      </c>
      <c r="I23" s="163">
        <f>ROUND(VLOOKUP($A23,ManoObra[],4,FALSE)*1.1,0)</f>
        <v>8027852</v>
      </c>
      <c r="J23" s="164">
        <f>VLOOKUP($A23,ManoObra[],5,FALSE)</f>
        <v>0</v>
      </c>
      <c r="K23" s="173" t="e">
        <f t="shared" si="0"/>
        <v>#REF!</v>
      </c>
    </row>
    <row r="24" spans="1:11" ht="14.5">
      <c r="A24" s="117">
        <v>9</v>
      </c>
      <c r="B24" s="175" t="s">
        <v>1803</v>
      </c>
      <c r="C24" s="157" t="str">
        <f>VLOOKUP($A24,ManoObra[],2,FALSE)</f>
        <v>Contador</v>
      </c>
      <c r="D24" s="157" t="str">
        <f>VLOOKUP($A24,ManoObra[],3,FALSE)</f>
        <v>Oficina</v>
      </c>
      <c r="E24" s="157" t="e">
        <f>'TIEMPO EJECUCIÓN'!$B$19</f>
        <v>#REF!</v>
      </c>
      <c r="F24" s="125">
        <v>1</v>
      </c>
      <c r="G24" s="177">
        <v>0.5</v>
      </c>
      <c r="H24" s="157">
        <f>FP!$B$28</f>
        <v>1.61</v>
      </c>
      <c r="I24" s="163">
        <f>ROUND(VLOOKUP($A24,ManoObra[],4,FALSE)*1.1,0)</f>
        <v>2699206</v>
      </c>
      <c r="J24" s="164">
        <f>VLOOKUP($A24,ManoObra[],5,FALSE)</f>
        <v>200000</v>
      </c>
      <c r="K24" s="173" t="e">
        <f t="shared" si="0"/>
        <v>#REF!</v>
      </c>
    </row>
    <row r="25" spans="1:11" ht="14.5">
      <c r="A25" s="117">
        <v>10</v>
      </c>
      <c r="B25" s="175" t="s">
        <v>1804</v>
      </c>
      <c r="C25" s="157" t="str">
        <f>VLOOKUP($A25,ManoObra[],2,FALSE)</f>
        <v>Asesor Jurídico</v>
      </c>
      <c r="D25" s="157" t="str">
        <f>VLOOKUP($A25,ManoObra[],3,FALSE)</f>
        <v>Oficina</v>
      </c>
      <c r="E25" s="157" t="e">
        <f>'TIEMPO EJECUCIÓN'!$B$19</f>
        <v>#REF!</v>
      </c>
      <c r="F25" s="125">
        <v>1</v>
      </c>
      <c r="G25" s="177">
        <v>0.5</v>
      </c>
      <c r="H25" s="157">
        <f>FP!$B$28</f>
        <v>1.61</v>
      </c>
      <c r="I25" s="163">
        <f>ROUND(VLOOKUP($A25,ManoObra[],4,FALSE)*1.1,0)</f>
        <v>2857039</v>
      </c>
      <c r="J25" s="164">
        <f>VLOOKUP($A25,ManoObra[],5,FALSE)</f>
        <v>200000</v>
      </c>
      <c r="K25" s="173" t="e">
        <f t="shared" si="0"/>
        <v>#REF!</v>
      </c>
    </row>
    <row r="26" spans="1:11" ht="14.5">
      <c r="A26" s="117">
        <v>15</v>
      </c>
      <c r="B26" s="175" t="s">
        <v>1805</v>
      </c>
      <c r="C26" s="157" t="str">
        <f>VLOOKUP($A26,ManoObra[],2,FALSE)</f>
        <v>Servicios Generales</v>
      </c>
      <c r="D26" s="157" t="str">
        <f>VLOOKUP($A26,ManoObra[],3,FALSE)</f>
        <v>Oficina</v>
      </c>
      <c r="E26" s="157" t="e">
        <f>'TIEMPO EJECUCIÓN'!$B$19</f>
        <v>#REF!</v>
      </c>
      <c r="F26" s="125">
        <v>1</v>
      </c>
      <c r="G26" s="177">
        <v>0.5</v>
      </c>
      <c r="H26" s="157">
        <f>FP!$B$28</f>
        <v>1.61</v>
      </c>
      <c r="I26" s="163">
        <f>ROUND(VLOOKUP($A26,ManoObra[],4,FALSE)*1.1,0)</f>
        <v>1565850</v>
      </c>
      <c r="J26" s="164">
        <f>VLOOKUP($A26,ManoObra[],5,FALSE)</f>
        <v>200000</v>
      </c>
      <c r="K26" s="173" t="e">
        <f t="shared" si="0"/>
        <v>#REF!</v>
      </c>
    </row>
    <row r="29" spans="1:11" ht="14">
      <c r="B29" s="1762" t="s">
        <v>1806</v>
      </c>
      <c r="C29" s="1762"/>
      <c r="D29" s="1762"/>
      <c r="E29" s="1762"/>
      <c r="F29" s="1762"/>
      <c r="G29" s="1762"/>
      <c r="H29" s="1762"/>
      <c r="I29" s="63"/>
    </row>
    <row r="30" spans="1:11" ht="14">
      <c r="B30" s="1756" t="s">
        <v>836</v>
      </c>
      <c r="C30" s="1756" t="s">
        <v>1</v>
      </c>
      <c r="D30" s="1756" t="s">
        <v>837</v>
      </c>
      <c r="E30" s="1756" t="s">
        <v>838</v>
      </c>
      <c r="F30" s="1756" t="s">
        <v>1807</v>
      </c>
      <c r="G30" s="1760" t="s">
        <v>840</v>
      </c>
      <c r="H30" s="1761"/>
      <c r="I30" s="63"/>
    </row>
    <row r="31" spans="1:11" ht="14.25" customHeight="1">
      <c r="B31" s="1756"/>
      <c r="C31" s="1756"/>
      <c r="D31" s="1756"/>
      <c r="E31" s="1756"/>
      <c r="F31" s="1756"/>
      <c r="G31" s="149" t="s">
        <v>1808</v>
      </c>
      <c r="H31" s="149" t="s">
        <v>674</v>
      </c>
      <c r="I31" s="63"/>
    </row>
    <row r="32" spans="1:11">
      <c r="B32" s="64" t="s">
        <v>869</v>
      </c>
      <c r="C32" s="196" t="s">
        <v>1809</v>
      </c>
      <c r="D32" s="190" t="e">
        <f>'TIEMPO EJECUCIÓN'!$B$16</f>
        <v>#REF!</v>
      </c>
      <c r="E32" s="64">
        <f>COUNTIF(PersonalINT[Categoría],"Obra")</f>
        <v>7</v>
      </c>
      <c r="F32" s="191">
        <f>AVERAGEIF(PersonalINT[Categoría],"Obra",PersonalINT[% Dedicación])</f>
        <v>0.5714285714285714</v>
      </c>
      <c r="G32" s="65" t="e">
        <f>#REF!</f>
        <v>#REF!</v>
      </c>
      <c r="H32" s="65" t="e">
        <f>D32*E32*G32</f>
        <v>#REF!</v>
      </c>
    </row>
    <row r="33" spans="1:8">
      <c r="B33" s="64" t="s">
        <v>874</v>
      </c>
      <c r="C33" s="196" t="s">
        <v>1810</v>
      </c>
      <c r="D33" s="190" t="e">
        <f>'TIEMPO EJECUCIÓN'!$B$16</f>
        <v>#REF!</v>
      </c>
      <c r="E33" s="64">
        <f>COUNTIF(PersonalINT[Categoría],"Obra")</f>
        <v>7</v>
      </c>
      <c r="F33" s="191">
        <f>AVERAGEIF(PersonalINT[Categoría],"Obra",PersonalINT[% Dedicación])</f>
        <v>0.5714285714285714</v>
      </c>
      <c r="G33" s="65" t="e">
        <f>#REF!</f>
        <v>#REF!</v>
      </c>
      <c r="H33" s="65" t="e">
        <f>D33*E33*G33</f>
        <v>#REF!</v>
      </c>
    </row>
    <row r="34" spans="1:8" ht="13">
      <c r="H34" s="192" t="e">
        <f>SUM(H32:H33)</f>
        <v>#REF!</v>
      </c>
    </row>
    <row r="37" spans="1:8" ht="13">
      <c r="A37" s="1762" t="s">
        <v>1811</v>
      </c>
      <c r="B37" s="1762"/>
      <c r="C37" s="1762"/>
      <c r="D37" s="1762"/>
      <c r="E37" s="1762"/>
      <c r="F37" s="1762"/>
      <c r="G37" s="1762"/>
      <c r="H37" s="1762"/>
    </row>
    <row r="38" spans="1:8">
      <c r="A38" s="184" t="s">
        <v>184</v>
      </c>
      <c r="B38" s="183" t="s">
        <v>1812</v>
      </c>
      <c r="C38" s="183" t="s">
        <v>1813</v>
      </c>
      <c r="D38" s="183" t="s">
        <v>1</v>
      </c>
      <c r="E38" s="183" t="s">
        <v>1814</v>
      </c>
      <c r="F38" s="183" t="s">
        <v>334</v>
      </c>
      <c r="G38" s="183" t="s">
        <v>1815</v>
      </c>
      <c r="H38" s="183" t="s">
        <v>1816</v>
      </c>
    </row>
    <row r="39" spans="1:8" ht="14.5">
      <c r="A39" s="89">
        <v>4</v>
      </c>
      <c r="B39" s="156">
        <v>1</v>
      </c>
      <c r="C39" s="103" t="s">
        <v>1817</v>
      </c>
      <c r="D39" s="156" t="str">
        <f>VLOOKUP($A39,Transporte[],2,FALSE)</f>
        <v>Transporte pasajero Bogotá - Teorama, por trayecto</v>
      </c>
      <c r="E39" s="185">
        <f>VLOOKUP($A39,Transporte[],5,FALSE)</f>
        <v>202500</v>
      </c>
      <c r="F39" s="186">
        <f>COUNTIF(PersonalINT[Categoría],"Obra")</f>
        <v>7</v>
      </c>
      <c r="G39" s="91"/>
      <c r="H39" s="182">
        <f>F39*E39*2</f>
        <v>2835000</v>
      </c>
    </row>
    <row r="40" spans="1:8" ht="14.5">
      <c r="A40" s="89">
        <v>5</v>
      </c>
      <c r="B40" s="156">
        <v>2</v>
      </c>
      <c r="C40" s="103" t="s">
        <v>1818</v>
      </c>
      <c r="D40" s="156" t="str">
        <f>VLOOKUP($A40,Transporte[],2,FALSE)</f>
        <v>Transporte pasajero Teorama - Comunidades, por trayecto</v>
      </c>
      <c r="E40" s="185">
        <f>VLOOKUP($A40,Transporte[],6,FALSE)</f>
        <v>0</v>
      </c>
      <c r="F40" s="284">
        <v>3</v>
      </c>
      <c r="G40" s="194" t="e">
        <f>'TIEMPO EJECUCIÓN'!$B$16</f>
        <v>#REF!</v>
      </c>
      <c r="H40" s="182" t="e">
        <f>G40*F40*E40</f>
        <v>#REF!</v>
      </c>
    </row>
    <row r="41" spans="1:8" ht="13">
      <c r="H41" s="193" t="e">
        <f>SUM(H39:H40)</f>
        <v>#REF!</v>
      </c>
    </row>
    <row r="43" spans="1:8" ht="13">
      <c r="B43" s="1757" t="s">
        <v>1819</v>
      </c>
      <c r="C43" s="1758"/>
      <c r="D43" s="1758"/>
      <c r="E43" s="1758"/>
      <c r="F43" s="1759"/>
      <c r="G43" s="34"/>
      <c r="H43" s="34"/>
    </row>
    <row r="44" spans="1:8" ht="13">
      <c r="B44" s="159" t="s">
        <v>836</v>
      </c>
      <c r="C44" s="159" t="s">
        <v>1</v>
      </c>
      <c r="D44" s="158" t="s">
        <v>837</v>
      </c>
      <c r="E44" s="159" t="s">
        <v>1820</v>
      </c>
      <c r="F44" s="159" t="s">
        <v>674</v>
      </c>
      <c r="G44" s="34"/>
      <c r="H44" s="34"/>
    </row>
    <row r="45" spans="1:8" ht="13.4" customHeight="1">
      <c r="B45" s="64" t="s">
        <v>1032</v>
      </c>
      <c r="C45" s="196" t="s">
        <v>1821</v>
      </c>
      <c r="D45" s="64" t="e">
        <f>'TIEMPO EJECUCIÓN'!$B$19</f>
        <v>#REF!</v>
      </c>
      <c r="E45" s="181">
        <v>750000</v>
      </c>
      <c r="F45" s="65" t="e">
        <f>D45*E45</f>
        <v>#REF!</v>
      </c>
      <c r="G45" s="34"/>
      <c r="H45" s="34"/>
    </row>
    <row r="46" spans="1:8" ht="13.4" customHeight="1">
      <c r="B46" s="64" t="s">
        <v>1034</v>
      </c>
      <c r="C46" s="196" t="s">
        <v>1822</v>
      </c>
      <c r="D46" s="64" t="e">
        <f>'TIEMPO EJECUCIÓN'!$B$19</f>
        <v>#REF!</v>
      </c>
      <c r="E46" s="181">
        <v>500000</v>
      </c>
      <c r="F46" s="65" t="e">
        <f t="shared" ref="F46:F53" si="1">D46*E46</f>
        <v>#REF!</v>
      </c>
      <c r="G46" s="34"/>
      <c r="H46" s="34"/>
    </row>
    <row r="47" spans="1:8" ht="13.4" customHeight="1">
      <c r="B47" s="64" t="s">
        <v>1036</v>
      </c>
      <c r="C47" s="196" t="s">
        <v>1823</v>
      </c>
      <c r="D47" s="64" t="e">
        <f>'TIEMPO EJECUCIÓN'!$B$19</f>
        <v>#REF!</v>
      </c>
      <c r="E47" s="181">
        <v>300000</v>
      </c>
      <c r="F47" s="65" t="e">
        <f t="shared" si="1"/>
        <v>#REF!</v>
      </c>
      <c r="G47" s="34"/>
      <c r="H47" s="34"/>
    </row>
    <row r="48" spans="1:8" ht="13.4" customHeight="1">
      <c r="B48" s="64" t="s">
        <v>1037</v>
      </c>
      <c r="C48" s="196" t="s">
        <v>1824</v>
      </c>
      <c r="D48" s="64" t="e">
        <f>'TIEMPO EJECUCIÓN'!$B$19</f>
        <v>#REF!</v>
      </c>
      <c r="E48" s="181">
        <v>200000</v>
      </c>
      <c r="F48" s="65" t="e">
        <f t="shared" si="1"/>
        <v>#REF!</v>
      </c>
      <c r="G48" s="34"/>
      <c r="H48" s="34"/>
    </row>
    <row r="49" spans="2:8" ht="13.4" customHeight="1">
      <c r="B49" s="64" t="s">
        <v>1038</v>
      </c>
      <c r="C49" s="196" t="s">
        <v>1825</v>
      </c>
      <c r="D49" s="64" t="e">
        <f>'TIEMPO EJECUCIÓN'!$B$19</f>
        <v>#REF!</v>
      </c>
      <c r="E49" s="181">
        <v>200000</v>
      </c>
      <c r="F49" s="65" t="e">
        <f t="shared" si="1"/>
        <v>#REF!</v>
      </c>
      <c r="G49" s="34"/>
      <c r="H49" s="34"/>
    </row>
    <row r="50" spans="2:8" ht="13.4" customHeight="1">
      <c r="B50" s="64" t="s">
        <v>1826</v>
      </c>
      <c r="C50" s="196" t="s">
        <v>1827</v>
      </c>
      <c r="D50" s="64" t="e">
        <f>'TIEMPO EJECUCIÓN'!$B$19</f>
        <v>#REF!</v>
      </c>
      <c r="E50" s="181">
        <v>150000</v>
      </c>
      <c r="F50" s="65" t="e">
        <f t="shared" si="1"/>
        <v>#REF!</v>
      </c>
      <c r="G50" s="34"/>
      <c r="H50" s="34"/>
    </row>
    <row r="51" spans="2:8" ht="13.4" customHeight="1">
      <c r="B51" s="64" t="s">
        <v>1828</v>
      </c>
      <c r="C51" s="196" t="s">
        <v>1829</v>
      </c>
      <c r="D51" s="64" t="e">
        <f>'TIEMPO EJECUCIÓN'!$B$19</f>
        <v>#REF!</v>
      </c>
      <c r="E51" s="181">
        <v>300000</v>
      </c>
      <c r="F51" s="65" t="e">
        <f t="shared" si="1"/>
        <v>#REF!</v>
      </c>
      <c r="G51" s="34"/>
      <c r="H51" s="34"/>
    </row>
    <row r="52" spans="2:8" ht="13.4" customHeight="1">
      <c r="B52" s="64" t="s">
        <v>1830</v>
      </c>
      <c r="C52" s="196" t="s">
        <v>1831</v>
      </c>
      <c r="D52" s="64">
        <v>1.5</v>
      </c>
      <c r="E52" s="181">
        <v>500000</v>
      </c>
      <c r="F52" s="65">
        <f t="shared" si="1"/>
        <v>750000</v>
      </c>
      <c r="G52" s="34"/>
      <c r="H52" s="34"/>
    </row>
    <row r="53" spans="2:8" ht="13.4" customHeight="1">
      <c r="B53" s="64" t="s">
        <v>1832</v>
      </c>
      <c r="C53" s="196" t="s">
        <v>1833</v>
      </c>
      <c r="D53" s="64" t="e">
        <f>'TIEMPO EJECUCIÓN'!$B$19</f>
        <v>#REF!</v>
      </c>
      <c r="E53" s="181">
        <v>200000</v>
      </c>
      <c r="F53" s="65" t="e">
        <f t="shared" si="1"/>
        <v>#REF!</v>
      </c>
      <c r="G53" s="34"/>
      <c r="H53" s="34"/>
    </row>
    <row r="54" spans="2:8" ht="13">
      <c r="F54" s="195" t="e">
        <f>SUM(F45:F53)</f>
        <v>#REF!</v>
      </c>
      <c r="G54" s="34"/>
      <c r="H54" s="34"/>
    </row>
    <row r="55" spans="2:8">
      <c r="F55" s="66"/>
      <c r="G55" s="34"/>
      <c r="H55" s="34"/>
    </row>
    <row r="56" spans="2:8">
      <c r="F56" s="66"/>
      <c r="G56" s="34"/>
      <c r="H56" s="34"/>
    </row>
    <row r="57" spans="2:8" ht="13">
      <c r="B57" s="1757" t="s">
        <v>1834</v>
      </c>
      <c r="C57" s="1758"/>
      <c r="D57" s="1758"/>
      <c r="E57" s="1759"/>
      <c r="F57" s="34"/>
      <c r="G57" s="34"/>
      <c r="H57" s="34"/>
    </row>
    <row r="58" spans="2:8" ht="13">
      <c r="B58" s="159" t="s">
        <v>836</v>
      </c>
      <c r="C58" s="159" t="s">
        <v>1</v>
      </c>
      <c r="D58" s="158" t="s">
        <v>1835</v>
      </c>
      <c r="E58" s="159" t="s">
        <v>840</v>
      </c>
      <c r="F58" s="34"/>
      <c r="G58" s="34"/>
      <c r="H58" s="34"/>
    </row>
    <row r="59" spans="2:8" ht="13">
      <c r="B59" s="154"/>
      <c r="C59" s="155" t="s">
        <v>1836</v>
      </c>
      <c r="D59" s="197"/>
      <c r="E59" s="65"/>
      <c r="F59" s="86"/>
      <c r="G59" s="34"/>
      <c r="H59" s="34"/>
    </row>
    <row r="60" spans="2:8">
      <c r="B60" s="64" t="s">
        <v>1040</v>
      </c>
      <c r="C60" s="198" t="s">
        <v>1837</v>
      </c>
      <c r="D60" s="197" t="e">
        <f>#REF!</f>
        <v>#REF!</v>
      </c>
      <c r="E60" s="65" t="e">
        <f>ROUND(D60*$F$4,0)</f>
        <v>#REF!</v>
      </c>
      <c r="F60" s="86" t="s">
        <v>1838</v>
      </c>
      <c r="G60" s="34"/>
      <c r="H60" s="34"/>
    </row>
    <row r="61" spans="2:8">
      <c r="B61" s="64" t="s">
        <v>1042</v>
      </c>
      <c r="C61" s="198" t="s">
        <v>1839</v>
      </c>
      <c r="D61" s="197" t="e">
        <f>#REF!</f>
        <v>#REF!</v>
      </c>
      <c r="E61" s="65" t="e">
        <f>ROUND(D61*$F$4,0)</f>
        <v>#REF!</v>
      </c>
      <c r="F61" s="86" t="s">
        <v>1838</v>
      </c>
      <c r="G61" s="34"/>
      <c r="H61" s="34"/>
    </row>
    <row r="62" spans="2:8">
      <c r="B62" s="64" t="s">
        <v>1044</v>
      </c>
      <c r="C62" s="198" t="s">
        <v>1840</v>
      </c>
      <c r="D62" s="197" t="e">
        <f>#REF!</f>
        <v>#REF!</v>
      </c>
      <c r="E62" s="65" t="e">
        <f>ROUND(D62*$F$4,0)</f>
        <v>#REF!</v>
      </c>
      <c r="F62" s="86" t="s">
        <v>1838</v>
      </c>
      <c r="G62" s="34"/>
      <c r="H62" s="34"/>
    </row>
    <row r="63" spans="2:8" ht="14.5">
      <c r="B63" s="64" t="s">
        <v>1045</v>
      </c>
      <c r="C63" s="198" t="s">
        <v>1841</v>
      </c>
      <c r="D63" s="85" t="e">
        <f>IF(G2&lt;=2000,0.5%,IF(G2&lt;=6000,1%,2%))</f>
        <v>#REF!</v>
      </c>
      <c r="E63" s="65" t="e">
        <f>ROUND(D63*$F$4,0)</f>
        <v>#REF!</v>
      </c>
      <c r="F63" s="86" t="s">
        <v>1842</v>
      </c>
      <c r="G63" s="34"/>
      <c r="H63" s="34"/>
    </row>
    <row r="64" spans="2:8">
      <c r="B64" s="64" t="s">
        <v>1046</v>
      </c>
      <c r="C64" s="198" t="s">
        <v>1843</v>
      </c>
      <c r="D64" s="197" t="e">
        <f>#REF!</f>
        <v>#REF!</v>
      </c>
      <c r="E64" s="65" t="e">
        <f>ROUND(D64*$F$4,0)</f>
        <v>#REF!</v>
      </c>
      <c r="F64" s="86" t="s">
        <v>1838</v>
      </c>
      <c r="G64" s="34"/>
      <c r="H64" s="34"/>
    </row>
    <row r="65" spans="2:8" ht="13">
      <c r="B65" s="64"/>
      <c r="C65" s="199" t="s">
        <v>1844</v>
      </c>
      <c r="D65" s="197"/>
      <c r="E65" s="65"/>
      <c r="F65" s="86"/>
      <c r="G65" s="34"/>
      <c r="H65" s="34"/>
    </row>
    <row r="66" spans="2:8">
      <c r="B66" s="64" t="s">
        <v>1845</v>
      </c>
      <c r="C66" s="198" t="s">
        <v>1846</v>
      </c>
      <c r="D66" s="197" t="e">
        <f>#REF!</f>
        <v>#REF!</v>
      </c>
      <c r="E66" s="65" t="e">
        <f>ROUND(D66*$F$4,0)</f>
        <v>#REF!</v>
      </c>
      <c r="F66" s="66"/>
      <c r="G66" s="34"/>
      <c r="H66" s="34"/>
    </row>
    <row r="67" spans="2:8">
      <c r="B67" s="64" t="s">
        <v>1847</v>
      </c>
      <c r="C67" s="198" t="s">
        <v>1848</v>
      </c>
      <c r="D67" s="197">
        <v>4.0000000000000001E-3</v>
      </c>
      <c r="E67" s="65" t="e">
        <f>ROUND(D67*$F$4,0)</f>
        <v>#REF!</v>
      </c>
      <c r="F67" s="66"/>
      <c r="G67" s="34"/>
      <c r="H67" s="34"/>
    </row>
    <row r="68" spans="2:8">
      <c r="B68" s="64" t="s">
        <v>1849</v>
      </c>
      <c r="C68" s="198" t="s">
        <v>1850</v>
      </c>
      <c r="D68" s="197" t="e">
        <f>'TASAS POLIZAS'!F19</f>
        <v>#REF!</v>
      </c>
      <c r="E68" s="65" t="e">
        <f>ROUND(D68*$F$4,0)</f>
        <v>#REF!</v>
      </c>
      <c r="F68" s="66"/>
      <c r="G68" s="34"/>
      <c r="H68" s="34"/>
    </row>
    <row r="69" spans="2:8" ht="13">
      <c r="E69" s="195" t="e">
        <f>SUM(E60:E68)</f>
        <v>#REF!</v>
      </c>
      <c r="F69" s="66"/>
      <c r="G69" s="34"/>
    </row>
    <row r="70" spans="2:8">
      <c r="F70" s="34"/>
      <c r="G70" s="34"/>
    </row>
    <row r="71" spans="2:8">
      <c r="F71" s="34"/>
      <c r="G71" s="34"/>
    </row>
    <row r="72" spans="2:8">
      <c r="F72" s="34"/>
      <c r="G72" s="34"/>
    </row>
    <row r="73" spans="2:8">
      <c r="F73" s="34"/>
      <c r="G73" s="34"/>
    </row>
    <row r="74" spans="2:8">
      <c r="F74" s="34"/>
      <c r="G74" s="34"/>
    </row>
    <row r="75" spans="2:8" ht="13">
      <c r="B75" s="254" t="s">
        <v>1851</v>
      </c>
      <c r="C75" s="253" t="s">
        <v>1852</v>
      </c>
      <c r="F75" s="34"/>
      <c r="G75" s="34"/>
    </row>
    <row r="76" spans="2:8">
      <c r="C76" t="s">
        <v>1853</v>
      </c>
      <c r="F76" s="34"/>
      <c r="G76" s="34"/>
    </row>
    <row r="77" spans="2:8">
      <c r="C77" t="s">
        <v>1854</v>
      </c>
      <c r="F77" s="34"/>
      <c r="G77" s="34"/>
    </row>
    <row r="78" spans="2:8">
      <c r="F78" s="34"/>
      <c r="G78" s="34"/>
    </row>
    <row r="79" spans="2:8">
      <c r="F79" s="34"/>
      <c r="G79" s="34"/>
    </row>
  </sheetData>
  <mergeCells count="12">
    <mergeCell ref="F30:F31"/>
    <mergeCell ref="B43:F43"/>
    <mergeCell ref="B57:E57"/>
    <mergeCell ref="B1:D1"/>
    <mergeCell ref="A14:K14"/>
    <mergeCell ref="B30:B31"/>
    <mergeCell ref="C30:C31"/>
    <mergeCell ref="D30:D31"/>
    <mergeCell ref="E30:E31"/>
    <mergeCell ref="G30:H30"/>
    <mergeCell ref="B29:H29"/>
    <mergeCell ref="A37:H37"/>
  </mergeCells>
  <phoneticPr fontId="23" type="noConversion"/>
  <pageMargins left="0.7" right="0.7" top="0.75" bottom="0.75" header="0.3" footer="0.3"/>
  <pageSetup paperSize="9" orientation="portrait" horizontalDpi="1200" verticalDpi="1200" r:id="rId1"/>
  <legacy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24">
    <tabColor theme="8" tint="0.59999389629810485"/>
  </sheetPr>
  <dimension ref="A2:K5"/>
  <sheetViews>
    <sheetView workbookViewId="0"/>
  </sheetViews>
  <sheetFormatPr baseColWidth="10" defaultColWidth="11.453125" defaultRowHeight="12.5"/>
  <cols>
    <col min="2" max="2" width="5.453125" customWidth="1"/>
    <col min="3" max="3" width="30.453125" bestFit="1" customWidth="1"/>
    <col min="4" max="4" width="9.54296875" customWidth="1"/>
    <col min="5" max="5" width="13.453125" bestFit="1" customWidth="1"/>
    <col min="6" max="6" width="13.54296875" bestFit="1" customWidth="1"/>
    <col min="7" max="7" width="18.81640625" bestFit="1" customWidth="1"/>
    <col min="8" max="9" width="18.81640625" customWidth="1"/>
    <col min="10" max="10" width="16.1796875" customWidth="1"/>
    <col min="11" max="11" width="56.453125" bestFit="1" customWidth="1"/>
  </cols>
  <sheetData>
    <row r="2" spans="1:11" ht="13">
      <c r="A2" s="1434" t="s">
        <v>1855</v>
      </c>
      <c r="B2" s="1434"/>
      <c r="C2" s="1434"/>
      <c r="D2" s="1434"/>
      <c r="E2" s="1434"/>
      <c r="F2" s="1434"/>
      <c r="G2" s="1434"/>
      <c r="H2" s="1434"/>
      <c r="I2" s="1434"/>
      <c r="J2" s="1434"/>
    </row>
    <row r="3" spans="1:11" ht="13">
      <c r="A3" s="203" t="s">
        <v>184</v>
      </c>
      <c r="B3" s="203" t="s">
        <v>836</v>
      </c>
      <c r="C3" s="203" t="s">
        <v>404</v>
      </c>
      <c r="D3" s="203" t="s">
        <v>837</v>
      </c>
      <c r="E3" s="203" t="s">
        <v>838</v>
      </c>
      <c r="F3" s="203" t="s">
        <v>839</v>
      </c>
      <c r="G3" s="203" t="s">
        <v>863</v>
      </c>
      <c r="H3" s="203" t="s">
        <v>1794</v>
      </c>
      <c r="I3" s="203" t="s">
        <v>399</v>
      </c>
      <c r="J3" s="203" t="s">
        <v>674</v>
      </c>
    </row>
    <row r="4" spans="1:11" ht="14.5">
      <c r="A4" s="117">
        <v>6</v>
      </c>
      <c r="B4" s="200">
        <v>1</v>
      </c>
      <c r="C4" s="201" t="str">
        <f>VLOOKUP($A4,ManoObra[],2,FALSE)</f>
        <v>Director de Obra</v>
      </c>
      <c r="D4" s="201" t="e">
        <f>'TIEMPO EJECUCIÓN'!$B$18</f>
        <v>#REF!</v>
      </c>
      <c r="E4" s="200">
        <v>1</v>
      </c>
      <c r="F4" s="202">
        <v>1</v>
      </c>
      <c r="G4" s="201">
        <f>FP!$B$28</f>
        <v>1.61</v>
      </c>
      <c r="H4" s="204">
        <f>ROUND(VLOOKUP($A4,ManoObra[],4,FALSE)*1.1,0)</f>
        <v>7035717</v>
      </c>
      <c r="I4" s="205">
        <f>VLOOKUP($A4,ManoObra[],5,FALSE)</f>
        <v>0</v>
      </c>
      <c r="J4" s="205" t="e">
        <f>ROUND(H4*G4*F4*E4*D4+I4,0)</f>
        <v>#REF!</v>
      </c>
      <c r="K4" s="75" t="s">
        <v>1856</v>
      </c>
    </row>
    <row r="5" spans="1:11" ht="13">
      <c r="J5" s="206" t="e">
        <f>J4</f>
        <v>#REF!</v>
      </c>
    </row>
  </sheetData>
  <mergeCells count="1">
    <mergeCell ref="A2:J2"/>
  </mergeCells>
  <hyperlinks>
    <hyperlink ref="K4" r:id="rId1" xr:uid="{00000000-0004-0000-69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25">
    <tabColor theme="8" tint="0.59999389629810485"/>
  </sheetPr>
  <dimension ref="A2:G9"/>
  <sheetViews>
    <sheetView workbookViewId="0"/>
  </sheetViews>
  <sheetFormatPr baseColWidth="10" defaultColWidth="11.453125" defaultRowHeight="12.5"/>
  <cols>
    <col min="1" max="1" width="5.54296875" customWidth="1"/>
    <col min="2" max="2" width="36" bestFit="1" customWidth="1"/>
    <col min="3" max="3" width="7" customWidth="1"/>
    <col min="4" max="4" width="8.54296875" customWidth="1"/>
    <col min="5" max="5" width="12.453125" customWidth="1"/>
    <col min="6" max="6" width="14.54296875" customWidth="1"/>
  </cols>
  <sheetData>
    <row r="2" spans="1:7" ht="13">
      <c r="A2" s="1434" t="s">
        <v>1857</v>
      </c>
      <c r="B2" s="1434"/>
      <c r="C2" s="1434"/>
      <c r="D2" s="1434"/>
      <c r="E2" s="1434"/>
      <c r="F2" s="1434"/>
    </row>
    <row r="3" spans="1:7" ht="13">
      <c r="A3" s="162" t="s">
        <v>836</v>
      </c>
      <c r="B3" s="162" t="s">
        <v>1</v>
      </c>
      <c r="C3" s="162" t="s">
        <v>185</v>
      </c>
      <c r="D3" s="162" t="s">
        <v>334</v>
      </c>
      <c r="E3" s="162" t="s">
        <v>751</v>
      </c>
      <c r="F3" s="162" t="s">
        <v>752</v>
      </c>
      <c r="G3" s="76"/>
    </row>
    <row r="4" spans="1:7" ht="14.5">
      <c r="A4" s="188">
        <v>1</v>
      </c>
      <c r="B4" s="94" t="s">
        <v>1858</v>
      </c>
      <c r="C4" s="77" t="s">
        <v>757</v>
      </c>
      <c r="D4" s="117">
        <v>5</v>
      </c>
      <c r="E4" s="207">
        <f>ROUND(SUPERVISIÓN!H4/30*SUPERVISIÓN!G4,0)</f>
        <v>377583</v>
      </c>
      <c r="F4" s="207">
        <f t="shared" ref="F4:F7" si="0">D4*E4</f>
        <v>1887915</v>
      </c>
      <c r="G4" s="75"/>
    </row>
    <row r="5" spans="1:7" ht="14.5">
      <c r="A5" s="188">
        <v>2</v>
      </c>
      <c r="B5" s="94" t="s">
        <v>1859</v>
      </c>
      <c r="C5" s="77" t="s">
        <v>1860</v>
      </c>
      <c r="D5" s="78">
        <v>1</v>
      </c>
      <c r="E5" s="208">
        <f>TRANSPORTE!E10*2</f>
        <v>0</v>
      </c>
      <c r="F5" s="207">
        <f t="shared" si="0"/>
        <v>0</v>
      </c>
    </row>
    <row r="6" spans="1:7" ht="14.5">
      <c r="A6" s="188">
        <v>3</v>
      </c>
      <c r="B6" s="94" t="s">
        <v>870</v>
      </c>
      <c r="C6" s="77" t="s">
        <v>757</v>
      </c>
      <c r="D6" s="117">
        <f>$D$4</f>
        <v>5</v>
      </c>
      <c r="E6" s="208">
        <v>120000</v>
      </c>
      <c r="F6" s="207">
        <f t="shared" si="0"/>
        <v>600000</v>
      </c>
    </row>
    <row r="7" spans="1:7" ht="14.5">
      <c r="A7" s="188">
        <v>4</v>
      </c>
      <c r="B7" s="94" t="s">
        <v>1861</v>
      </c>
      <c r="C7" s="77" t="s">
        <v>757</v>
      </c>
      <c r="D7" s="117">
        <f>$D$4</f>
        <v>5</v>
      </c>
      <c r="E7" s="208">
        <v>850000</v>
      </c>
      <c r="F7" s="207">
        <f t="shared" si="0"/>
        <v>4250000</v>
      </c>
    </row>
    <row r="8" spans="1:7" ht="13">
      <c r="A8" s="188">
        <v>5</v>
      </c>
      <c r="B8" s="94" t="s">
        <v>1862</v>
      </c>
      <c r="C8" s="77" t="s">
        <v>199</v>
      </c>
      <c r="D8" t="e">
        <f>#REF!*3</f>
        <v>#REF!</v>
      </c>
      <c r="E8" s="207">
        <v>2400</v>
      </c>
      <c r="F8" s="207" t="e">
        <f>D8*E8</f>
        <v>#REF!</v>
      </c>
    </row>
    <row r="9" spans="1:7" ht="13">
      <c r="A9" s="1429" t="s">
        <v>1863</v>
      </c>
      <c r="B9" s="1429"/>
      <c r="C9" s="1429"/>
      <c r="D9" s="1429"/>
      <c r="E9" s="1429"/>
      <c r="F9" s="189" t="e">
        <f>SUM(F4:F8)</f>
        <v>#REF!</v>
      </c>
      <c r="G9" s="255" t="e">
        <f>#REF!</f>
        <v>#REF!</v>
      </c>
    </row>
  </sheetData>
  <mergeCells count="2">
    <mergeCell ref="A2:F2"/>
    <mergeCell ref="A9:E9"/>
  </mergeCells>
  <pageMargins left="0.7" right="0.7" top="0.75" bottom="0.75" header="0.3" footer="0.3"/>
  <pageSetup paperSize="9" orientation="portrait" horizontalDpi="1200" verticalDpi="12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26"/>
  <dimension ref="A1:J9"/>
  <sheetViews>
    <sheetView workbookViewId="0"/>
  </sheetViews>
  <sheetFormatPr baseColWidth="10" defaultColWidth="11.453125" defaultRowHeight="12.5"/>
  <cols>
    <col min="1" max="1" width="5.54296875" customWidth="1"/>
    <col min="2" max="2" width="46.81640625" customWidth="1"/>
    <col min="3" max="3" width="7.54296875" customWidth="1"/>
    <col min="4" max="4" width="8.453125" customWidth="1"/>
    <col min="5" max="5" width="12.54296875" customWidth="1"/>
    <col min="6" max="8" width="16.453125" customWidth="1"/>
    <col min="9" max="9" width="14.81640625" customWidth="1"/>
    <col min="10" max="10" width="14.453125" customWidth="1"/>
  </cols>
  <sheetData>
    <row r="1" spans="1:10" ht="13">
      <c r="H1" s="73">
        <v>0.92</v>
      </c>
      <c r="I1" s="73">
        <v>0.05</v>
      </c>
      <c r="J1" s="73">
        <v>0.03</v>
      </c>
    </row>
    <row r="2" spans="1:10" ht="13">
      <c r="A2" s="67" t="s">
        <v>836</v>
      </c>
      <c r="B2" s="67" t="s">
        <v>1</v>
      </c>
      <c r="C2" s="67" t="s">
        <v>185</v>
      </c>
      <c r="D2" s="67" t="s">
        <v>334</v>
      </c>
      <c r="E2" s="67" t="s">
        <v>751</v>
      </c>
      <c r="F2" s="67" t="s">
        <v>752</v>
      </c>
      <c r="G2" s="68" t="s">
        <v>1864</v>
      </c>
      <c r="H2" s="68" t="s">
        <v>1865</v>
      </c>
      <c r="I2" s="68" t="s">
        <v>1866</v>
      </c>
      <c r="J2" s="68" t="s">
        <v>1867</v>
      </c>
    </row>
    <row r="3" spans="1:10" ht="25">
      <c r="A3" s="54">
        <v>1</v>
      </c>
      <c r="B3" s="59" t="s">
        <v>1868</v>
      </c>
      <c r="C3" s="49" t="s">
        <v>188</v>
      </c>
      <c r="D3" s="54" t="e">
        <f>2*#REF!</f>
        <v>#REF!</v>
      </c>
      <c r="E3" s="50">
        <f>MATERIALES!F30</f>
        <v>7992500</v>
      </c>
      <c r="F3" s="50" t="e">
        <f>D3*E3</f>
        <v>#REF!</v>
      </c>
      <c r="G3" s="50" t="e">
        <f>ROUND(F3*(1+#REF!),0)</f>
        <v>#REF!</v>
      </c>
      <c r="H3" s="50" t="e">
        <f>ROUND(G3*$H$1,0)</f>
        <v>#REF!</v>
      </c>
      <c r="I3" s="50" t="e">
        <f>ROUND(G3*$I$1,0)</f>
        <v>#REF!</v>
      </c>
      <c r="J3" s="50" t="e">
        <f>ROUND(G3*$J$1,0)</f>
        <v>#REF!</v>
      </c>
    </row>
    <row r="4" spans="1:10" ht="37.5">
      <c r="A4" s="54">
        <v>2</v>
      </c>
      <c r="B4" s="59" t="s">
        <v>1869</v>
      </c>
      <c r="C4" s="49" t="s">
        <v>188</v>
      </c>
      <c r="D4" s="69">
        <v>91</v>
      </c>
      <c r="E4" s="50">
        <f>MATERIALES!F6+MATERIALES!F18*2</f>
        <v>21991</v>
      </c>
      <c r="F4" s="50">
        <f t="shared" ref="F4:F6" si="0">D4*E4</f>
        <v>2001181</v>
      </c>
      <c r="G4" s="50" t="e">
        <f>ROUND(F4*(1+#REF!),0)</f>
        <v>#REF!</v>
      </c>
      <c r="H4" s="50" t="e">
        <f>ROUND(G4*$H$1,0)</f>
        <v>#REF!</v>
      </c>
      <c r="I4" s="50" t="e">
        <f>ROUND(G4*$I$1,0)</f>
        <v>#REF!</v>
      </c>
      <c r="J4" s="50" t="e">
        <f>ROUND(G4*$J$1,0)</f>
        <v>#REF!</v>
      </c>
    </row>
    <row r="5" spans="1:10" ht="25">
      <c r="A5" s="54">
        <v>4</v>
      </c>
      <c r="B5" s="59" t="s">
        <v>1870</v>
      </c>
      <c r="C5" s="49" t="s">
        <v>188</v>
      </c>
      <c r="D5" s="69">
        <v>91</v>
      </c>
      <c r="E5" s="50">
        <f>MATERIALES!F33</f>
        <v>122165</v>
      </c>
      <c r="F5" s="50">
        <f t="shared" si="0"/>
        <v>11117015</v>
      </c>
      <c r="G5" s="50" t="e">
        <f>ROUND(F5*(1+#REF!),0)</f>
        <v>#REF!</v>
      </c>
      <c r="H5" s="50" t="e">
        <f t="shared" ref="H5" si="1">ROUND(G5*$H$1,0)</f>
        <v>#REF!</v>
      </c>
      <c r="I5" s="50" t="e">
        <f>ROUND(G5*$I$1,0)</f>
        <v>#REF!</v>
      </c>
      <c r="J5" s="50" t="e">
        <f t="shared" ref="J5" si="2">ROUND(G5*$J$1,0)</f>
        <v>#REF!</v>
      </c>
    </row>
    <row r="6" spans="1:10" ht="25">
      <c r="A6" s="54">
        <v>6</v>
      </c>
      <c r="B6" s="70" t="s">
        <v>1871</v>
      </c>
      <c r="C6" s="49" t="s">
        <v>188</v>
      </c>
      <c r="D6" s="69">
        <v>91</v>
      </c>
      <c r="E6" s="50">
        <f>MATERIALES!F29</f>
        <v>3680</v>
      </c>
      <c r="F6" s="50">
        <f t="shared" si="0"/>
        <v>334880</v>
      </c>
      <c r="G6" s="50" t="e">
        <f>ROUND(F6*(1+#REF!),0)</f>
        <v>#REF!</v>
      </c>
      <c r="H6" s="50" t="e">
        <f>ROUND(G6*$H$1,0)</f>
        <v>#REF!</v>
      </c>
      <c r="I6" s="50" t="e">
        <f t="shared" ref="I6" si="3">ROUND(G6*$I$1,0)</f>
        <v>#REF!</v>
      </c>
      <c r="J6" s="50" t="e">
        <f>ROUND(G6*$J$1,0)</f>
        <v>#REF!</v>
      </c>
    </row>
    <row r="7" spans="1:10" ht="13">
      <c r="A7" s="45"/>
      <c r="B7" s="45"/>
      <c r="E7" s="51" t="s">
        <v>674</v>
      </c>
      <c r="F7" s="71" t="e">
        <f>SUM(F3:F6)</f>
        <v>#REF!</v>
      </c>
      <c r="G7" s="72" t="e">
        <f>SUM(G3:G6)</f>
        <v>#REF!</v>
      </c>
      <c r="H7" s="72" t="e">
        <f>SUM(H3:H6)</f>
        <v>#REF!</v>
      </c>
      <c r="I7" s="72" t="e">
        <f>SUM(I3:I6)</f>
        <v>#REF!</v>
      </c>
      <c r="J7" s="72" t="e">
        <f>SUM(J3:J6)</f>
        <v>#REF!</v>
      </c>
    </row>
    <row r="8" spans="1:10">
      <c r="F8" s="58"/>
      <c r="G8" s="80"/>
      <c r="H8" s="58"/>
    </row>
    <row r="9" spans="1:10">
      <c r="G9" s="80"/>
    </row>
  </sheetData>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BDE8C6F7203E341AACA84CBA57F9D8E" ma:contentTypeVersion="13" ma:contentTypeDescription="Crear nuevo documento." ma:contentTypeScope="" ma:versionID="98663cc8e8b34b0e0f5a2c57d55bdc24">
  <xsd:schema xmlns:xsd="http://www.w3.org/2001/XMLSchema" xmlns:xs="http://www.w3.org/2001/XMLSchema" xmlns:p="http://schemas.microsoft.com/office/2006/metadata/properties" xmlns:ns2="5288944f-3dd7-4f5d-b923-944b3e2056d4" xmlns:ns3="0c9c9d45-6cd6-4753-9ec4-7d0d379c32b8" targetNamespace="http://schemas.microsoft.com/office/2006/metadata/properties" ma:root="true" ma:fieldsID="5eabcc42f00de90290c9782552236205" ns2:_="" ns3:_="">
    <xsd:import namespace="5288944f-3dd7-4f5d-b923-944b3e2056d4"/>
    <xsd:import namespace="0c9c9d45-6cd6-4753-9ec4-7d0d379c32b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88944f-3dd7-4f5d-b923-944b3e2056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c9c9d45-6cd6-4753-9ec4-7d0d379c32b8" elementFormDefault="qualified">
    <xsd:import namespace="http://schemas.microsoft.com/office/2006/documentManagement/types"/>
    <xsd:import namespace="http://schemas.microsoft.com/office/infopath/2007/PartnerControls"/>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5FB3D7-7405-4DB9-8B23-AE9537F78AC1}">
  <ds:schemaRefs>
    <ds:schemaRef ds:uri="http://schemas.microsoft.com/sharepoint/v3/contenttype/forms"/>
  </ds:schemaRefs>
</ds:datastoreItem>
</file>

<file path=customXml/itemProps2.xml><?xml version="1.0" encoding="utf-8"?>
<ds:datastoreItem xmlns:ds="http://schemas.openxmlformats.org/officeDocument/2006/customXml" ds:itemID="{A4BDB772-DA9B-4759-ABDA-539CF676D638}">
  <ds:schemaRefs>
    <ds:schemaRef ds:uri="http://www.w3.org/XML/1998/namespace"/>
    <ds:schemaRef ds:uri="http://purl.org/dc/elements/1.1/"/>
    <ds:schemaRef ds:uri="http://schemas.microsoft.com/office/2006/metadata/properties"/>
    <ds:schemaRef ds:uri="http://purl.org/dc/dcmitype/"/>
    <ds:schemaRef ds:uri="5288944f-3dd7-4f5d-b923-944b3e2056d4"/>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0c9c9d45-6cd6-4753-9ec4-7d0d379c32b8"/>
  </ds:schemaRefs>
</ds:datastoreItem>
</file>

<file path=customXml/itemProps3.xml><?xml version="1.0" encoding="utf-8"?>
<ds:datastoreItem xmlns:ds="http://schemas.openxmlformats.org/officeDocument/2006/customXml" ds:itemID="{56584CDE-8864-452F-A614-1F53AA9BFD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88944f-3dd7-4f5d-b923-944b3e2056d4"/>
    <ds:schemaRef ds:uri="0c9c9d45-6cd6-4753-9ec4-7d0d379c32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c9cf10c-59a4-439a-b1e8-a85e06585f10}" enabled="1" method="Privileged" siteId="{a4305987-cf78-4f93-9d64-bf18af65397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95</vt:i4>
      </vt:variant>
      <vt:variant>
        <vt:lpstr>Rangos con nombre</vt:lpstr>
      </vt:variant>
      <vt:variant>
        <vt:i4>91</vt:i4>
      </vt:variant>
    </vt:vector>
  </HeadingPairs>
  <TitlesOfParts>
    <vt:vector size="186" baseType="lpstr">
      <vt:lpstr>HERRAMIENTA CIVIL</vt:lpstr>
      <vt:lpstr>EQUIPO Y HERRAMIENTA</vt:lpstr>
      <vt:lpstr>TRANSPORTE</vt:lpstr>
      <vt:lpstr>Hoja1</vt:lpstr>
      <vt:lpstr>FP</vt:lpstr>
      <vt:lpstr>TASAS POLIZAS</vt:lpstr>
      <vt:lpstr>RENDIMIENTOS</vt:lpstr>
      <vt:lpstr>TIEMPO EJECUCIÓN</vt:lpstr>
      <vt:lpstr>MANO DE OBRA</vt:lpstr>
      <vt:lpstr>ENSAYOS DE LABORATORIO</vt:lpstr>
      <vt:lpstr>AIU Proyecto</vt:lpstr>
      <vt:lpstr>INT. REDES</vt:lpstr>
      <vt:lpstr>Presupuesto Interventoría</vt:lpstr>
      <vt:lpstr>Factor Multiplicador</vt:lpstr>
      <vt:lpstr>USUARIOS</vt:lpstr>
      <vt:lpstr>PMAA</vt:lpstr>
      <vt:lpstr>APU_PGS (2)</vt:lpstr>
      <vt:lpstr>FIDUCIA</vt:lpstr>
      <vt:lpstr>GERENCIA</vt:lpstr>
      <vt:lpstr>equipos</vt:lpstr>
      <vt:lpstr>CRONOGRAMA Y FLUJO (OXI)</vt:lpstr>
      <vt:lpstr>CRONOGRAMA Y FLUJO .</vt:lpstr>
      <vt:lpstr>CADENA DE VALOR</vt:lpstr>
      <vt:lpstr>PRES GENERAL MR(OXI)</vt:lpstr>
      <vt:lpstr>PRES. SISFV 2010 W B200</vt:lpstr>
      <vt:lpstr>PRES MR 5 KW</vt:lpstr>
      <vt:lpstr>PRES MR 10 KW</vt:lpstr>
      <vt:lpstr>PRES MR 15 KW</vt:lpstr>
      <vt:lpstr>PGS</vt:lpstr>
      <vt:lpstr>PMA</vt:lpstr>
      <vt:lpstr>1</vt:lpstr>
      <vt:lpstr>211</vt:lpstr>
      <vt:lpstr>212</vt:lpstr>
      <vt:lpstr>213</vt:lpstr>
      <vt:lpstr>214</vt:lpstr>
      <vt:lpstr>215 (2)</vt:lpstr>
      <vt:lpstr>216</vt:lpstr>
      <vt:lpstr>217</vt:lpstr>
      <vt:lpstr>218</vt:lpstr>
      <vt:lpstr>221</vt:lpstr>
      <vt:lpstr>222</vt:lpstr>
      <vt:lpstr>231</vt:lpstr>
      <vt:lpstr>311 411 511</vt:lpstr>
      <vt:lpstr>312</vt:lpstr>
      <vt:lpstr>313</vt:lpstr>
      <vt:lpstr>314 414 514</vt:lpstr>
      <vt:lpstr>315</vt:lpstr>
      <vt:lpstr>316</vt:lpstr>
      <vt:lpstr>317 417 517</vt:lpstr>
      <vt:lpstr>318</vt:lpstr>
      <vt:lpstr>319</vt:lpstr>
      <vt:lpstr>3110</vt:lpstr>
      <vt:lpstr>3111</vt:lpstr>
      <vt:lpstr>3112 4112 5112</vt:lpstr>
      <vt:lpstr>3113 4113</vt:lpstr>
      <vt:lpstr>321 421 521</vt:lpstr>
      <vt:lpstr>322 422 522</vt:lpstr>
      <vt:lpstr>323 423 523</vt:lpstr>
      <vt:lpstr>324 424 524</vt:lpstr>
      <vt:lpstr>325 425 525</vt:lpstr>
      <vt:lpstr>326 426 526</vt:lpstr>
      <vt:lpstr>327 427 527</vt:lpstr>
      <vt:lpstr>328 428 528</vt:lpstr>
      <vt:lpstr>329 429 529</vt:lpstr>
      <vt:lpstr>3210 4210 5210</vt:lpstr>
      <vt:lpstr>331 431 531</vt:lpstr>
      <vt:lpstr>341 441 541</vt:lpstr>
      <vt:lpstr>352 452 552</vt:lpstr>
      <vt:lpstr>353 453 553</vt:lpstr>
      <vt:lpstr>354 454 554</vt:lpstr>
      <vt:lpstr>356 456 556</vt:lpstr>
      <vt:lpstr>412</vt:lpstr>
      <vt:lpstr>413</vt:lpstr>
      <vt:lpstr>415</vt:lpstr>
      <vt:lpstr>416</vt:lpstr>
      <vt:lpstr>418</vt:lpstr>
      <vt:lpstr>419</vt:lpstr>
      <vt:lpstr>4110</vt:lpstr>
      <vt:lpstr>4111</vt:lpstr>
      <vt:lpstr>512</vt:lpstr>
      <vt:lpstr>513</vt:lpstr>
      <vt:lpstr>515</vt:lpstr>
      <vt:lpstr>516</vt:lpstr>
      <vt:lpstr>518</vt:lpstr>
      <vt:lpstr>519</vt:lpstr>
      <vt:lpstr>5110</vt:lpstr>
      <vt:lpstr>5111</vt:lpstr>
      <vt:lpstr>5113</vt:lpstr>
      <vt:lpstr>61</vt:lpstr>
      <vt:lpstr>MATERIALES</vt:lpstr>
      <vt:lpstr>61000</vt:lpstr>
      <vt:lpstr>INTERVENTORÍA</vt:lpstr>
      <vt:lpstr>SUPERVISIÓN</vt:lpstr>
      <vt:lpstr>CAPACITACIÓN</vt:lpstr>
      <vt:lpstr>IMPORTACIÓN</vt:lpstr>
      <vt:lpstr>'1'!Área_de_impresión</vt:lpstr>
      <vt:lpstr>'211'!Área_de_impresión</vt:lpstr>
      <vt:lpstr>'212'!Área_de_impresión</vt:lpstr>
      <vt:lpstr>'213'!Área_de_impresión</vt:lpstr>
      <vt:lpstr>'214'!Área_de_impresión</vt:lpstr>
      <vt:lpstr>'215 (2)'!Área_de_impresión</vt:lpstr>
      <vt:lpstr>'216'!Área_de_impresión</vt:lpstr>
      <vt:lpstr>'217'!Área_de_impresión</vt:lpstr>
      <vt:lpstr>'218'!Área_de_impresión</vt:lpstr>
      <vt:lpstr>'221'!Área_de_impresión</vt:lpstr>
      <vt:lpstr>'222'!Área_de_impresión</vt:lpstr>
      <vt:lpstr>'231'!Área_de_impresión</vt:lpstr>
      <vt:lpstr>'311 411 511'!Área_de_impresión</vt:lpstr>
      <vt:lpstr>'3110'!Área_de_impresión</vt:lpstr>
      <vt:lpstr>'3111'!Área_de_impresión</vt:lpstr>
      <vt:lpstr>'3112 4112 5112'!Área_de_impresión</vt:lpstr>
      <vt:lpstr>'3113 4113'!Área_de_impresión</vt:lpstr>
      <vt:lpstr>'312'!Área_de_impresión</vt:lpstr>
      <vt:lpstr>'313'!Área_de_impresión</vt:lpstr>
      <vt:lpstr>'314 414 514'!Área_de_impresión</vt:lpstr>
      <vt:lpstr>'315'!Área_de_impresión</vt:lpstr>
      <vt:lpstr>'316'!Área_de_impresión</vt:lpstr>
      <vt:lpstr>'317 417 517'!Área_de_impresión</vt:lpstr>
      <vt:lpstr>'318'!Área_de_impresión</vt:lpstr>
      <vt:lpstr>'319'!Área_de_impresión</vt:lpstr>
      <vt:lpstr>'321 421 521'!Área_de_impresión</vt:lpstr>
      <vt:lpstr>'3210 4210 5210'!Área_de_impresión</vt:lpstr>
      <vt:lpstr>'322 422 522'!Área_de_impresión</vt:lpstr>
      <vt:lpstr>'323 423 523'!Área_de_impresión</vt:lpstr>
      <vt:lpstr>'324 424 524'!Área_de_impresión</vt:lpstr>
      <vt:lpstr>'325 425 525'!Área_de_impresión</vt:lpstr>
      <vt:lpstr>'326 426 526'!Área_de_impresión</vt:lpstr>
      <vt:lpstr>'327 427 527'!Área_de_impresión</vt:lpstr>
      <vt:lpstr>'328 428 528'!Área_de_impresión</vt:lpstr>
      <vt:lpstr>'329 429 529'!Área_de_impresión</vt:lpstr>
      <vt:lpstr>'331 431 531'!Área_de_impresión</vt:lpstr>
      <vt:lpstr>'341 441 541'!Área_de_impresión</vt:lpstr>
      <vt:lpstr>'352 452 552'!Área_de_impresión</vt:lpstr>
      <vt:lpstr>'353 453 553'!Área_de_impresión</vt:lpstr>
      <vt:lpstr>'356 456 556'!Área_de_impresión</vt:lpstr>
      <vt:lpstr>'4110'!Área_de_impresión</vt:lpstr>
      <vt:lpstr>'4111'!Área_de_impresión</vt:lpstr>
      <vt:lpstr>'412'!Área_de_impresión</vt:lpstr>
      <vt:lpstr>'413'!Área_de_impresión</vt:lpstr>
      <vt:lpstr>'415'!Área_de_impresión</vt:lpstr>
      <vt:lpstr>'416'!Área_de_impresión</vt:lpstr>
      <vt:lpstr>'418'!Área_de_impresión</vt:lpstr>
      <vt:lpstr>'419'!Área_de_impresión</vt:lpstr>
      <vt:lpstr>'5110'!Área_de_impresión</vt:lpstr>
      <vt:lpstr>'5111'!Área_de_impresión</vt:lpstr>
      <vt:lpstr>'5113'!Área_de_impresión</vt:lpstr>
      <vt:lpstr>'512'!Área_de_impresión</vt:lpstr>
      <vt:lpstr>'513'!Área_de_impresión</vt:lpstr>
      <vt:lpstr>'515'!Área_de_impresión</vt:lpstr>
      <vt:lpstr>'516'!Área_de_impresión</vt:lpstr>
      <vt:lpstr>'518'!Área_de_impresión</vt:lpstr>
      <vt:lpstr>'519'!Área_de_impresión</vt:lpstr>
      <vt:lpstr>'61'!Área_de_impresión</vt:lpstr>
      <vt:lpstr>'61000'!Área_de_impresión</vt:lpstr>
      <vt:lpstr>'AIU Proyecto'!Área_de_impresión</vt:lpstr>
      <vt:lpstr>'CADENA DE VALOR'!Área_de_impresión</vt:lpstr>
      <vt:lpstr>'CRONOGRAMA Y FLUJO (OXI)'!Área_de_impresión</vt:lpstr>
      <vt:lpstr>'CRONOGRAMA Y FLUJO .'!Área_de_impresión</vt:lpstr>
      <vt:lpstr>'ENSAYOS DE LABORATORIO'!Área_de_impresión</vt:lpstr>
      <vt:lpstr>'Factor Multiplicador'!Área_de_impresión</vt:lpstr>
      <vt:lpstr>FIDUCIA!Área_de_impresión</vt:lpstr>
      <vt:lpstr>GERENCIA!Área_de_impresión</vt:lpstr>
      <vt:lpstr>MATERIALES!Área_de_impresión</vt:lpstr>
      <vt:lpstr>PMA!Área_de_impresión</vt:lpstr>
      <vt:lpstr>'PRES GENERAL MR(OXI)'!Área_de_impresión</vt:lpstr>
      <vt:lpstr>'PRES MR 10 KW'!Área_de_impresión</vt:lpstr>
      <vt:lpstr>'PRES MR 15 KW'!Área_de_impresión</vt:lpstr>
      <vt:lpstr>'PRES MR 5 KW'!Área_de_impresión</vt:lpstr>
      <vt:lpstr>'PRES. SISFV 2010 W B200'!Área_de_impresión</vt:lpstr>
      <vt:lpstr>'Presupuesto Interventoría'!Área_de_impresión</vt:lpstr>
      <vt:lpstr>TRANSPORTE!Área_de_impresión</vt:lpstr>
      <vt:lpstr>'ENSAYOS DE LABORATORIO'!Ensayos</vt:lpstr>
      <vt:lpstr>'Factor Multiplicador'!fma</vt:lpstr>
      <vt:lpstr>'Factor Multiplicador'!fmb</vt:lpstr>
      <vt:lpstr>'Presupuesto Interventoría'!int</vt:lpstr>
      <vt:lpstr>'ENSAYOS DE LABORATORIO'!TiposEnsayos</vt:lpstr>
      <vt:lpstr>'CADENA DE VALOR'!Títulos_a_imprimir</vt:lpstr>
      <vt:lpstr>'CRONOGRAMA Y FLUJO (OXI)'!Títulos_a_imprimir</vt:lpstr>
      <vt:lpstr>'CRONOGRAMA Y FLUJO .'!Títulos_a_imprimir</vt:lpstr>
      <vt:lpstr>MATERIALES!Títulos_a_imprimir</vt:lpstr>
      <vt:lpstr>'PRES GENERAL MR(OXI)'!Títulos_a_imprimir</vt:lpstr>
      <vt:lpstr>'PRES MR 10 KW'!Títulos_a_imprimir</vt:lpstr>
      <vt:lpstr>'PRES MR 15 KW'!Títulos_a_imprimir</vt:lpstr>
      <vt:lpstr>'PRES MR 5 KW'!Títulos_a_imprimir</vt:lpstr>
      <vt:lpstr>'PRES. SISFV 2010 W B200'!Títulos_a_imprimir</vt:lpstr>
      <vt:lpstr>'ENSAYOS DE LABORATORIO'!TotalEns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c:creator>
  <cp:keywords/>
  <dc:description/>
  <cp:lastModifiedBy>Jhonny Elias Ardila Rodriguez</cp:lastModifiedBy>
  <cp:revision/>
  <cp:lastPrinted>2025-12-03T15:39:54Z</cp:lastPrinted>
  <dcterms:created xsi:type="dcterms:W3CDTF">2000-09-28T13:31:29Z</dcterms:created>
  <dcterms:modified xsi:type="dcterms:W3CDTF">2026-02-13T18:18:52Z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0x0101006BDE8C6F7203E341AACA84CBA57F9D8E</vt:lpwstr>
  </property>
</Properties>
</file>