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J:\01. DIRECCION DE NEGOCIOS\NEGOCIOS FIDUCIARIOS\02. NEGOCIOS VIGENTES\125212 P.A. CENIT TEORAMA - OBRAS POR IMPUESTOS\14. Procesos de Selección\Ejecutor\13. Informe requisitos ponderables\"/>
    </mc:Choice>
  </mc:AlternateContent>
  <xr:revisionPtr revIDLastSave="0" documentId="13_ncr:1_{38278524-F2E9-4661-8AEE-63099F7F4068}" xr6:coauthVersionLast="47" xr6:coauthVersionMax="47" xr10:uidLastSave="{00000000-0000-0000-0000-000000000000}"/>
  <bookViews>
    <workbookView xWindow="-110" yWindow="-110" windowWidth="19420" windowHeight="11500" firstSheet="2" activeTab="2" xr2:uid="{E171CA63-B81F-4CA2-9D28-7D5DD64CBB4B}"/>
  </bookViews>
  <sheets>
    <sheet name="RESUMEN GENERAL" sheetId="7" state="hidden" r:id="rId1"/>
    <sheet name="HABILITANTES FINANCIEROS" sheetId="1" state="hidden" r:id="rId2"/>
    <sheet name="PONDERABLES  010-2025" sheetId="8" r:id="rId3"/>
    <sheet name="proponente 1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3" l="1"/>
  <c r="I18" i="8"/>
  <c r="B24" i="3"/>
  <c r="B18" i="3"/>
  <c r="D11" i="3"/>
  <c r="D10" i="3"/>
  <c r="D9" i="3"/>
  <c r="Z21" i="1"/>
  <c r="Z20" i="1"/>
  <c r="Z19" i="1"/>
  <c r="W19" i="1"/>
  <c r="V19" i="1"/>
  <c r="U19" i="1"/>
  <c r="S19" i="1"/>
  <c r="S21" i="1"/>
  <c r="S20" i="1"/>
  <c r="R19" i="1"/>
  <c r="Q19" i="1"/>
  <c r="P21" i="1"/>
  <c r="P20" i="1"/>
  <c r="P19" i="1"/>
  <c r="N21" i="1"/>
  <c r="N20" i="1"/>
  <c r="N19" i="1"/>
  <c r="H14" i="7"/>
  <c r="H13" i="7"/>
  <c r="H12" i="7"/>
  <c r="E7" i="7"/>
  <c r="C13" i="7"/>
  <c r="C14" i="7"/>
  <c r="C12" i="7"/>
  <c r="B13" i="7"/>
  <c r="B14" i="7"/>
  <c r="B12" i="7"/>
  <c r="A13" i="7"/>
  <c r="A14" i="7"/>
  <c r="A12" i="7"/>
  <c r="D14" i="7"/>
  <c r="D13" i="7"/>
  <c r="D12" i="7"/>
  <c r="W20" i="1"/>
  <c r="M20" i="1"/>
  <c r="D13" i="3" l="1"/>
  <c r="B6" i="3" s="1"/>
  <c r="X19" i="1"/>
  <c r="Y21" i="1"/>
  <c r="W21" i="1"/>
  <c r="U21" i="1"/>
  <c r="T21" i="1"/>
  <c r="AA21" i="1" s="1"/>
  <c r="Q21" i="1"/>
  <c r="R21" i="1" s="1"/>
  <c r="O21" i="1"/>
  <c r="M21" i="1"/>
  <c r="Y20" i="1"/>
  <c r="U20" i="1"/>
  <c r="T20" i="1"/>
  <c r="AA20" i="1" s="1"/>
  <c r="Q20" i="1"/>
  <c r="R20" i="1" s="1"/>
  <c r="O20" i="1"/>
  <c r="M19" i="1"/>
  <c r="AE21" i="1"/>
  <c r="AD21" i="1"/>
  <c r="AE20" i="1"/>
  <c r="AE19" i="1"/>
  <c r="AD20" i="1"/>
  <c r="AC21" i="1"/>
  <c r="AC20" i="1"/>
  <c r="AD19" i="1"/>
  <c r="AC19" i="1"/>
  <c r="F12" i="7"/>
  <c r="Y19" i="1"/>
  <c r="AB21" i="1" l="1"/>
  <c r="F14" i="7"/>
  <c r="AB20" i="1"/>
  <c r="F13" i="7"/>
  <c r="AF19" i="1"/>
  <c r="G12" i="7" s="1"/>
  <c r="AB19" i="1"/>
  <c r="AF20" i="1"/>
  <c r="G13" i="7" s="1"/>
  <c r="AF21" i="1"/>
  <c r="G14" i="7" s="1"/>
  <c r="X20" i="1"/>
  <c r="X21" i="1"/>
  <c r="H14" i="1"/>
  <c r="T19" i="1"/>
  <c r="H10" i="1"/>
  <c r="O19" i="1"/>
  <c r="AA19" i="1" l="1"/>
  <c r="V21" i="1"/>
  <c r="V20" i="1"/>
  <c r="E13" i="7" l="1"/>
  <c r="E12" i="7"/>
  <c r="E14" i="7"/>
</calcChain>
</file>

<file path=xl/sharedStrings.xml><?xml version="1.0" encoding="utf-8"?>
<sst xmlns="http://schemas.openxmlformats.org/spreadsheetml/2006/main" count="112" uniqueCount="78">
  <si>
    <t>FIDUCIARIA COLOMBIANA DE COMERCIO EXTERIOR S.A.</t>
  </si>
  <si>
    <t>VALIDACÍÓN HABILITANTES FINANCIEROS OBRAS POR IMPUESTOS</t>
  </si>
  <si>
    <t>CONOVOCATORIA</t>
  </si>
  <si>
    <t>002-2025</t>
  </si>
  <si>
    <t>Presupuesto de la oferta</t>
  </si>
  <si>
    <t>FIDEICOMISO</t>
  </si>
  <si>
    <t>P.A. CENIT PAILITAS - OBRAS POR IMPUESTOS</t>
  </si>
  <si>
    <t>PROPONENTES</t>
  </si>
  <si>
    <t>No.</t>
  </si>
  <si>
    <t>NIT</t>
  </si>
  <si>
    <t>PROPONENTE</t>
  </si>
  <si>
    <t>RESULTADO FINAL DOCUMENTOS (HABILIANTES FINANCIEROS)</t>
  </si>
  <si>
    <t>RESULTADO FINAL INDICADORES FINANCIEROS</t>
  </si>
  <si>
    <t>Experiencia mínima requerida (Indicador habilitante técnico)</t>
  </si>
  <si>
    <t>RESULTADO FINAL PONDERABLES (TÉCNICOS)</t>
  </si>
  <si>
    <t>SOLICITUD SUBSANABLES</t>
  </si>
  <si>
    <t>ENTREGA SUBSANABLES</t>
  </si>
  <si>
    <t>NA</t>
  </si>
  <si>
    <t>Indicadores Financieros</t>
  </si>
  <si>
    <t>P.A. CENIT PAILITAS- OBRAS POR IMPUESTOS</t>
  </si>
  <si>
    <t>Capital Trabajo mínimo</t>
  </si>
  <si>
    <t>Indice Liquidez</t>
  </si>
  <si>
    <t>&gt; ó =</t>
  </si>
  <si>
    <t>Nivel Endeudamiento</t>
  </si>
  <si>
    <t>&lt; ó =</t>
  </si>
  <si>
    <t>Razón de Cobertura</t>
  </si>
  <si>
    <t>DATOS FINANCIEROS POR PROPONENTE</t>
  </si>
  <si>
    <t>Patrimonio Neto mínimo</t>
  </si>
  <si>
    <t>Rentabilidad Patrimonio</t>
  </si>
  <si>
    <t>Rentabilidad Activo</t>
  </si>
  <si>
    <t>% part</t>
  </si>
  <si>
    <t>ACTIVO CORRIENTE</t>
  </si>
  <si>
    <t>PASIVO CORRIENTE</t>
  </si>
  <si>
    <t>ACTIVO TOTAL</t>
  </si>
  <si>
    <t>PASIVO TOTAL</t>
  </si>
  <si>
    <t>UTILIDAD OPERACIONAL</t>
  </si>
  <si>
    <t>GASTOS DE INTERESES</t>
  </si>
  <si>
    <t>PATRIMONIO</t>
  </si>
  <si>
    <t>CAPITAL DE TRABAJO</t>
  </si>
  <si>
    <t>CUMPLE /NO CUMPLE</t>
  </si>
  <si>
    <t>INDICE LIQUIDEZ</t>
  </si>
  <si>
    <t>NIVEL ENDEUDAMIENTO</t>
  </si>
  <si>
    <t>RAZÓN DE COBERTURA DE INTERÉS</t>
  </si>
  <si>
    <t>PATRIMONIO NETO</t>
  </si>
  <si>
    <t>RENTABILIDAD PATRIMONIO</t>
  </si>
  <si>
    <t>RENTABILIDAD ACTIVO</t>
  </si>
  <si>
    <t>RESULTADO TOTAL</t>
  </si>
  <si>
    <t>Experiencia mínima requerida</t>
  </si>
  <si>
    <t>Experiencia adicional</t>
  </si>
  <si>
    <t>Contratación personal en la Zona</t>
  </si>
  <si>
    <t>Promoción a la industria nacional</t>
  </si>
  <si>
    <t>TOTAL PONDERABLE</t>
  </si>
  <si>
    <t>RAFAEL BEJARANO GUALDRÓN / SOLUCIONES EDUCATIVAS</t>
  </si>
  <si>
    <t>s</t>
  </si>
  <si>
    <t>INDUSTRIAS METAL MADERA S.A. INMEMA</t>
  </si>
  <si>
    <t>j</t>
  </si>
  <si>
    <t>COLOMBIANA DE CONSTRUCCIONES</t>
  </si>
  <si>
    <t>||</t>
  </si>
  <si>
    <t>Objeto</t>
  </si>
  <si>
    <t>Valor</t>
  </si>
  <si>
    <t>Contrato 1</t>
  </si>
  <si>
    <t>Contrato 2</t>
  </si>
  <si>
    <t>Contrato 3</t>
  </si>
  <si>
    <t>Acreditación experiencia adicional</t>
  </si>
  <si>
    <t>SÍ</t>
  </si>
  <si>
    <t xml:space="preserve">Certificación  de compromiso de contratación de personal de la  Zona del contrato </t>
  </si>
  <si>
    <t>Porcentaje de bienes y/o servicios nacionales utilizados en la ejecución del contrato</t>
  </si>
  <si>
    <t>010-2025 - P.A. CENIT TEORAMA - EJECUTOR</t>
  </si>
  <si>
    <t>P.A. CENIT TEORAMA - OBRAS POR IMPUESTOS</t>
  </si>
  <si>
    <t>Suministro e Insrtalación de sistemas de energía solar fotovoltaica individuales para familias dispersasas de los pueblos Kankuamo y Wiwa del Municipio de Valledupar</t>
  </si>
  <si>
    <t>Contrato 4</t>
  </si>
  <si>
    <t>Construcción de sistemas de energía solar fotovoltaicos de 900 WP, para las zonas no interconectadas de los Municipios de Puerto Carreño y Cumaribo en el Departamenteo del Vichada</t>
  </si>
  <si>
    <t>Instalación de sistemassolares fotovoltaicos individuales en zonas no interconectadasdel áres rural del municipio de Mesetas, Meta</t>
  </si>
  <si>
    <t>Suministro e Instalación de módulos fotovoltaicos, inversores y elementos de conexionado de un(os) sistema(s) solar (es) fotovoltaico(s) aislados con respaldo de baterías</t>
  </si>
  <si>
    <t>Valor de la oferta</t>
  </si>
  <si>
    <t>PUNTUACIÓN  REQUISTIOS PONDERABLES - JIMMY GUALTEROS ZAPATA</t>
  </si>
  <si>
    <t>JIMMY GUALTEROS ZAPATA</t>
  </si>
  <si>
    <t>NIT /C.C.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</si>
</sst>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color theme="1"/>
      <name val="Segoe UI Semilight"/>
      <family val="2"/>
    </font>
    <font>
      <b/>
      <sz val="10"/>
      <color theme="1"/>
      <name val="Segoe UI Semilight"/>
      <family val="2"/>
    </font>
    <font>
      <sz val="10"/>
      <name val="Segoe UI Semilight"/>
      <family val="2"/>
    </font>
    <font>
      <b/>
      <sz val="10"/>
      <name val="Segoe UI Semilight"/>
      <family val="2"/>
    </font>
    <font>
      <sz val="10"/>
      <color theme="0"/>
      <name val="Segoe UI Semilight"/>
      <family val="2"/>
    </font>
    <font>
      <sz val="11"/>
      <color theme="0"/>
      <name val="Segoe UI Semilight"/>
      <family val="2"/>
    </font>
    <font>
      <sz val="11"/>
      <color theme="1"/>
      <name val="Segoe UI Semilight"/>
      <family val="2"/>
    </font>
    <font>
      <sz val="9"/>
      <color theme="0"/>
      <name val="Segoe UI Semilight"/>
      <family val="2"/>
    </font>
    <font>
      <sz val="9"/>
      <color theme="1"/>
      <name val="Segoe UI Semilight"/>
      <family val="2"/>
    </font>
    <font>
      <b/>
      <sz val="11"/>
      <color theme="1"/>
      <name val="Segoe UI Semi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/>
    <xf numFmtId="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9" fontId="0" fillId="0" borderId="0" xfId="0" applyNumberFormat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 vertical="center" wrapText="1"/>
    </xf>
    <xf numFmtId="164" fontId="0" fillId="0" borderId="0" xfId="1" applyNumberFormat="1" applyFont="1"/>
    <xf numFmtId="4" fontId="2" fillId="0" borderId="0" xfId="0" applyNumberFormat="1" applyFont="1"/>
    <xf numFmtId="0" fontId="0" fillId="0" borderId="1" xfId="0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3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" fontId="0" fillId="0" borderId="1" xfId="0" applyNumberFormat="1" applyBorder="1" applyAlignment="1">
      <alignment horizontal="center"/>
    </xf>
    <xf numFmtId="10" fontId="0" fillId="0" borderId="1" xfId="2" applyNumberFormat="1" applyFont="1" applyBorder="1" applyAlignment="1">
      <alignment horizont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1" xfId="1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4" fontId="7" fillId="0" borderId="0" xfId="0" applyNumberFormat="1" applyFont="1"/>
    <xf numFmtId="4" fontId="6" fillId="0" borderId="0" xfId="0" applyNumberFormat="1" applyFont="1"/>
    <xf numFmtId="0" fontId="6" fillId="0" borderId="0" xfId="0" applyFont="1" applyAlignment="1">
      <alignment horizontal="left"/>
    </xf>
    <xf numFmtId="3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/>
    <xf numFmtId="164" fontId="6" fillId="0" borderId="0" xfId="1" applyNumberFormat="1" applyFont="1"/>
    <xf numFmtId="3" fontId="0" fillId="7" borderId="1" xfId="0" applyNumberFormat="1" applyFill="1" applyBorder="1" applyAlignment="1">
      <alignment horizontal="center"/>
    </xf>
    <xf numFmtId="0" fontId="0" fillId="7" borderId="1" xfId="0" applyFill="1" applyBorder="1"/>
    <xf numFmtId="164" fontId="0" fillId="7" borderId="1" xfId="1" applyNumberFormat="1" applyFont="1" applyFill="1" applyBorder="1"/>
    <xf numFmtId="4" fontId="0" fillId="7" borderId="1" xfId="0" applyNumberFormat="1" applyFill="1" applyBorder="1" applyAlignment="1">
      <alignment horizontal="center"/>
    </xf>
    <xf numFmtId="10" fontId="0" fillId="7" borderId="1" xfId="2" applyNumberFormat="1" applyFont="1" applyFill="1" applyBorder="1" applyAlignment="1">
      <alignment horizontal="center"/>
    </xf>
    <xf numFmtId="4" fontId="0" fillId="8" borderId="1" xfId="2" applyNumberFormat="1" applyFont="1" applyFill="1" applyBorder="1" applyAlignment="1">
      <alignment horizontal="center"/>
    </xf>
    <xf numFmtId="164" fontId="0" fillId="0" borderId="0" xfId="0" applyNumberFormat="1"/>
    <xf numFmtId="4" fontId="0" fillId="7" borderId="1" xfId="2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44" fontId="14" fillId="0" borderId="1" xfId="1" applyFont="1" applyBorder="1" applyAlignment="1">
      <alignment vertical="center"/>
    </xf>
    <xf numFmtId="0" fontId="12" fillId="0" borderId="0" xfId="0" applyFont="1"/>
    <xf numFmtId="0" fontId="15" fillId="0" borderId="0" xfId="0" applyFont="1"/>
    <xf numFmtId="0" fontId="11" fillId="2" borderId="0" xfId="0" applyFont="1" applyFill="1"/>
    <xf numFmtId="4" fontId="11" fillId="2" borderId="0" xfId="0" applyNumberFormat="1" applyFont="1" applyFill="1"/>
    <xf numFmtId="0" fontId="1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center"/>
    </xf>
  </cellXfs>
  <cellStyles count="3">
    <cellStyle name="Moneda" xfId="1" builtinId="4"/>
    <cellStyle name="Normal" xfId="0" builtinId="0"/>
    <cellStyle name="Porcentaje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914400</xdr:colOff>
      <xdr:row>22</xdr:row>
      <xdr:rowOff>123825</xdr:rowOff>
    </xdr:from>
    <xdr:to>
      <xdr:col>19</xdr:col>
      <xdr:colOff>352425</xdr:colOff>
      <xdr:row>48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B541C5-BA9E-65AA-3E85-78800474E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25700" y="4476750"/>
          <a:ext cx="7848600" cy="463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</xdr:row>
      <xdr:rowOff>0</xdr:rowOff>
    </xdr:from>
    <xdr:to>
      <xdr:col>12</xdr:col>
      <xdr:colOff>159046</xdr:colOff>
      <xdr:row>9</xdr:row>
      <xdr:rowOff>482740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A0672-0760-478D-3997-3A7BF1E23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16700" y="571500"/>
          <a:ext cx="5759746" cy="2730640"/>
        </a:xfrm>
        <a:prstGeom prst="rect">
          <a:avLst/>
        </a:prstGeom>
      </xdr:spPr>
    </xdr:pic>
    <xdr:clientData/>
  </xdr:twoCellAnchor>
  <xdr:twoCellAnchor editAs="oneCell">
    <xdr:from>
      <xdr:col>0</xdr:col>
      <xdr:colOff>793750</xdr:colOff>
      <xdr:row>2</xdr:row>
      <xdr:rowOff>101600</xdr:rowOff>
    </xdr:from>
    <xdr:to>
      <xdr:col>3</xdr:col>
      <xdr:colOff>1238519</xdr:colOff>
      <xdr:row>4</xdr:row>
      <xdr:rowOff>120680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891C-DB47-EDB3-1115-099EEA235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3750" y="673100"/>
          <a:ext cx="5226319" cy="590580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18</xdr:row>
      <xdr:rowOff>57150</xdr:rowOff>
    </xdr:from>
    <xdr:to>
      <xdr:col>3</xdr:col>
      <xdr:colOff>1257572</xdr:colOff>
      <xdr:row>20</xdr:row>
      <xdr:rowOff>25420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DB5CCE3-AF9D-402C-ACF2-9EDE13E23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2950" y="5810250"/>
          <a:ext cx="5296172" cy="38737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24</xdr:row>
      <xdr:rowOff>31750</xdr:rowOff>
    </xdr:from>
    <xdr:to>
      <xdr:col>3</xdr:col>
      <xdr:colOff>1276620</xdr:colOff>
      <xdr:row>26</xdr:row>
      <xdr:rowOff>19071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6B8109-B31B-6351-DF9C-48B3C4E66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0100" y="7042150"/>
          <a:ext cx="5258070" cy="40642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5</xdr:col>
      <xdr:colOff>95513</xdr:colOff>
      <xdr:row>31</xdr:row>
      <xdr:rowOff>82587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44F6649-89AA-9949-A989-D875BD012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00200" y="7848600"/>
          <a:ext cx="5112013" cy="711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B62D9-7734-41EE-BF8E-F8D4C666C31C}">
  <dimension ref="A1:AD15"/>
  <sheetViews>
    <sheetView showGridLines="0" workbookViewId="0">
      <selection activeCell="D14" sqref="D14"/>
    </sheetView>
  </sheetViews>
  <sheetFormatPr baseColWidth="10" defaultColWidth="11.453125" defaultRowHeight="16" x14ac:dyDescent="0.45"/>
  <cols>
    <col min="1" max="1" width="4.81640625" style="28" customWidth="1"/>
    <col min="2" max="2" width="17.81640625" style="29" customWidth="1"/>
    <col min="3" max="3" width="57" style="29" customWidth="1"/>
    <col min="4" max="4" width="27.54296875" style="29" customWidth="1"/>
    <col min="5" max="5" width="22.453125" style="29" customWidth="1"/>
    <col min="6" max="6" width="21.453125" style="29" customWidth="1"/>
    <col min="7" max="7" width="22.1796875" style="29" customWidth="1"/>
    <col min="8" max="8" width="20" style="29" customWidth="1"/>
    <col min="9" max="10" width="22.1796875" style="29" customWidth="1"/>
    <col min="11" max="11" width="20.7265625" style="29" customWidth="1"/>
    <col min="12" max="12" width="13.453125" style="28" customWidth="1"/>
    <col min="13" max="13" width="13.453125" style="29" customWidth="1"/>
    <col min="14" max="14" width="13.453125" style="28" customWidth="1"/>
    <col min="15" max="15" width="15.453125" style="28" customWidth="1"/>
    <col min="16" max="16" width="13.453125" style="28" customWidth="1"/>
    <col min="17" max="18" width="13.453125" style="29" customWidth="1"/>
    <col min="19" max="19" width="16.1796875" style="29" bestFit="1" customWidth="1"/>
    <col min="20" max="24" width="13.453125" style="29" customWidth="1"/>
    <col min="25" max="25" width="11.453125" style="29"/>
    <col min="26" max="26" width="24.81640625" style="29" bestFit="1" customWidth="1"/>
    <col min="27" max="27" width="18" style="29" bestFit="1" customWidth="1"/>
    <col min="28" max="28" width="27.54296875" style="29" bestFit="1" customWidth="1"/>
    <col min="29" max="29" width="27.7265625" style="29" bestFit="1" customWidth="1"/>
    <col min="30" max="30" width="20.26953125" style="28" customWidth="1"/>
    <col min="31" max="16384" width="11.453125" style="29"/>
  </cols>
  <sheetData>
    <row r="1" spans="1:30" x14ac:dyDescent="0.45">
      <c r="L1" s="29"/>
      <c r="N1" s="29"/>
      <c r="P1" s="29"/>
    </row>
    <row r="2" spans="1:30" x14ac:dyDescent="0.45">
      <c r="N2" s="29"/>
      <c r="P2" s="29"/>
    </row>
    <row r="3" spans="1:30" x14ac:dyDescent="0.45">
      <c r="B3" s="30" t="s">
        <v>0</v>
      </c>
      <c r="N3" s="29"/>
      <c r="P3" s="29"/>
    </row>
    <row r="4" spans="1:30" x14ac:dyDescent="0.45">
      <c r="B4" s="30" t="s">
        <v>1</v>
      </c>
      <c r="N4" s="29"/>
      <c r="P4" s="29"/>
    </row>
    <row r="5" spans="1:30" x14ac:dyDescent="0.45">
      <c r="D5" s="30"/>
      <c r="N5" s="29"/>
      <c r="P5" s="29"/>
    </row>
    <row r="6" spans="1:30" x14ac:dyDescent="0.45">
      <c r="N6" s="29"/>
      <c r="P6" s="29"/>
    </row>
    <row r="7" spans="1:30" x14ac:dyDescent="0.45">
      <c r="B7" s="30" t="s">
        <v>2</v>
      </c>
      <c r="C7" s="29" t="s">
        <v>3</v>
      </c>
      <c r="D7" s="30" t="s">
        <v>4</v>
      </c>
      <c r="E7" s="31">
        <f>+'HABILITANTES FINANCIEROS'!G7</f>
        <v>1533350182.28</v>
      </c>
      <c r="H7" s="32"/>
      <c r="N7" s="32"/>
      <c r="P7" s="32"/>
    </row>
    <row r="8" spans="1:30" x14ac:dyDescent="0.45">
      <c r="B8" s="30" t="s">
        <v>5</v>
      </c>
      <c r="C8" s="29" t="s">
        <v>6</v>
      </c>
      <c r="N8" s="29"/>
      <c r="P8" s="29"/>
    </row>
    <row r="9" spans="1:30" x14ac:dyDescent="0.45">
      <c r="B9" s="30" t="s">
        <v>7</v>
      </c>
      <c r="C9" s="33">
        <v>3</v>
      </c>
      <c r="N9" s="29"/>
      <c r="P9" s="29"/>
    </row>
    <row r="10" spans="1:30" x14ac:dyDescent="0.45">
      <c r="L10" s="29"/>
      <c r="N10" s="29"/>
      <c r="P10" s="29"/>
    </row>
    <row r="11" spans="1:30" s="38" customFormat="1" ht="66.75" customHeight="1" x14ac:dyDescent="0.35">
      <c r="A11" s="34" t="s">
        <v>8</v>
      </c>
      <c r="B11" s="34" t="s">
        <v>9</v>
      </c>
      <c r="C11" s="35" t="s">
        <v>10</v>
      </c>
      <c r="D11" s="36" t="s">
        <v>11</v>
      </c>
      <c r="E11" s="36" t="s">
        <v>12</v>
      </c>
      <c r="F11" s="37" t="s">
        <v>13</v>
      </c>
      <c r="G11" s="36" t="s">
        <v>14</v>
      </c>
      <c r="H11" s="36" t="s">
        <v>15</v>
      </c>
      <c r="I11" s="36" t="s">
        <v>16</v>
      </c>
    </row>
    <row r="12" spans="1:30" x14ac:dyDescent="0.45">
      <c r="A12" s="39">
        <f>+'HABILITANTES FINANCIEROS'!C19</f>
        <v>1</v>
      </c>
      <c r="B12" s="40">
        <f>+'HABILITANTES FINANCIEROS'!D19</f>
        <v>91488772</v>
      </c>
      <c r="C12" s="41" t="str">
        <f>+'HABILITANTES FINANCIEROS'!E19</f>
        <v>RAFAEL BEJARANO GUALDRÓN / SOLUCIONES EDUCATIVAS</v>
      </c>
      <c r="D12" s="39" t="e">
        <f>+'proponente 1'!#REF!</f>
        <v>#REF!</v>
      </c>
      <c r="E12" s="39" t="str">
        <f>+'HABILITANTES FINANCIEROS'!AA19</f>
        <v>Cumple</v>
      </c>
      <c r="F12" s="39" t="e">
        <f>+#REF!</f>
        <v>#REF!</v>
      </c>
      <c r="G12" s="39" t="e">
        <f>+'HABILITANTES FINANCIEROS'!AF19</f>
        <v>#REF!</v>
      </c>
      <c r="H12" s="39" t="e">
        <f>+'proponente 1'!#REF!</f>
        <v>#REF!</v>
      </c>
      <c r="I12" s="39" t="s">
        <v>17</v>
      </c>
      <c r="L12" s="29"/>
      <c r="N12" s="29"/>
      <c r="O12" s="29"/>
      <c r="P12" s="29"/>
      <c r="AD12" s="29"/>
    </row>
    <row r="13" spans="1:30" x14ac:dyDescent="0.45">
      <c r="A13" s="39">
        <f>+'HABILITANTES FINANCIEROS'!C20</f>
        <v>2</v>
      </c>
      <c r="B13" s="40">
        <f>+'HABILITANTES FINANCIEROS'!D20</f>
        <v>860061577</v>
      </c>
      <c r="C13" s="41" t="str">
        <f>+'HABILITANTES FINANCIEROS'!E20</f>
        <v>INDUSTRIAS METAL MADERA S.A. INMEMA</v>
      </c>
      <c r="D13" s="39" t="e">
        <f>+#REF!</f>
        <v>#REF!</v>
      </c>
      <c r="E13" s="39" t="str">
        <f>+'HABILITANTES FINANCIEROS'!AA20</f>
        <v>Cumple</v>
      </c>
      <c r="F13" s="39" t="e">
        <f>+#REF!</f>
        <v>#REF!</v>
      </c>
      <c r="G13" s="39" t="e">
        <f>+'HABILITANTES FINANCIEROS'!AF20</f>
        <v>#REF!</v>
      </c>
      <c r="H13" s="39" t="e">
        <f>+#REF!</f>
        <v>#REF!</v>
      </c>
      <c r="I13" s="39"/>
      <c r="L13" s="29"/>
      <c r="N13" s="29"/>
      <c r="O13" s="29"/>
      <c r="P13" s="29"/>
      <c r="AD13" s="29"/>
    </row>
    <row r="14" spans="1:30" x14ac:dyDescent="0.45">
      <c r="A14" s="39">
        <f>+'HABILITANTES FINANCIEROS'!C21</f>
        <v>3</v>
      </c>
      <c r="B14" s="40">
        <f>+'HABILITANTES FINANCIEROS'!D21</f>
        <v>901011888</v>
      </c>
      <c r="C14" s="41" t="str">
        <f>+'HABILITANTES FINANCIEROS'!E21</f>
        <v>COLOMBIANA DE CONSTRUCCIONES</v>
      </c>
      <c r="D14" s="39" t="e">
        <f>+#REF!</f>
        <v>#REF!</v>
      </c>
      <c r="E14" s="39" t="str">
        <f>+'HABILITANTES FINANCIEROS'!AA21</f>
        <v>Cumple</v>
      </c>
      <c r="F14" s="39" t="e">
        <f>+#REF!</f>
        <v>#REF!</v>
      </c>
      <c r="G14" s="39" t="e">
        <f>+'HABILITANTES FINANCIEROS'!AF21</f>
        <v>#REF!</v>
      </c>
      <c r="H14" s="39" t="e">
        <f>+#REF!</f>
        <v>#REF!</v>
      </c>
      <c r="I14" s="39" t="s">
        <v>17</v>
      </c>
      <c r="L14" s="29"/>
      <c r="N14" s="29"/>
      <c r="O14" s="29"/>
      <c r="P14" s="29"/>
      <c r="AD14" s="29"/>
    </row>
    <row r="15" spans="1:30" x14ac:dyDescent="0.45">
      <c r="B15" s="42"/>
      <c r="E15" s="43"/>
      <c r="F15" s="43"/>
      <c r="G15" s="43"/>
      <c r="H15" s="43"/>
      <c r="I15" s="43"/>
      <c r="J15" s="43"/>
      <c r="K15" s="43"/>
      <c r="R15" s="28"/>
      <c r="T15" s="28"/>
      <c r="U15" s="28"/>
      <c r="V15" s="28"/>
      <c r="W15" s="28"/>
      <c r="X15" s="28"/>
    </row>
  </sheetData>
  <conditionalFormatting sqref="D11:E11 L15:L1048576 N15:N1048576 P15:P1048576">
    <cfRule type="cellIs" dxfId="21" priority="10" operator="equal">
      <formula>"No cumple"</formula>
    </cfRule>
  </conditionalFormatting>
  <conditionalFormatting sqref="D12:F14">
    <cfRule type="cellIs" dxfId="20" priority="3" operator="equal">
      <formula>"No cumple"</formula>
    </cfRule>
    <cfRule type="cellIs" dxfId="19" priority="4" operator="equal">
      <formula>"cumple"</formula>
    </cfRule>
  </conditionalFormatting>
  <conditionalFormatting sqref="G11:I11">
    <cfRule type="cellIs" dxfId="18" priority="7" operator="equal">
      <formula>"No cumple"</formula>
    </cfRule>
  </conditionalFormatting>
  <conditionalFormatting sqref="H12:H14">
    <cfRule type="cellIs" dxfId="17" priority="1" operator="equal">
      <formula>"no"</formula>
    </cfRule>
    <cfRule type="cellIs" dxfId="16" priority="2" operator="equal">
      <formula>"sí"</formula>
    </cfRule>
  </conditionalFormatting>
  <conditionalFormatting sqref="L15:L57 N15:N57 P15:P57">
    <cfRule type="cellIs" dxfId="15" priority="16" operator="equal">
      <formula>"cumple"</formula>
    </cfRule>
  </conditionalFormatting>
  <conditionalFormatting sqref="R15">
    <cfRule type="cellIs" dxfId="14" priority="11" operator="equal">
      <formula>"No cumple"</formula>
    </cfRule>
    <cfRule type="cellIs" dxfId="13" priority="12" operator="equal">
      <formula>"cumple"</formula>
    </cfRule>
  </conditionalFormatting>
  <conditionalFormatting sqref="T15:X15">
    <cfRule type="cellIs" dxfId="12" priority="8" operator="equal">
      <formula>"No cumple"</formula>
    </cfRule>
    <cfRule type="cellIs" dxfId="11" priority="9" operator="equal">
      <formula>"cumple"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D9187-E3C3-444F-A8DB-712429680A32}">
  <sheetPr>
    <tabColor rgb="FFFFFF00"/>
  </sheetPr>
  <dimension ref="A1:AF127"/>
  <sheetViews>
    <sheetView showGridLines="0" topLeftCell="H22" workbookViewId="0">
      <selection activeCell="J33" sqref="J33"/>
    </sheetView>
  </sheetViews>
  <sheetFormatPr baseColWidth="10" defaultColWidth="11.453125" defaultRowHeight="14.5" x14ac:dyDescent="0.35"/>
  <cols>
    <col min="1" max="1" width="2.7265625" customWidth="1"/>
    <col min="2" max="2" width="5.54296875" style="1" customWidth="1"/>
    <col min="3" max="3" width="4.453125" style="26" bestFit="1" customWidth="1"/>
    <col min="4" max="4" width="16.81640625" customWidth="1"/>
    <col min="5" max="5" width="51.1796875" customWidth="1"/>
    <col min="6" max="6" width="22.453125" customWidth="1"/>
    <col min="7" max="7" width="21.453125" customWidth="1"/>
    <col min="8" max="12" width="22.1796875" customWidth="1"/>
    <col min="13" max="13" width="20.7265625" customWidth="1"/>
    <col min="14" max="14" width="13.453125" style="1" customWidth="1"/>
    <col min="15" max="15" width="13.453125" customWidth="1"/>
    <col min="16" max="16" width="13.453125" style="1" customWidth="1"/>
    <col min="17" max="17" width="16.1796875" style="1" customWidth="1"/>
    <col min="18" max="18" width="13.453125" style="1" customWidth="1"/>
    <col min="19" max="20" width="13.453125" customWidth="1"/>
    <col min="21" max="21" width="17.54296875" customWidth="1"/>
    <col min="22" max="26" width="13.453125" customWidth="1"/>
    <col min="28" max="28" width="24.81640625" bestFit="1" customWidth="1"/>
    <col min="29" max="29" width="18" bestFit="1" customWidth="1"/>
    <col min="30" max="30" width="27.54296875" bestFit="1" customWidth="1"/>
    <col min="31" max="31" width="27.7265625" bestFit="1" customWidth="1"/>
    <col min="32" max="32" width="20.26953125" style="1" customWidth="1"/>
  </cols>
  <sheetData>
    <row r="1" spans="4:18" x14ac:dyDescent="0.35">
      <c r="N1"/>
      <c r="P1"/>
      <c r="R1"/>
    </row>
    <row r="2" spans="4:18" x14ac:dyDescent="0.35">
      <c r="P2"/>
      <c r="R2"/>
    </row>
    <row r="3" spans="4:18" x14ac:dyDescent="0.35">
      <c r="D3" s="3" t="s">
        <v>0</v>
      </c>
      <c r="P3"/>
      <c r="R3"/>
    </row>
    <row r="4" spans="4:18" x14ac:dyDescent="0.35">
      <c r="D4" s="3" t="s">
        <v>1</v>
      </c>
      <c r="P4"/>
      <c r="R4"/>
    </row>
    <row r="5" spans="4:18" x14ac:dyDescent="0.35">
      <c r="F5" s="3" t="s">
        <v>18</v>
      </c>
      <c r="P5"/>
      <c r="R5"/>
    </row>
    <row r="6" spans="4:18" x14ac:dyDescent="0.35">
      <c r="P6"/>
      <c r="R6"/>
    </row>
    <row r="7" spans="4:18" x14ac:dyDescent="0.35">
      <c r="D7" s="3" t="s">
        <v>2</v>
      </c>
      <c r="E7" t="s">
        <v>3</v>
      </c>
      <c r="F7" s="3" t="s">
        <v>4</v>
      </c>
      <c r="G7" s="12">
        <v>1533350182.28</v>
      </c>
      <c r="I7" s="2"/>
      <c r="P7" s="2"/>
      <c r="R7" s="2"/>
    </row>
    <row r="8" spans="4:18" x14ac:dyDescent="0.35">
      <c r="D8" s="3" t="s">
        <v>5</v>
      </c>
      <c r="E8" t="s">
        <v>19</v>
      </c>
      <c r="P8"/>
      <c r="R8"/>
    </row>
    <row r="9" spans="4:18" x14ac:dyDescent="0.35">
      <c r="D9" s="3" t="s">
        <v>7</v>
      </c>
      <c r="E9" s="4">
        <v>3</v>
      </c>
      <c r="P9"/>
      <c r="R9"/>
    </row>
    <row r="10" spans="4:18" x14ac:dyDescent="0.35">
      <c r="F10" t="s">
        <v>20</v>
      </c>
      <c r="G10" s="8">
        <v>0.5</v>
      </c>
      <c r="H10" s="6">
        <f>+G7*G10</f>
        <v>766675091.13999999</v>
      </c>
      <c r="J10" s="50"/>
      <c r="P10"/>
      <c r="R10"/>
    </row>
    <row r="11" spans="4:18" x14ac:dyDescent="0.35">
      <c r="F11" t="s">
        <v>21</v>
      </c>
      <c r="G11" s="1" t="s">
        <v>22</v>
      </c>
      <c r="H11" s="7">
        <v>3</v>
      </c>
      <c r="P11"/>
      <c r="R11"/>
    </row>
    <row r="12" spans="4:18" x14ac:dyDescent="0.35">
      <c r="F12" t="s">
        <v>23</v>
      </c>
      <c r="G12" s="1" t="s">
        <v>24</v>
      </c>
      <c r="H12" s="9">
        <v>0.5</v>
      </c>
      <c r="P12"/>
      <c r="R12"/>
    </row>
    <row r="13" spans="4:18" x14ac:dyDescent="0.35">
      <c r="F13" t="s">
        <v>25</v>
      </c>
      <c r="G13" s="1" t="s">
        <v>22</v>
      </c>
      <c r="H13" s="7">
        <v>3</v>
      </c>
      <c r="I13" s="1"/>
      <c r="P13"/>
      <c r="R13"/>
    </row>
    <row r="14" spans="4:18" x14ac:dyDescent="0.35">
      <c r="D14" s="3" t="s">
        <v>26</v>
      </c>
      <c r="F14" t="s">
        <v>27</v>
      </c>
      <c r="G14" s="8">
        <v>0.5</v>
      </c>
      <c r="H14" s="6">
        <f>+G7*G14</f>
        <v>766675091.13999999</v>
      </c>
      <c r="I14" s="1"/>
      <c r="N14"/>
      <c r="P14"/>
      <c r="R14"/>
    </row>
    <row r="15" spans="4:18" x14ac:dyDescent="0.35">
      <c r="D15" s="3"/>
      <c r="F15" t="s">
        <v>28</v>
      </c>
      <c r="G15" s="1" t="s">
        <v>22</v>
      </c>
      <c r="H15" s="9">
        <v>0.15</v>
      </c>
      <c r="I15" s="1"/>
      <c r="N15"/>
      <c r="P15"/>
      <c r="R15"/>
    </row>
    <row r="16" spans="4:18" x14ac:dyDescent="0.35">
      <c r="D16" s="3"/>
      <c r="F16" t="s">
        <v>29</v>
      </c>
      <c r="G16" s="1" t="s">
        <v>22</v>
      </c>
      <c r="H16" s="9">
        <v>0.15</v>
      </c>
      <c r="I16" s="1"/>
      <c r="N16"/>
      <c r="P16"/>
      <c r="R16"/>
    </row>
    <row r="17" spans="1:32" x14ac:dyDescent="0.35">
      <c r="N17"/>
      <c r="P17"/>
      <c r="R17"/>
    </row>
    <row r="18" spans="1:32" s="10" customFormat="1" ht="43.5" x14ac:dyDescent="0.35">
      <c r="B18" s="14" t="s">
        <v>30</v>
      </c>
      <c r="C18" s="14" t="s">
        <v>8</v>
      </c>
      <c r="D18" s="14" t="s">
        <v>9</v>
      </c>
      <c r="E18" s="15" t="s">
        <v>10</v>
      </c>
      <c r="F18" s="15" t="s">
        <v>31</v>
      </c>
      <c r="G18" s="15" t="s">
        <v>32</v>
      </c>
      <c r="H18" s="15" t="s">
        <v>33</v>
      </c>
      <c r="I18" s="15" t="s">
        <v>34</v>
      </c>
      <c r="J18" s="15" t="s">
        <v>35</v>
      </c>
      <c r="K18" s="15" t="s">
        <v>36</v>
      </c>
      <c r="L18" s="15" t="s">
        <v>37</v>
      </c>
      <c r="M18" s="24" t="s">
        <v>38</v>
      </c>
      <c r="N18" s="16" t="s">
        <v>39</v>
      </c>
      <c r="O18" s="16" t="s">
        <v>40</v>
      </c>
      <c r="P18" s="16" t="s">
        <v>39</v>
      </c>
      <c r="Q18" s="16" t="s">
        <v>41</v>
      </c>
      <c r="R18" s="16" t="s">
        <v>39</v>
      </c>
      <c r="S18" s="16" t="s">
        <v>42</v>
      </c>
      <c r="T18" s="16" t="s">
        <v>39</v>
      </c>
      <c r="U18" s="24" t="s">
        <v>43</v>
      </c>
      <c r="V18" s="16" t="s">
        <v>39</v>
      </c>
      <c r="W18" s="16" t="s">
        <v>44</v>
      </c>
      <c r="X18" s="16" t="s">
        <v>39</v>
      </c>
      <c r="Y18" s="16" t="s">
        <v>45</v>
      </c>
      <c r="Z18" s="16" t="s">
        <v>39</v>
      </c>
      <c r="AA18" s="17" t="s">
        <v>46</v>
      </c>
      <c r="AB18" s="16" t="s">
        <v>47</v>
      </c>
      <c r="AC18" s="16" t="s">
        <v>48</v>
      </c>
      <c r="AD18" s="16" t="s">
        <v>49</v>
      </c>
      <c r="AE18" s="52" t="s">
        <v>50</v>
      </c>
      <c r="AF18" s="17" t="s">
        <v>51</v>
      </c>
    </row>
    <row r="19" spans="1:32" x14ac:dyDescent="0.35">
      <c r="B19" s="18" t="s">
        <v>17</v>
      </c>
      <c r="C19" s="13">
        <v>1</v>
      </c>
      <c r="D19" s="44">
        <v>91488772</v>
      </c>
      <c r="E19" s="45" t="s">
        <v>52</v>
      </c>
      <c r="F19" s="46">
        <v>17781445863</v>
      </c>
      <c r="G19" s="46">
        <v>5801319579</v>
      </c>
      <c r="H19" s="46">
        <v>21780923042</v>
      </c>
      <c r="I19" s="46">
        <v>10565406086</v>
      </c>
      <c r="J19" s="46">
        <v>9527898976</v>
      </c>
      <c r="K19" s="46">
        <v>285169938</v>
      </c>
      <c r="L19" s="46">
        <v>11215516956</v>
      </c>
      <c r="M19" s="46">
        <f>+F19-G19</f>
        <v>11980126284</v>
      </c>
      <c r="N19" s="18" t="str">
        <f>+IF(M19&gt;$H$10,"Cumple","No cumple")</f>
        <v>Cumple</v>
      </c>
      <c r="O19" s="47">
        <f>+F19/G19</f>
        <v>3.0650691831159333</v>
      </c>
      <c r="P19" s="18" t="str">
        <f>+IF(O19&lt;$H$11,"No cumple","Cumple")</f>
        <v>Cumple</v>
      </c>
      <c r="Q19" s="48">
        <f>+I19/H19</f>
        <v>0.48507614051189668</v>
      </c>
      <c r="R19" s="18" t="str">
        <f>+IF(Q19&gt;$H$12,"No cumple","Cumple")</f>
        <v>Cumple</v>
      </c>
      <c r="S19" s="51">
        <f t="shared" ref="S19:S21" si="0">+J19/K19</f>
        <v>33.41130219693774</v>
      </c>
      <c r="T19" s="18" t="str">
        <f>+IF(S19&lt;$H$13,"No cumple","Cumple")</f>
        <v>Cumple</v>
      </c>
      <c r="U19" s="46">
        <f>+H19-I19</f>
        <v>11215516956</v>
      </c>
      <c r="V19" s="18" t="str">
        <f>+IF(U19&lt;$H$14,"No cumple","Cumple")</f>
        <v>Cumple</v>
      </c>
      <c r="W19" s="48">
        <f>+J19/L19</f>
        <v>0.8495282931120558</v>
      </c>
      <c r="X19" s="18" t="str">
        <f>+IF(W19&lt;$H$15,"No cumple","Cumple")</f>
        <v>Cumple</v>
      </c>
      <c r="Y19" s="48">
        <f>+J19/H19</f>
        <v>0.43744238743360048</v>
      </c>
      <c r="Z19" s="18" t="str">
        <f>+IF(Y19&lt;$H$16,"No cumple","Cumple")</f>
        <v>Cumple</v>
      </c>
      <c r="AA19" s="18" t="str">
        <f>+IF(N19="Cumple",IF(P19="Cumple",IF(R19="Cumple",IF(T19="Cumple",IF(V19="Cumple",IF(X19="Cumple",IF(Z19="Cumple","Cumple","No Cumple")))))))</f>
        <v>Cumple</v>
      </c>
      <c r="AB19" s="18" t="e">
        <f>+#REF!</f>
        <v>#REF!</v>
      </c>
      <c r="AC19" s="18" t="e">
        <f>+#REF!</f>
        <v>#REF!</v>
      </c>
      <c r="AD19" s="18" t="e">
        <f>+#REF!</f>
        <v>#REF!</v>
      </c>
      <c r="AE19" s="25" t="e">
        <f>+#REF!</f>
        <v>#REF!</v>
      </c>
      <c r="AF19" s="18" t="e">
        <f t="shared" ref="AF19:AF21" si="1">+SUM(AC19:AE19)</f>
        <v>#REF!</v>
      </c>
    </row>
    <row r="20" spans="1:32" x14ac:dyDescent="0.35">
      <c r="A20" t="s">
        <v>53</v>
      </c>
      <c r="B20" s="18" t="s">
        <v>17</v>
      </c>
      <c r="C20" s="13">
        <v>2</v>
      </c>
      <c r="D20" s="20">
        <v>860061577</v>
      </c>
      <c r="E20" s="19" t="s">
        <v>54</v>
      </c>
      <c r="F20" s="21">
        <v>9030032267</v>
      </c>
      <c r="G20" s="21">
        <v>2599325131</v>
      </c>
      <c r="H20" s="21">
        <v>17935125217</v>
      </c>
      <c r="I20" s="21">
        <v>5283026638</v>
      </c>
      <c r="J20" s="21">
        <v>2746423196</v>
      </c>
      <c r="K20" s="21">
        <v>4870251</v>
      </c>
      <c r="L20" s="21">
        <v>12652098579</v>
      </c>
      <c r="M20" s="27">
        <f>+F20-G20</f>
        <v>6430707136</v>
      </c>
      <c r="N20" s="18" t="str">
        <f t="shared" ref="N20:N21" si="2">+IF(M20&gt;$H$10,"Cumple","No cumple")</f>
        <v>Cumple</v>
      </c>
      <c r="O20" s="22">
        <f t="shared" ref="O20:O21" si="3">+F20/G20</f>
        <v>3.4739910599510146</v>
      </c>
      <c r="P20" s="18" t="str">
        <f t="shared" ref="P20:P21" si="4">+IF(O20&lt;$H$11,"No cumple","Cumple")</f>
        <v>Cumple</v>
      </c>
      <c r="Q20" s="23">
        <f t="shared" ref="Q20:Q21" si="5">+I20/H20</f>
        <v>0.29456313095558578</v>
      </c>
      <c r="R20" s="18" t="str">
        <f t="shared" ref="R20:R21" si="6">+IF(Q20&gt;$H$12,"No cumple","Cumple")</f>
        <v>Cumple</v>
      </c>
      <c r="S20" s="49">
        <f t="shared" si="0"/>
        <v>563.9182038051016</v>
      </c>
      <c r="T20" s="18" t="str">
        <f t="shared" ref="T20:T21" si="7">+IF(S20&lt;$H$13,"No cumple","Cumple")</f>
        <v>Cumple</v>
      </c>
      <c r="U20" s="21">
        <f t="shared" ref="U20:U21" si="8">+H20-I20</f>
        <v>12652098579</v>
      </c>
      <c r="V20" s="18" t="str">
        <f t="shared" ref="V20:V21" si="9">+IF(U20&lt;$H$14,"No cumple","Cumple")</f>
        <v>Cumple</v>
      </c>
      <c r="W20" s="23">
        <f>+J20/L20</f>
        <v>0.2170725416697688</v>
      </c>
      <c r="X20" s="18" t="str">
        <f t="shared" ref="X20:X21" si="10">+IF(W20&lt;$H$15,"No cumple","Cumple")</f>
        <v>Cumple</v>
      </c>
      <c r="Y20" s="23">
        <f t="shared" ref="Y20:Y21" si="11">+J20/H20</f>
        <v>0.15313097415103483</v>
      </c>
      <c r="Z20" s="18" t="str">
        <f t="shared" ref="Z20:Z21" si="12">+IF(Y20&lt;$H$16,"No cumple","Cumple")</f>
        <v>Cumple</v>
      </c>
      <c r="AA20" s="18" t="str">
        <f t="shared" ref="AA20:AA21" si="13">+IF(N20="Cumple",IF(P20="Cumple",IF(R20="Cumple",IF(T20="Cumple",IF(V20="Cumple",IF(X20="Cumple",IF(Z20="Cumple","Cumple","No Cumple")))))))</f>
        <v>Cumple</v>
      </c>
      <c r="AB20" s="18" t="e">
        <f>+#REF!</f>
        <v>#REF!</v>
      </c>
      <c r="AC20" s="18" t="e">
        <f>+#REF!</f>
        <v>#REF!</v>
      </c>
      <c r="AD20" s="18" t="e">
        <f>+#REF!</f>
        <v>#REF!</v>
      </c>
      <c r="AE20" s="25" t="e">
        <f>+#REF!</f>
        <v>#REF!</v>
      </c>
      <c r="AF20" s="18" t="e">
        <f t="shared" si="1"/>
        <v>#REF!</v>
      </c>
    </row>
    <row r="21" spans="1:32" x14ac:dyDescent="0.35">
      <c r="A21" t="s">
        <v>55</v>
      </c>
      <c r="B21" s="18" t="s">
        <v>17</v>
      </c>
      <c r="C21" s="13">
        <v>3</v>
      </c>
      <c r="D21" s="20">
        <v>901011888</v>
      </c>
      <c r="E21" s="19" t="s">
        <v>56</v>
      </c>
      <c r="F21" s="21">
        <v>7968210578</v>
      </c>
      <c r="G21" s="21">
        <v>1901371433</v>
      </c>
      <c r="H21" s="21">
        <v>8752203712</v>
      </c>
      <c r="I21" s="21">
        <v>3141115252</v>
      </c>
      <c r="J21" s="21">
        <v>1742914370</v>
      </c>
      <c r="K21" s="21">
        <v>87006477</v>
      </c>
      <c r="L21" s="21">
        <v>5611088460</v>
      </c>
      <c r="M21" s="21">
        <f t="shared" ref="M21" si="14">+F21-G21</f>
        <v>6066839145</v>
      </c>
      <c r="N21" s="18" t="str">
        <f t="shared" si="2"/>
        <v>Cumple</v>
      </c>
      <c r="O21" s="22">
        <f t="shared" si="3"/>
        <v>4.190770114510288</v>
      </c>
      <c r="P21" s="18" t="str">
        <f t="shared" si="4"/>
        <v>Cumple</v>
      </c>
      <c r="Q21" s="23">
        <f t="shared" si="5"/>
        <v>0.35889421171644686</v>
      </c>
      <c r="R21" s="18" t="str">
        <f t="shared" si="6"/>
        <v>Cumple</v>
      </c>
      <c r="S21" s="49">
        <f t="shared" si="0"/>
        <v>20.032007157352204</v>
      </c>
      <c r="T21" s="18" t="str">
        <f t="shared" si="7"/>
        <v>Cumple</v>
      </c>
      <c r="U21" s="21">
        <f t="shared" si="8"/>
        <v>5611088460</v>
      </c>
      <c r="V21" s="18" t="str">
        <f t="shared" si="9"/>
        <v>Cumple</v>
      </c>
      <c r="W21" s="23">
        <f t="shared" ref="W21" si="15">+J21/L21</f>
        <v>0.31061965649352818</v>
      </c>
      <c r="X21" s="18" t="str">
        <f t="shared" si="10"/>
        <v>Cumple</v>
      </c>
      <c r="Y21" s="23">
        <f t="shared" si="11"/>
        <v>0.19914005973264987</v>
      </c>
      <c r="Z21" s="18" t="str">
        <f t="shared" si="12"/>
        <v>Cumple</v>
      </c>
      <c r="AA21" s="18" t="str">
        <f t="shared" si="13"/>
        <v>Cumple</v>
      </c>
      <c r="AB21" s="18" t="e">
        <f>+#REF!</f>
        <v>#REF!</v>
      </c>
      <c r="AC21" s="18" t="e">
        <f>+#REF!</f>
        <v>#REF!</v>
      </c>
      <c r="AD21" s="18" t="e">
        <f>+#REF!</f>
        <v>#REF!</v>
      </c>
      <c r="AE21" s="25" t="e">
        <f>+#REF!</f>
        <v>#REF!</v>
      </c>
      <c r="AF21" s="18" t="e">
        <f t="shared" si="1"/>
        <v>#REF!</v>
      </c>
    </row>
    <row r="22" spans="1:32" x14ac:dyDescent="0.35">
      <c r="D22" s="5"/>
      <c r="F22" s="11"/>
      <c r="G22" s="11"/>
      <c r="H22" s="11"/>
      <c r="I22" s="11"/>
      <c r="J22" s="11"/>
      <c r="K22" s="11"/>
      <c r="L22" s="11"/>
      <c r="M22" s="11"/>
      <c r="T22" s="1"/>
      <c r="V22" s="1"/>
      <c r="W22" s="1"/>
      <c r="X22" s="1"/>
      <c r="Y22" s="1"/>
      <c r="Z22" s="1"/>
    </row>
    <row r="127" spans="9:9" x14ac:dyDescent="0.35">
      <c r="I127" t="s">
        <v>57</v>
      </c>
    </row>
  </sheetData>
  <conditionalFormatting sqref="I13:I16 T19:T22">
    <cfRule type="cellIs" dxfId="10" priority="15" operator="equal">
      <formula>"No cumple"</formula>
    </cfRule>
    <cfRule type="cellIs" dxfId="9" priority="16" operator="equal">
      <formula>"cumple"</formula>
    </cfRule>
  </conditionalFormatting>
  <conditionalFormatting sqref="M18 N18:N1048576 P18:P1048576 R18:R1048576">
    <cfRule type="cellIs" dxfId="8" priority="12" operator="equal">
      <formula>"No cumple"</formula>
    </cfRule>
  </conditionalFormatting>
  <conditionalFormatting sqref="N19:N64 P19:P64 R19:R64">
    <cfRule type="cellIs" dxfId="7" priority="26" operator="equal">
      <formula>"cumple"</formula>
    </cfRule>
  </conditionalFormatting>
  <conditionalFormatting sqref="S18:AA18">
    <cfRule type="cellIs" dxfId="6" priority="17" operator="equal">
      <formula>"No cumple"</formula>
    </cfRule>
  </conditionalFormatting>
  <conditionalFormatting sqref="V19:Z22">
    <cfRule type="cellIs" dxfId="5" priority="10" operator="equal">
      <formula>"No cumple"</formula>
    </cfRule>
    <cfRule type="cellIs" dxfId="4" priority="11" operator="equal">
      <formula>"cumple"</formula>
    </cfRule>
  </conditionalFormatting>
  <conditionalFormatting sqref="AA19:AB21">
    <cfRule type="cellIs" dxfId="3" priority="1" operator="equal">
      <formula>"No cumple"</formula>
    </cfRule>
    <cfRule type="cellIs" dxfId="2" priority="2" operator="equal">
      <formula>"cumple"</formula>
    </cfRule>
  </conditionalFormatting>
  <conditionalFormatting sqref="AF18">
    <cfRule type="cellIs" dxfId="1" priority="3" operator="equal">
      <formula>"No cumple"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576B2-72B0-46C6-B57A-2BB17370F313}">
  <sheetPr>
    <tabColor rgb="FFFFFF00"/>
  </sheetPr>
  <dimension ref="B3:I19"/>
  <sheetViews>
    <sheetView showGridLines="0" tabSelected="1" workbookViewId="0">
      <selection activeCell="D22" sqref="D22"/>
    </sheetView>
  </sheetViews>
  <sheetFormatPr baseColWidth="10" defaultColWidth="11.453125" defaultRowHeight="14.5" x14ac:dyDescent="0.35"/>
  <cols>
    <col min="1" max="1" width="2.7265625" customWidth="1"/>
    <col min="2" max="2" width="4.453125" style="26" bestFit="1" customWidth="1"/>
    <col min="3" max="3" width="16.81640625" customWidth="1"/>
    <col min="4" max="4" width="55.7265625" bestFit="1" customWidth="1"/>
    <col min="5" max="5" width="18" bestFit="1" customWidth="1"/>
    <col min="6" max="6" width="27.54296875" bestFit="1" customWidth="1"/>
    <col min="7" max="7" width="27.7265625" bestFit="1" customWidth="1"/>
    <col min="8" max="8" width="27.7265625" customWidth="1"/>
    <col min="9" max="9" width="20.26953125" style="1" customWidth="1"/>
  </cols>
  <sheetData>
    <row r="3" spans="2:4" x14ac:dyDescent="0.35">
      <c r="C3" s="3" t="s">
        <v>0</v>
      </c>
    </row>
    <row r="4" spans="2:4" x14ac:dyDescent="0.35">
      <c r="C4" s="3" t="s">
        <v>1</v>
      </c>
    </row>
    <row r="7" spans="2:4" x14ac:dyDescent="0.35">
      <c r="C7" s="3" t="s">
        <v>2</v>
      </c>
      <c r="D7" t="s">
        <v>67</v>
      </c>
    </row>
    <row r="8" spans="2:4" x14ac:dyDescent="0.35">
      <c r="C8" s="3" t="s">
        <v>5</v>
      </c>
      <c r="D8" t="s">
        <v>68</v>
      </c>
    </row>
    <row r="9" spans="2:4" x14ac:dyDescent="0.35">
      <c r="C9" s="3" t="s">
        <v>7</v>
      </c>
      <c r="D9" s="4">
        <v>1</v>
      </c>
    </row>
    <row r="14" spans="2:4" x14ac:dyDescent="0.35">
      <c r="B14" s="65" t="s">
        <v>75</v>
      </c>
      <c r="C14" s="3"/>
    </row>
    <row r="15" spans="2:4" x14ac:dyDescent="0.35">
      <c r="C15" s="3"/>
    </row>
    <row r="17" spans="2:9" s="10" customFormat="1" x14ac:dyDescent="0.35">
      <c r="B17" s="14" t="s">
        <v>8</v>
      </c>
      <c r="C17" s="14" t="s">
        <v>77</v>
      </c>
      <c r="D17" s="15" t="s">
        <v>10</v>
      </c>
      <c r="E17" s="16" t="s">
        <v>48</v>
      </c>
      <c r="F17" s="16" t="s">
        <v>49</v>
      </c>
      <c r="G17" s="52" t="s">
        <v>50</v>
      </c>
      <c r="H17" s="52" t="s">
        <v>74</v>
      </c>
      <c r="I17" s="17" t="s">
        <v>51</v>
      </c>
    </row>
    <row r="18" spans="2:9" x14ac:dyDescent="0.35">
      <c r="B18" s="13">
        <v>1</v>
      </c>
      <c r="C18" s="20">
        <v>86043229</v>
      </c>
      <c r="D18" s="19" t="s">
        <v>76</v>
      </c>
      <c r="E18" s="18">
        <v>60</v>
      </c>
      <c r="F18" s="18">
        <v>20</v>
      </c>
      <c r="G18" s="25">
        <v>10</v>
      </c>
      <c r="H18" s="25">
        <v>10</v>
      </c>
      <c r="I18" s="18">
        <f>+G18+F18+E18+H18</f>
        <v>100</v>
      </c>
    </row>
    <row r="19" spans="2:9" x14ac:dyDescent="0.35">
      <c r="C19" s="5"/>
    </row>
  </sheetData>
  <conditionalFormatting sqref="I17">
    <cfRule type="cellIs" dxfId="0" priority="3" operator="equal">
      <formula>"No cumple"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2BFBD-1C64-4061-81BB-674AB85BB421}">
  <dimension ref="B1:D24"/>
  <sheetViews>
    <sheetView showGridLines="0" workbookViewId="0">
      <selection activeCell="B1" sqref="B1"/>
    </sheetView>
  </sheetViews>
  <sheetFormatPr baseColWidth="10" defaultColWidth="11.453125" defaultRowHeight="16.5" x14ac:dyDescent="0.45"/>
  <cols>
    <col min="1" max="2" width="11.453125" style="57"/>
    <col min="3" max="3" width="45.54296875" style="57" customWidth="1"/>
    <col min="4" max="4" width="19.7265625" style="57" customWidth="1"/>
    <col min="5" max="5" width="6.54296875" style="57" customWidth="1"/>
    <col min="6" max="16384" width="11.453125" style="57"/>
  </cols>
  <sheetData>
    <row r="1" spans="2:4" ht="22.5" customHeight="1" x14ac:dyDescent="0.45">
      <c r="B1" s="58" t="str">
        <f>+'PONDERABLES  010-2025'!B14</f>
        <v>PUNTUACIÓN  REQUISTIOS PONDERABLES - JIMMY GUALTEROS ZAPATA</v>
      </c>
    </row>
    <row r="2" spans="2:4" ht="22.5" customHeight="1" x14ac:dyDescent="0.45">
      <c r="B2" s="58" t="s">
        <v>63</v>
      </c>
    </row>
    <row r="3" spans="2:4" ht="22.5" customHeight="1" x14ac:dyDescent="0.45"/>
    <row r="4" spans="2:4" ht="22.5" customHeight="1" x14ac:dyDescent="0.45"/>
    <row r="5" spans="2:4" ht="22.5" customHeight="1" x14ac:dyDescent="0.45"/>
    <row r="6" spans="2:4" ht="22.5" customHeight="1" x14ac:dyDescent="0.45">
      <c r="B6" s="62">
        <f>60*((0.3*(4/4))+(0.7*(D13/3927626345.73)))</f>
        <v>254.55223331223854</v>
      </c>
      <c r="C6" s="62"/>
      <c r="D6" s="62"/>
    </row>
    <row r="7" spans="2:4" ht="22.5" customHeight="1" x14ac:dyDescent="0.45"/>
    <row r="8" spans="2:4" ht="22.5" customHeight="1" x14ac:dyDescent="0.45">
      <c r="B8" s="53"/>
      <c r="C8" s="53" t="s">
        <v>58</v>
      </c>
      <c r="D8" s="53" t="s">
        <v>59</v>
      </c>
    </row>
    <row r="9" spans="2:4" ht="42" x14ac:dyDescent="0.45">
      <c r="B9" s="54" t="s">
        <v>60</v>
      </c>
      <c r="C9" s="55" t="s">
        <v>69</v>
      </c>
      <c r="D9" s="56">
        <f>23615711843.4*0.25</f>
        <v>5903927960.8500004</v>
      </c>
    </row>
    <row r="10" spans="2:4" ht="42" x14ac:dyDescent="0.45">
      <c r="B10" s="54" t="s">
        <v>61</v>
      </c>
      <c r="C10" s="55" t="s">
        <v>71</v>
      </c>
      <c r="D10" s="56">
        <f>4962535502.9*0.51</f>
        <v>2530893106.4789996</v>
      </c>
    </row>
    <row r="11" spans="2:4" ht="42" x14ac:dyDescent="0.45">
      <c r="B11" s="54" t="s">
        <v>62</v>
      </c>
      <c r="C11" s="55" t="s">
        <v>72</v>
      </c>
      <c r="D11" s="56">
        <f>11336680419*0.7</f>
        <v>7935676293.2999992</v>
      </c>
    </row>
    <row r="12" spans="2:4" ht="42" x14ac:dyDescent="0.45">
      <c r="B12" s="54" t="s">
        <v>70</v>
      </c>
      <c r="C12" s="55" t="s">
        <v>73</v>
      </c>
      <c r="D12" s="56">
        <v>5750664156</v>
      </c>
    </row>
    <row r="13" spans="2:4" x14ac:dyDescent="0.45">
      <c r="B13" s="59"/>
      <c r="C13" s="59"/>
      <c r="D13" s="60">
        <f>+SUM(D9:D12)</f>
        <v>22121161516.628998</v>
      </c>
    </row>
    <row r="14" spans="2:4" ht="22.5" customHeight="1" x14ac:dyDescent="0.45"/>
    <row r="16" spans="2:4" x14ac:dyDescent="0.45">
      <c r="B16" s="59" t="s">
        <v>65</v>
      </c>
      <c r="C16" s="59"/>
      <c r="D16" s="61" t="s">
        <v>64</v>
      </c>
    </row>
    <row r="18" spans="2:4" x14ac:dyDescent="0.45">
      <c r="B18" s="63">
        <f>20*(100%/100%)</f>
        <v>20</v>
      </c>
      <c r="C18" s="63"/>
      <c r="D18" s="63"/>
    </row>
    <row r="22" spans="2:4" x14ac:dyDescent="0.45">
      <c r="B22" s="59" t="s">
        <v>66</v>
      </c>
      <c r="C22" s="59"/>
      <c r="D22" s="61">
        <v>75</v>
      </c>
    </row>
    <row r="24" spans="2:4" x14ac:dyDescent="0.45">
      <c r="B24" s="64">
        <f>10*(1/(1.95-(3731245029/3927626345.73)))</f>
        <v>10.000000001416886</v>
      </c>
      <c r="C24" s="64"/>
      <c r="D24" s="64"/>
    </row>
  </sheetData>
  <mergeCells count="3">
    <mergeCell ref="B18:D18"/>
    <mergeCell ref="B6:D6"/>
    <mergeCell ref="B24:D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 GENERAL</vt:lpstr>
      <vt:lpstr>HABILITANTES FINANCIEROS</vt:lpstr>
      <vt:lpstr>PONDERABLES  010-2025</vt:lpstr>
      <vt:lpstr>proponente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Jhonny Elias Ardila Rodriguez</dc:creator>
  <cp:keywords/>
  <dc:description/>
  <cp:lastModifiedBy>Jhonny Elias Ardila Rodriguez</cp:lastModifiedBy>
  <cp:revision/>
  <dcterms:created xsi:type="dcterms:W3CDTF">2025-09-29T17:51:16Z</dcterms:created>
  <dcterms:modified xsi:type="dcterms:W3CDTF">2026-04-09T19:56:36Z</dcterms:modified>
  <cp:category/>
  <cp:contentStatus/>
</cp:coreProperties>
</file>