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https://fiducoldexsa-my.sharepoint.com/personal/smaldonado_fiducoldex_com_co/Documents/Obras por Impuestos. Compartidas/125249 Pueblo Awa - Interventoría (LP 025)/"/>
    </mc:Choice>
  </mc:AlternateContent>
  <xr:revisionPtr revIDLastSave="983" documentId="8_{DF78ED2D-9D16-4EE7-A6B2-5BA5F1CF34F6}" xr6:coauthVersionLast="47" xr6:coauthVersionMax="47" xr10:uidLastSave="{106C6322-AE34-4267-9F9A-076E220E5E7B}"/>
  <bookViews>
    <workbookView xWindow="-120" yWindow="-120" windowWidth="38640" windowHeight="15720" xr2:uid="{E171CA63-B81F-4CA2-9D28-7D5DD64CBB4B}"/>
  </bookViews>
  <sheets>
    <sheet name="PONDERABLES LP 025-2026" sheetId="7" r:id="rId1"/>
    <sheet name="Media Geométrica con PO" sheetId="17" r:id="rId2"/>
    <sheet name="UT ITERVENTORÍA SS" sheetId="9" r:id="rId3"/>
    <sheet name="INSERGROUP - ISG S.A.S." sheetId="11" r:id="rId4"/>
    <sheet name="SECOB SAS" sheetId="12" r:id="rId5"/>
    <sheet name="PROINGES SAS" sheetId="13"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2" i="11" l="1"/>
  <c r="H17" i="12"/>
  <c r="G17" i="12"/>
  <c r="H42" i="9"/>
  <c r="H34" i="9"/>
  <c r="G34" i="9"/>
  <c r="H25" i="9"/>
  <c r="G25" i="9"/>
  <c r="H17" i="9"/>
  <c r="G17" i="9"/>
  <c r="G9" i="9"/>
  <c r="G8" i="9"/>
  <c r="G7" i="9"/>
  <c r="G42" i="9"/>
  <c r="G42" i="11"/>
  <c r="G34" i="11"/>
  <c r="G25" i="11"/>
  <c r="G17" i="11"/>
  <c r="G34" i="12"/>
  <c r="G42" i="12"/>
  <c r="G25" i="12"/>
  <c r="H25" i="12" s="1"/>
  <c r="G42" i="13"/>
  <c r="G17" i="13"/>
  <c r="G34" i="13"/>
  <c r="G25" i="13"/>
  <c r="F25" i="13"/>
  <c r="E3" i="13"/>
  <c r="E3" i="12"/>
  <c r="E3" i="11"/>
  <c r="E3" i="9"/>
  <c r="F7" i="13"/>
  <c r="G7" i="13" s="1"/>
  <c r="C2" i="17"/>
  <c r="F7" i="12"/>
  <c r="G7" i="12" s="1"/>
  <c r="F7" i="11"/>
  <c r="G7" i="11" s="1"/>
  <c r="F7" i="9"/>
  <c r="C38" i="17"/>
  <c r="C37" i="17"/>
  <c r="C36" i="17"/>
  <c r="C35" i="17"/>
  <c r="C34" i="17"/>
  <c r="C16" i="17"/>
  <c r="C15" i="17"/>
  <c r="C40" i="17" l="1"/>
  <c r="C30" i="17" s="1"/>
  <c r="G18" i="7"/>
  <c r="G17" i="7"/>
  <c r="G16" i="7"/>
  <c r="G15" i="7"/>
  <c r="C41" i="17"/>
  <c r="C19" i="17"/>
  <c r="C23" i="17" l="1"/>
  <c r="C22" i="17"/>
  <c r="C47" i="17"/>
  <c r="H18" i="7" s="1"/>
  <c r="C44" i="17"/>
  <c r="H15" i="7" s="1"/>
  <c r="C46" i="17"/>
  <c r="H17" i="7" s="1"/>
  <c r="C45" i="17"/>
  <c r="H16" i="7"/>
  <c r="I50" i="13"/>
  <c r="I48" i="13"/>
  <c r="F42" i="13"/>
  <c r="F34" i="13"/>
  <c r="F17" i="13"/>
  <c r="F9" i="13"/>
  <c r="G9" i="13" s="1"/>
  <c r="I50" i="12"/>
  <c r="I48" i="12"/>
  <c r="I54" i="12" s="1"/>
  <c r="I17" i="7" s="1"/>
  <c r="F42" i="12"/>
  <c r="F34" i="12"/>
  <c r="F17" i="12"/>
  <c r="F9" i="12"/>
  <c r="G9" i="12" s="1"/>
  <c r="H42" i="12" s="1"/>
  <c r="I50" i="11"/>
  <c r="I48" i="11"/>
  <c r="I54" i="11" s="1"/>
  <c r="I16" i="7" s="1"/>
  <c r="F42" i="11"/>
  <c r="F34" i="11"/>
  <c r="F25" i="11"/>
  <c r="F17" i="11"/>
  <c r="F9" i="11"/>
  <c r="G9" i="11" s="1"/>
  <c r="H25" i="11" s="1"/>
  <c r="I50" i="9"/>
  <c r="I48" i="9"/>
  <c r="F42" i="9"/>
  <c r="F34" i="9"/>
  <c r="F25" i="9"/>
  <c r="F17" i="9"/>
  <c r="F8" i="9"/>
  <c r="H25" i="13" l="1"/>
  <c r="I25" i="13" s="1"/>
  <c r="D18" i="7" s="1"/>
  <c r="H42" i="13"/>
  <c r="I42" i="13" s="1"/>
  <c r="E18" i="7" s="1"/>
  <c r="I54" i="9"/>
  <c r="I15" i="7" s="1"/>
  <c r="I54" i="13"/>
  <c r="I18" i="7" s="1"/>
  <c r="I25" i="11"/>
  <c r="I42" i="11"/>
  <c r="E16" i="7" s="1"/>
  <c r="F8" i="13"/>
  <c r="G8" i="13" s="1"/>
  <c r="I42" i="12"/>
  <c r="F8" i="12"/>
  <c r="G8" i="12" s="1"/>
  <c r="H34" i="12" s="1"/>
  <c r="I34" i="12" s="1"/>
  <c r="F8" i="11"/>
  <c r="G8" i="11" s="1"/>
  <c r="I17" i="9"/>
  <c r="I34" i="9"/>
  <c r="F9" i="9"/>
  <c r="I25" i="9" s="1"/>
  <c r="D15" i="7" s="1"/>
  <c r="H34" i="13" l="1"/>
  <c r="I34" i="13" s="1"/>
  <c r="H17" i="13"/>
  <c r="I17" i="13" s="1"/>
  <c r="H17" i="11"/>
  <c r="I17" i="11" s="1"/>
  <c r="H34" i="11"/>
  <c r="I34" i="11" s="1"/>
  <c r="I44" i="11" s="1"/>
  <c r="D16" i="7"/>
  <c r="F16" i="7" s="1"/>
  <c r="J16" i="7" s="1"/>
  <c r="D17" i="7"/>
  <c r="I17" i="12"/>
  <c r="I42" i="9"/>
  <c r="I44" i="13" l="1"/>
  <c r="F18" i="7"/>
  <c r="J18" i="7" s="1"/>
  <c r="F17" i="7"/>
  <c r="J17" i="7" s="1"/>
  <c r="I44" i="9"/>
  <c r="E15" i="7"/>
  <c r="F15" i="7" s="1"/>
  <c r="J15" i="7" s="1"/>
  <c r="I25" i="12" l="1"/>
  <c r="I44" i="12" s="1"/>
  <c r="F25" i="12" l="1"/>
</calcChain>
</file>

<file path=xl/sharedStrings.xml><?xml version="1.0" encoding="utf-8"?>
<sst xmlns="http://schemas.openxmlformats.org/spreadsheetml/2006/main" count="308" uniqueCount="97">
  <si>
    <t>FIDUCIARIA COLOMBIANA DE COMERCIO EXTERIOR S.A.</t>
  </si>
  <si>
    <t>CONOVOCATORIA</t>
  </si>
  <si>
    <t>FIDEICOMISO</t>
  </si>
  <si>
    <t>NIT</t>
  </si>
  <si>
    <t>PROPONENTE</t>
  </si>
  <si>
    <t>802.023.429-4</t>
  </si>
  <si>
    <t>PROINGES SAS</t>
  </si>
  <si>
    <t>Objeto</t>
  </si>
  <si>
    <t>Valor</t>
  </si>
  <si>
    <t>Acreditación experiencia adicional</t>
  </si>
  <si>
    <t>Contrato 1</t>
  </si>
  <si>
    <t>Contrato 2</t>
  </si>
  <si>
    <t>Contrato 3</t>
  </si>
  <si>
    <t>025-2026</t>
  </si>
  <si>
    <t>P.A. CENIT PUEBLO AWA - OBRAS POR IMPUESTOS</t>
  </si>
  <si>
    <t>-</t>
  </si>
  <si>
    <t>UNIÓN TEMPORAL INTERVENTORÍA SSFV BARBACOAS 2026</t>
  </si>
  <si>
    <t>900.973.970-9</t>
  </si>
  <si>
    <t>INSERGROUP - ISG S.A.S.</t>
  </si>
  <si>
    <t>900.115.339-0</t>
  </si>
  <si>
    <t>SERVICIOS DE CONSULTORIA, OBRAS Y BIENES SAS “SECOB SAS”</t>
  </si>
  <si>
    <t>Contrato 4</t>
  </si>
  <si>
    <t>Contrato 5</t>
  </si>
  <si>
    <t>PRESUPUESTO OFICIAL</t>
  </si>
  <si>
    <t>DIF</t>
  </si>
  <si>
    <t>CUMPLE O NO CUMPLE</t>
  </si>
  <si>
    <t xml:space="preserve">SUBTOTAL CRITERIO A -1 </t>
  </si>
  <si>
    <t xml:space="preserve">SUBTOTAL CRITERIO A -2 </t>
  </si>
  <si>
    <t>CRITERIO B</t>
  </si>
  <si>
    <t xml:space="preserve">SUBTOTAL CRITERIO B -1 </t>
  </si>
  <si>
    <t xml:space="preserve">SUBTOTAL CRITERIO B -2 </t>
  </si>
  <si>
    <t>Prestará el servicio con personal cien por ciento (100%) NACIONAL</t>
  </si>
  <si>
    <t>Prestará el servicio con personal Nacional y Extranjero</t>
  </si>
  <si>
    <t>Prestará el servicio con personal 100% ) EXTRANJERO O NO AREDITE CERTIFICACIÓN</t>
  </si>
  <si>
    <t>ANEXO 12</t>
  </si>
  <si>
    <t>TOTAL PUNTAJE</t>
  </si>
  <si>
    <t>ANEXO 11</t>
  </si>
  <si>
    <t>Máximo 60</t>
  </si>
  <si>
    <t>Máximo 10</t>
  </si>
  <si>
    <t>Cumple</t>
  </si>
  <si>
    <t>PONDERABLES</t>
  </si>
  <si>
    <t>ANEXO TÉCNICO REQUISITOS PONDERABLES</t>
  </si>
  <si>
    <t>PROPONENTES HABILITADOS</t>
  </si>
  <si>
    <t>TRM</t>
  </si>
  <si>
    <t>Media aritmética Alta</t>
  </si>
  <si>
    <t>METODO DE EVALUACIÓN VALOR DE LA OFERTA</t>
  </si>
  <si>
    <t>PRESUPUESTO DE LA INVITACIÓN</t>
  </si>
  <si>
    <t>Valor de la oferta</t>
  </si>
  <si>
    <t>TOTAL PONDERABLE</t>
  </si>
  <si>
    <t>EXPERIENCIA ADICIONAL</t>
  </si>
  <si>
    <t>VALOR DE LA OFERTA</t>
  </si>
  <si>
    <t>Puntaje máximo</t>
  </si>
  <si>
    <t>Media Aritmética</t>
  </si>
  <si>
    <t>Oferta máxima</t>
  </si>
  <si>
    <t>Media aritmética alta</t>
  </si>
  <si>
    <t>Puntaje</t>
  </si>
  <si>
    <t xml:space="preserve">Numero Proponentes </t>
  </si>
  <si>
    <t>Presupuesto</t>
  </si>
  <si>
    <t>Oferta Económica</t>
  </si>
  <si>
    <t>Oferta 1</t>
  </si>
  <si>
    <t>Oferta 2</t>
  </si>
  <si>
    <t>Oferta 3</t>
  </si>
  <si>
    <t>Oferta 4</t>
  </si>
  <si>
    <t>INTERVENTORIA TÉCNICA, ADMINISTRATIVA, FINANCIERA, JURÍDICA Y CONTABLE PARA LAS OBRAS DE SUMINISTRO, TRANSPORTE E INSTALACION E IMPLEMENTACIÓN DE: A. CONSTRUCCIÓN INSTALACIÓN E IMPLEMENTACIÓN DE SOLUCIONES DE ENERGÍA INDIVIDUALES SOSTENIBLES CONSISTENTES EN SISTEMAS SOLARES FOTOVOLTAICOS PARA VIVIENDAS RURALES EN LAS ZONAS NO INTERCONECTADAS DE LAS VEREDAS EL PENEYA, LOMA LARGA, JORDAN, EL PARAISO, ANIMAS ALTAS, EL PORVENIR 1, SANTA FE, ALTA SARDINATA, REMANZOS, MONTERREY, LA GRANJA, AGUAS CLARAS, ANDAQUIES, BARCELONA, VILLANUEVA, RISARALDA, FUNDACIÓN, SANTO DOMINGO, LA SABALETA BAJA, EL CAÑO SANTO DOMINGO, CARACOL, LEJANIAS, ARRALLANTES, ALTO CRISTALES, DOS QUEBRADAS, PAUJILES, LA CEIBA, ARGENTINA, LOS CAUCHOS, LA URIBE, LOBITOS, PORES, SARDINATA Y LIBANO DEL MUNICIPIO DE CARTAGENA DEL CHAIRÁ - CAQUETÁ (947 SOLUCIONES)</t>
  </si>
  <si>
    <t>INTERVENTORÍA TÉCNICA, ADMINISTRATIVA, FINANCIERA, JURÍDICA, AMBIENTAL, PREDIAL, SOCIAL, Y CONTABLE PARA EL CONTRATO DE OBRA PARA LA IMPLEMENTACIÓN DE SISTEMAS FOTOVOLTAICOS EN ZONAS NO INTERCONECTADAS DEL MUNICIPIO DE EL CARMEN DE BOLÍVAR, DEPARTAMENTO DE BOLÍVAR, EN LOS TÉRMINOS DEL OCAD PAZ No 052 DEL 6 DE JULIO DE 2021.</t>
  </si>
  <si>
    <t>INTERVENTORÍA TÉCNICA, ADMINISTRATIVA, FINANCIERA, JURÍDICA, PREDIAL, AMBIENTAL, SOCIAL, Y CONTABLE PARA EL CONTRATO DE OBRA PARA EL SUMINISTRO TRANSPORTE E INSTALACIÓN DE SOLUCIONES INDIVIDUALES SOLARES FOTOVOLTAICAS – SISFV EN LAS COMUNIDADES RURALES Y DISPERSAS DE LA ZNI EN EL MUNICIPIO DE PAILITAS, EN EL DEPARTAMENTO DE CESAR</t>
  </si>
  <si>
    <t>INTERVENTORÍA TÉCNICA, ADMINISTRATIVA, FINANCIERA, JURÍDICA, PREDIAL, AMBIENTAL, SOCIAL, Y CONTABLE PARA CONTRATO DE OBRA PARA EL SUMINISTRO TRANSPORTE E INSTALACIÓN DE SOLUCIONES INDIVIDUALES SOLARES FOTOVOLTAICAS - SISFV EN LAS COMUNIDADES RURALES Y DISPERSAS DE LA ZNI EN EL MUNICIPIO DE MANAURE, EN EL DEPARTAMENTO DE LA GUAJIRA</t>
  </si>
  <si>
    <t>Media Geométrica con Presupuesto Oficial</t>
  </si>
  <si>
    <t>Experiencia Adicional</t>
  </si>
  <si>
    <t>Valor criterio A</t>
  </si>
  <si>
    <t>Valor criterio B</t>
  </si>
  <si>
    <t>Valor Minimo Presupuesto Estimado</t>
  </si>
  <si>
    <t>Valor Máximo Presupuesto Estimado</t>
  </si>
  <si>
    <t>INTERVENTORíA TÉCNICA, AMBIENTAL, ADMINISTRATIVA, FINANCIERA, CONTABLE Y JURíDlCA A LA CONSTRUCCIÓN DE SUBESTACIÓN LLANO LINDO DE 10 MVA A 34.5/13.8 KV Y ALIMENTADOR PRINCIPAL A 34.5 KV EN EL MUNICIPIO DE YOPAL, DEPARTAMENTO DE CASANARE.</t>
  </si>
  <si>
    <t>INTERVENTORIA TECNICA, ADMINISTRATIVA, FINANCIERA. AMBIENTAL, CONTABLE Y JURIDICA DE LA CONSTRUCCION DE REDES ELECTRICAS DE MEDIA Y BAJA TENSION URBANIZACIONES HELICONIAS Y BOSQUES DE SAN MARTIN MUNICIPIO DE YOPAL. DEPARTAMENTO DE CASANARE.</t>
  </si>
  <si>
    <t>REALIZAR LA INTERVENTORÍA TÉCNICA, ADMINISTRATIVA, FINANCIERA, CONTABLE, SOCIAL, AMBIENTAL Y JURÍDICO PARA LOS SIGUIENTE(S) PROYECTO(S): “IMPLEMENTACIÓN DE SOLUCIONES SOLARES FOTOVOLTAICAS PARA USUARIOS EN LA ZONA RURAL DEL MUNICIPIO DEL VALLE DEL GUAMEZ, MUNICIPIO DE SAN MIGUEL, DEL MUNICIPIO DE ORITO DEL DEPARTAMENTO DE PUTUMAYO”</t>
  </si>
  <si>
    <t xml:space="preserve">REALIZAR LA INTERVENTORÍA INTEGRAL A LA CONSTRUCCIÓN DE UNIDADES DE GENERACIÓN FOTOVOLTAICAS DE ENERGÍA ELÉCTRICA, PARA COMUNIDADES EN LA ZONA RURAL DISPERSA DEL MUNICIPIO DE URIBIA EN EL DEPARTAMENTO DE LA GUAJIRA. – GRUPO CENTRO- </t>
  </si>
  <si>
    <t>PRESTAR EL SERVICIO DE INTERVENTORÍA TÉCNICA, LEGAL Y FINANCIERA AL CONTRATO NO. 0049 DE 2022 CUYO OBJETO ES: DISEÑO, CONSTRUCCIÓN E IMPLEMENTACIÓN A TODO COSTO DE SISTEMAS DE GENERACIÓN DE ENERGÍA HÍBRIDA SOLAR FOTOVOLTAICA MEDIANTE EL SUMINISTRO E INSTALACIÓN DE PANELES SOLARES, ESTRUCTURA METÁLICA, GABINETES METÁLICOS ELÉCTRICOS GALVANIZADOS, BATERÍAS ESTACIONARIAS, INVERSORES DE ONDA SENOIDAL, CONTROLADORES DE CARGA, SISTEMA DE PUESTA A TIERRA E INSTALACIONES ELÉCTRICAS INTERNAS Y EXTERNAS, EN INSTALACIONES INSTITUCIONALES PARA LOS DEPARTAMENTOS DE HUILA, CAUCA, TOLIMA Y CAQUETÁ (CRITERIO A)</t>
  </si>
  <si>
    <t>INTERVENTORÍA INTEGRAL AL CONTRATO DE OBRA ELÉCTRICA Y CIVIL NO. 02159 DE SEPTIEMBRE DE 2016 CUYO OBJETO ES: CONSTRUCCIÓN DE LA FASE 1 DEL PROYECTO IMPLEMENTACIÓN DE SISTEMAS DE GENERACIÓN DE ENERGÍA HÍBRIDA SOLAR FOTOVOLTAICA CON CAPACIDAD DE 4,81 kWp POR USUARIO EN LA ZONA RURAL DE MUNICIPIOS DEL CENTRO Y SUR DEL HUILA, INCLUYE SUMINISTRO E INSTALACIÓN DE PANELES SOLARES, ESTRUCTURA METÁLICA, CUARTO DE EQUIPOS E INSTALACIONES ELÉCTRICAS INTERNAS Y EXTERNAS (CRITERIO A)</t>
  </si>
  <si>
    <t>REALIZAR LA INTERVENTORÍA TÉCNICA, ADMINISTRATIVA, FINANCIERA, JURÍDICA, PREDIAL, SOCIAL Y AMBIENTAL PARA EL PROYECTO: IMPLEMENTACIÓN DE SOLUCIONES SOLARES FOTOVOLTAICAS PARA USUARIOS EN LA ZONA RURAL DEL MUNICIPIO DE SAN VICENTE DEL CAGUÁN, CAQUETÁ (CRITERIO B)</t>
  </si>
  <si>
    <t>INTERVENTORÍA ADMINISTRATIVA, TÉCNICA Y FINANCIERA PARA EL PROYECTO DE CONSTRUCCIÓN E INSTALACIÓN DE SISTEMAS DE AUTOGENERACIÓN ELÉCTRICA CON TECNOLOGÍA SOLAR FOTOVOLTAICA EN VIVIENDAS RURALES EN LOS DEPARTAMENTOS DE PUTUMAYO Y HUILA PARA PROYECTOS AGRÍCOLAS DE MEJORAMIENTO TECNOLÓGICO (CRITERIO B)</t>
  </si>
  <si>
    <t>Interventoría técnica, administrativa, financiera, jurídica y contable para las obras de suministro, transporte e instalación de componentes de redes para las siguientes obras: a) interconexión eléctrica al sistema de distribución de 16 corregimientos iniciando desde Sanceno, incluyendo Las Mercedes, Negua llegando Santa Lucia Del Fuerte en el municipio de Quibdó del departamento del Choco. b) interconexión eléctrica al sistema de distribución de 11 centros poblados desde la Sierra hasta Piedra Honda - Bagadó - del municipio de  agadó en el Departamento del Choco.</t>
  </si>
  <si>
    <t>Promoción a la Industria Nacional</t>
  </si>
  <si>
    <t>Presupuesto Oficial</t>
  </si>
  <si>
    <t>umero de veces del PO (NV)</t>
  </si>
  <si>
    <t>Formula1</t>
  </si>
  <si>
    <t>Comprobación</t>
  </si>
  <si>
    <t>INTERVENTORÍA TÉCNICA, ADMINISTRATIVA, FINANCIERA, JURÍDICA, AMBIENTAL, SOCIAL, Y CONTABLE  PARA EL CONTRATO DE OBRA DE SUMINISTRO TRANSPORTE E INSTALACIÓN DE SOLUCIONES ENERGÉTICAS PARA BENEFICIAR A 620 USUARIOS EN 24 LOCALIDADES PERTENECIENTES A LA ESTRELLA FLUVIAL DEL RIO INÍRIDA, UBICADOS EN LAS ZONAS NO INTERCONECTADAS DEL MUNICIPIO DE INÍRIDA EN EL DEPARTAMENTO DEL GUAINÍA</t>
  </si>
  <si>
    <t>REALIZAR INTERVENTORÍA ADMINISTRATIVA, TÉCNICA, FINANCIERA, AMBIENTAL, CONTABLE Y JURÍDICA A LA AMPLIACIÓN DE REDES ELÉCTRICAS DE MEDIA TENSIÓN PARA ANILLO EN 34,5 KV ENTRE S/E CIUDADELA Y S/E LOS HÉROES, DOBLE CIRCUITO 34,5 Y 13,2 KV Y RED DE 13,2 KV EN ALGUNOS SECTORES DEL MUNICIPIO DE YOPAL, CASANARE</t>
  </si>
  <si>
    <t>Interventoría técnica, administrativa, financiera y ambiental para las obras de electrificación rural Vereda Matecaña, Socavón Etapa 2,  normalización de redes eléctricas sector Colegios de los corregimientos de Leña, Martillo y Aguada de Pablo de los Municipios de Candelaria, Ponedera y Sabanalarga, normalización de redes eléctricas en los Barrios Piñique, San Rafael, El 4 de Julio, Las Flores, y El Campo en el Corregimiento de Molineros de Sabanalarga y electrificación en la Urbanización Caracoles de Sabanagrande del Departamento del Atlántico.</t>
  </si>
  <si>
    <t>Interventoría técnica, administrativa, financiera, jurídica y contable para las obras de suministro, transporte e instalación e implementación de la construcción instalación e implementación de soluciones de energía individuales sostenibles consistentes en sistemas solares fotovoltaicos para viviendas rurales en las zonas no interconectadas de las veredas El Peneya, Loma Larga, Jordan, El Paraíso, Animas Altas, El Porvenir 1, Santa Fe, Alta Sardinata, Remanzos, Monterrey, La Granja, Aguas Claras, Andaquies, Barcelona, Villanueva, Risaralda, Fundación, Santo Domingo, La Sabaleta Baja, El caño Santo Domingo, Caracol, Lejanias, Arrallantes, Alto Cristales, Dos Quebradas, Paujiles, La Ceiba, Argentina, Los Cauchos, La Uribe, Lobites, Pores, Sardinata y Libano del Municipio de Cartagena del Chairá - Caquetá (947 Soluciones).</t>
  </si>
  <si>
    <t>Interventoría técnica, administrativa, financiera y ambiental al contrato de obra cuyo objeto es: "Construcción de sistemas de energía solar fotovoltaica en la zona rural de Saravena, Arauca".</t>
  </si>
  <si>
    <t>Interventoría técnica, administrativa, financiera, jurídica, ambiental, social, y contable para la implementación de un sistema de generación de energía eléctrica a nivel residencial en los hogares priorizados a través del uso de fuentes renovables (fotovoltaica) por 250 familias ubicadas en las veredas El Trigo, Marimonda, Conejo, San Agustín, Puerto López, Quebrachal, Sabana del  Medio, El Toco, Las Iguana, Mediadia, La illa, El Chorro, El Puy, Hatico Viejo, Jabuey, El Confuso, La  Bendiciones, Las Colonias, Los Altos y El Resguardo Indígena Mayamangloma integrado por las cuatro comunidades: Mayavita,  Bangañita, La Gloria y La Loma, estas veredas se encuentran ubicadas en el área rural del municipio de Fonseca - Guajira.</t>
  </si>
  <si>
    <t>EN SMMLV</t>
  </si>
  <si>
    <t>SMMLV</t>
  </si>
  <si>
    <t>368.13</t>
  </si>
  <si>
    <t>249.40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</si>
</sst>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quot;$&quot;\ * #,##0.00_-;_-&quot;$&quot;\ * &quot;-&quot;??_-;_-@_-"/>
    <numFmt numFmtId="43" formatCode="_-* #,##0.00_-;\-* #,##0.00_-;_-* &quot;-&quot;??_-;_-@_-"/>
    <numFmt numFmtId="164" formatCode="_-* #,##0\ &quot;€&quot;_-;\-* #,##0\ &quot;€&quot;_-;_-* &quot;-&quot;\ &quot;€&quot;_-;_-@_-"/>
    <numFmt numFmtId="165" formatCode="_-* #,##0.00\ &quot;€&quot;_-;\-* #,##0.00\ &quot;€&quot;_-;_-* &quot;-&quot;??\ &quot;€&quot;_-;_-@_-"/>
    <numFmt numFmtId="166" formatCode="_-* #,##0\ _€_-;\-* #,##0\ _€_-;_-* &quot;-&quot;\ _€_-;_-@_-"/>
    <numFmt numFmtId="167" formatCode="#,##0.0000"/>
    <numFmt numFmtId="168" formatCode="_-[$$-240A]* #,##0_-;\-[$$-240A]* #,##0_-;_-[$$-240A]* &quot;-&quot;??_-;_-@_-"/>
  </numFmts>
  <fonts count="12" x14ac:knownFonts="1">
    <font>
      <sz val="11"/>
      <color theme="1"/>
      <name val="Aptos Narrow"/>
      <family val="2"/>
      <scheme val="minor"/>
    </font>
    <font>
      <sz val="11"/>
      <color theme="1"/>
      <name val="Aptos Narrow"/>
      <family val="2"/>
      <scheme val="minor"/>
    </font>
    <font>
      <sz val="10"/>
      <name val="Arial"/>
      <family val="2"/>
    </font>
    <font>
      <b/>
      <sz val="9"/>
      <color rgb="FF000000"/>
      <name val="Segoe UI Semilight"/>
      <family val="2"/>
    </font>
    <font>
      <sz val="9"/>
      <color rgb="FF000000"/>
      <name val="Segoe UI Semilight"/>
      <family val="2"/>
    </font>
    <font>
      <sz val="9"/>
      <color theme="1"/>
      <name val="Segoe UI Semilight"/>
      <family val="2"/>
    </font>
    <font>
      <b/>
      <sz val="9"/>
      <color theme="1"/>
      <name val="Segoe UI Semilight"/>
      <family val="2"/>
    </font>
    <font>
      <b/>
      <sz val="9"/>
      <name val="Segoe UI Semilight"/>
      <family val="2"/>
    </font>
    <font>
      <b/>
      <sz val="9"/>
      <color theme="0"/>
      <name val="Segoe UI Semilight"/>
      <family val="2"/>
    </font>
    <font>
      <sz val="9"/>
      <color rgb="FFFF0000"/>
      <name val="Segoe UI Semilight"/>
      <family val="2"/>
    </font>
    <font>
      <sz val="9"/>
      <color theme="0"/>
      <name val="Segoe UI Semilight"/>
      <family val="2"/>
    </font>
    <font>
      <sz val="9"/>
      <name val="Segoe UI Semilight"/>
      <family val="2"/>
    </font>
  </fonts>
  <fills count="13">
    <fill>
      <patternFill patternType="none"/>
    </fill>
    <fill>
      <patternFill patternType="gray125"/>
    </fill>
    <fill>
      <patternFill patternType="solid">
        <fgColor theme="4" tint="-0.249977111117893"/>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theme="3" tint="0.499984740745262"/>
        <bgColor indexed="64"/>
      </patternFill>
    </fill>
    <fill>
      <patternFill patternType="solid">
        <fgColor theme="4" tint="-0.499984740745262"/>
        <bgColor indexed="64"/>
      </patternFill>
    </fill>
    <fill>
      <patternFill patternType="solid">
        <fgColor theme="3" tint="0.749992370372631"/>
        <bgColor indexed="64"/>
      </patternFill>
    </fill>
    <fill>
      <patternFill patternType="solid">
        <fgColor theme="0" tint="-0.249977111117893"/>
        <bgColor indexed="64"/>
      </patternFill>
    </fill>
    <fill>
      <patternFill patternType="solid">
        <fgColor theme="0"/>
        <bgColor indexed="64"/>
      </patternFill>
    </fill>
    <fill>
      <patternFill patternType="solid">
        <fgColor theme="4" tint="0.39997558519241921"/>
        <bgColor indexed="64"/>
      </patternFill>
    </fill>
    <fill>
      <patternFill patternType="solid">
        <fgColor theme="3" tint="0.89999084444715716"/>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9">
    <xf numFmtId="0" fontId="0" fillId="0" borderId="0"/>
    <xf numFmtId="0" fontId="2" fillId="0" borderId="0"/>
    <xf numFmtId="43"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2" fillId="0" borderId="0"/>
    <xf numFmtId="9" fontId="2" fillId="0" borderId="0" applyFont="0" applyFill="0" applyBorder="0" applyAlignment="0" applyProtection="0"/>
    <xf numFmtId="166" fontId="1" fillId="0" borderId="0" applyFont="0" applyFill="0" applyBorder="0" applyAlignment="0" applyProtection="0"/>
    <xf numFmtId="44" fontId="1" fillId="0" borderId="0" applyFont="0" applyFill="0" applyBorder="0" applyAlignment="0" applyProtection="0"/>
  </cellStyleXfs>
  <cellXfs count="105">
    <xf numFmtId="0" fontId="0" fillId="0" borderId="0" xfId="0"/>
    <xf numFmtId="0" fontId="5" fillId="0" borderId="0" xfId="0" applyFont="1" applyAlignment="1">
      <alignment horizontal="center"/>
    </xf>
    <xf numFmtId="0" fontId="5" fillId="0" borderId="0" xfId="0" applyFont="1"/>
    <xf numFmtId="0" fontId="6" fillId="0" borderId="0" xfId="0" applyFont="1"/>
    <xf numFmtId="0" fontId="8" fillId="2" borderId="1" xfId="0" applyFont="1" applyFill="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xf>
    <xf numFmtId="0" fontId="5" fillId="0" borderId="1" xfId="0" applyFont="1" applyBorder="1" applyAlignment="1">
      <alignment vertical="center"/>
    </xf>
    <xf numFmtId="0" fontId="5" fillId="0" borderId="1" xfId="0" applyFont="1" applyBorder="1" applyAlignment="1">
      <alignment horizontal="center" vertical="center"/>
    </xf>
    <xf numFmtId="0" fontId="8" fillId="7" borderId="0" xfId="0" applyFont="1" applyFill="1"/>
    <xf numFmtId="43" fontId="5" fillId="0" borderId="0" xfId="2" applyFont="1"/>
    <xf numFmtId="0" fontId="6" fillId="0" borderId="0" xfId="0" applyFont="1" applyAlignment="1">
      <alignment vertical="center"/>
    </xf>
    <xf numFmtId="4" fontId="5" fillId="0" borderId="0" xfId="0" applyNumberFormat="1" applyFont="1" applyAlignment="1">
      <alignment vertical="center"/>
    </xf>
    <xf numFmtId="0" fontId="4" fillId="10" borderId="1" xfId="0" applyFont="1" applyFill="1" applyBorder="1" applyAlignment="1">
      <alignment vertical="center" wrapText="1"/>
    </xf>
    <xf numFmtId="0" fontId="8" fillId="7" borderId="0" xfId="0" applyFont="1" applyFill="1" applyAlignment="1">
      <alignment vertical="center"/>
    </xf>
    <xf numFmtId="0" fontId="10" fillId="7" borderId="0" xfId="0" applyFont="1" applyFill="1" applyAlignment="1">
      <alignment vertical="center"/>
    </xf>
    <xf numFmtId="0" fontId="6" fillId="0" borderId="1" xfId="0" applyFont="1" applyBorder="1" applyAlignment="1">
      <alignment vertical="center"/>
    </xf>
    <xf numFmtId="0" fontId="5" fillId="0" borderId="1" xfId="0" applyFont="1" applyBorder="1" applyAlignment="1">
      <alignment horizontal="left" vertical="center"/>
    </xf>
    <xf numFmtId="0" fontId="6" fillId="0" borderId="1" xfId="0" applyFont="1" applyBorder="1" applyAlignment="1">
      <alignment vertical="center" wrapText="1"/>
    </xf>
    <xf numFmtId="0" fontId="6" fillId="0" borderId="0" xfId="0" applyFont="1" applyAlignment="1">
      <alignment vertical="center" wrapText="1"/>
    </xf>
    <xf numFmtId="0" fontId="5" fillId="0" borderId="0" xfId="0" applyFont="1" applyAlignment="1">
      <alignment horizontal="left" vertical="center"/>
    </xf>
    <xf numFmtId="43" fontId="5" fillId="0" borderId="1" xfId="2" applyFont="1" applyBorder="1" applyAlignment="1">
      <alignment horizontal="left" vertical="center"/>
    </xf>
    <xf numFmtId="43" fontId="5" fillId="0" borderId="1" xfId="0" applyNumberFormat="1" applyFont="1" applyBorder="1" applyAlignment="1">
      <alignment vertical="center"/>
    </xf>
    <xf numFmtId="43" fontId="5" fillId="0" borderId="1" xfId="0" applyNumberFormat="1" applyFont="1" applyBorder="1" applyAlignment="1">
      <alignment horizontal="center" vertical="center"/>
    </xf>
    <xf numFmtId="0" fontId="4" fillId="10" borderId="1" xfId="0" applyFont="1" applyFill="1" applyBorder="1" applyAlignment="1">
      <alignment horizontal="center" vertical="center" wrapText="1"/>
    </xf>
    <xf numFmtId="0" fontId="5" fillId="12" borderId="1" xfId="0" applyFont="1" applyFill="1" applyBorder="1" applyAlignment="1">
      <alignment horizontal="center" vertical="center"/>
    </xf>
    <xf numFmtId="43" fontId="5" fillId="12" borderId="1" xfId="0" applyNumberFormat="1" applyFont="1" applyFill="1" applyBorder="1" applyAlignment="1">
      <alignment vertical="center"/>
    </xf>
    <xf numFmtId="43" fontId="5" fillId="12" borderId="1" xfId="0" applyNumberFormat="1" applyFont="1" applyFill="1" applyBorder="1" applyAlignment="1">
      <alignment horizontal="center" vertical="center"/>
    </xf>
    <xf numFmtId="43" fontId="6" fillId="6" borderId="1" xfId="0" applyNumberFormat="1" applyFont="1" applyFill="1" applyBorder="1" applyAlignment="1">
      <alignment horizontal="center" vertical="center"/>
    </xf>
    <xf numFmtId="0" fontId="3" fillId="9" borderId="1" xfId="0" applyFont="1" applyFill="1" applyBorder="1" applyAlignment="1">
      <alignment vertical="center" wrapText="1"/>
    </xf>
    <xf numFmtId="0" fontId="7" fillId="11" borderId="1" xfId="0" applyFont="1" applyFill="1" applyBorder="1" applyAlignment="1">
      <alignment horizontal="center" vertical="center" wrapText="1"/>
    </xf>
    <xf numFmtId="0" fontId="5" fillId="10" borderId="0" xfId="0" applyFont="1" applyFill="1"/>
    <xf numFmtId="0" fontId="6" fillId="8" borderId="1" xfId="0" applyFont="1" applyFill="1" applyBorder="1"/>
    <xf numFmtId="43" fontId="6" fillId="8" borderId="1" xfId="2" applyFont="1" applyFill="1" applyBorder="1"/>
    <xf numFmtId="43" fontId="5" fillId="10" borderId="0" xfId="2" applyFont="1" applyFill="1"/>
    <xf numFmtId="0" fontId="5" fillId="10" borderId="0" xfId="0" applyFont="1" applyFill="1" applyAlignment="1">
      <alignment horizontal="center"/>
    </xf>
    <xf numFmtId="0" fontId="6" fillId="10" borderId="0" xfId="0" applyFont="1" applyFill="1" applyAlignment="1">
      <alignment horizontal="center"/>
    </xf>
    <xf numFmtId="4" fontId="5" fillId="10" borderId="1" xfId="8" applyNumberFormat="1" applyFont="1" applyFill="1" applyBorder="1" applyAlignment="1">
      <alignment horizontal="right"/>
    </xf>
    <xf numFmtId="4" fontId="5" fillId="10" borderId="0" xfId="8" applyNumberFormat="1" applyFont="1" applyFill="1" applyAlignment="1">
      <alignment horizontal="right"/>
    </xf>
    <xf numFmtId="9" fontId="5" fillId="10" borderId="0" xfId="0" applyNumberFormat="1" applyFont="1" applyFill="1"/>
    <xf numFmtId="0" fontId="5" fillId="9" borderId="0" xfId="0" applyFont="1" applyFill="1"/>
    <xf numFmtId="4" fontId="5" fillId="9" borderId="0" xfId="8" applyNumberFormat="1" applyFont="1" applyFill="1" applyAlignment="1">
      <alignment horizontal="right"/>
    </xf>
    <xf numFmtId="0" fontId="9" fillId="9" borderId="0" xfId="0" applyFont="1" applyFill="1"/>
    <xf numFmtId="4" fontId="9" fillId="9" borderId="0" xfId="8" applyNumberFormat="1" applyFont="1" applyFill="1" applyAlignment="1">
      <alignment horizontal="right"/>
    </xf>
    <xf numFmtId="0" fontId="8" fillId="9" borderId="0" xfId="0" applyFont="1" applyFill="1"/>
    <xf numFmtId="4" fontId="8" fillId="9" borderId="0" xfId="8" applyNumberFormat="1" applyFont="1" applyFill="1" applyAlignment="1">
      <alignment horizontal="right"/>
    </xf>
    <xf numFmtId="0" fontId="6" fillId="9" borderId="0" xfId="0" applyFont="1" applyFill="1"/>
    <xf numFmtId="167" fontId="5" fillId="9" borderId="0" xfId="8" applyNumberFormat="1" applyFont="1" applyFill="1" applyAlignment="1">
      <alignment horizontal="right" vertical="center"/>
    </xf>
    <xf numFmtId="0" fontId="5" fillId="9" borderId="0" xfId="0" applyFont="1" applyFill="1" applyAlignment="1">
      <alignment vertical="center"/>
    </xf>
    <xf numFmtId="4" fontId="8" fillId="7" borderId="0" xfId="8" applyNumberFormat="1" applyFont="1" applyFill="1" applyAlignment="1">
      <alignment horizontal="right"/>
    </xf>
    <xf numFmtId="2" fontId="5" fillId="10" borderId="0" xfId="0" applyNumberFormat="1" applyFont="1" applyFill="1"/>
    <xf numFmtId="0" fontId="6" fillId="12" borderId="0" xfId="0" applyFont="1" applyFill="1"/>
    <xf numFmtId="43" fontId="6" fillId="12" borderId="0" xfId="2" applyFont="1" applyFill="1"/>
    <xf numFmtId="43" fontId="5" fillId="5" borderId="0" xfId="2" applyFont="1" applyFill="1"/>
    <xf numFmtId="43" fontId="5" fillId="3" borderId="0" xfId="2" applyFont="1" applyFill="1"/>
    <xf numFmtId="43" fontId="6" fillId="10" borderId="0" xfId="0" applyNumberFormat="1" applyFont="1" applyFill="1"/>
    <xf numFmtId="0" fontId="6" fillId="10" borderId="0" xfId="0" applyFont="1" applyFill="1"/>
    <xf numFmtId="0" fontId="5" fillId="10" borderId="1" xfId="0" applyFont="1" applyFill="1" applyBorder="1"/>
    <xf numFmtId="43" fontId="5" fillId="10" borderId="1" xfId="0" applyNumberFormat="1" applyFont="1" applyFill="1" applyBorder="1"/>
    <xf numFmtId="0" fontId="5" fillId="7" borderId="0" xfId="0" applyFont="1" applyFill="1"/>
    <xf numFmtId="0" fontId="5" fillId="7" borderId="0" xfId="0" applyFont="1" applyFill="1" applyAlignment="1">
      <alignment vertical="center"/>
    </xf>
    <xf numFmtId="3" fontId="6" fillId="0" borderId="4" xfId="0" applyNumberFormat="1" applyFont="1" applyBorder="1" applyAlignment="1">
      <alignment horizontal="center" vertical="center"/>
    </xf>
    <xf numFmtId="4" fontId="6" fillId="0" borderId="0" xfId="0" applyNumberFormat="1" applyFont="1"/>
    <xf numFmtId="9" fontId="5" fillId="0" borderId="0" xfId="0" applyNumberFormat="1" applyFont="1"/>
    <xf numFmtId="0" fontId="8" fillId="6" borderId="0" xfId="0" applyFont="1" applyFill="1" applyAlignment="1">
      <alignment horizontal="center"/>
    </xf>
    <xf numFmtId="0" fontId="10" fillId="2" borderId="1" xfId="0" applyFont="1" applyFill="1" applyBorder="1" applyAlignment="1">
      <alignment horizontal="center"/>
    </xf>
    <xf numFmtId="0" fontId="5" fillId="0" borderId="1" xfId="0" applyFont="1" applyBorder="1" applyAlignment="1">
      <alignment wrapText="1"/>
    </xf>
    <xf numFmtId="4" fontId="5" fillId="0" borderId="1" xfId="0" applyNumberFormat="1" applyFont="1" applyBorder="1"/>
    <xf numFmtId="0" fontId="5" fillId="0" borderId="1" xfId="0" applyFont="1" applyBorder="1"/>
    <xf numFmtId="0" fontId="10" fillId="2" borderId="1" xfId="0" applyFont="1" applyFill="1" applyBorder="1"/>
    <xf numFmtId="4" fontId="10" fillId="2" borderId="1" xfId="0" applyNumberFormat="1" applyFont="1" applyFill="1" applyBorder="1"/>
    <xf numFmtId="0" fontId="8" fillId="2" borderId="1" xfId="0" applyFont="1" applyFill="1" applyBorder="1" applyAlignment="1">
      <alignment horizontal="center"/>
    </xf>
    <xf numFmtId="0" fontId="10" fillId="6" borderId="0" xfId="0" applyFont="1" applyFill="1"/>
    <xf numFmtId="0" fontId="5" fillId="0" borderId="1" xfId="0" applyFont="1" applyBorder="1" applyAlignment="1">
      <alignment horizontal="left" vertical="center" wrapText="1"/>
    </xf>
    <xf numFmtId="168" fontId="5" fillId="0" borderId="1" xfId="3" applyNumberFormat="1" applyFont="1" applyFill="1" applyBorder="1" applyAlignment="1">
      <alignment horizontal="center" vertical="center"/>
    </xf>
    <xf numFmtId="0" fontId="5" fillId="2" borderId="0" xfId="0" applyFont="1" applyFill="1"/>
    <xf numFmtId="0" fontId="8" fillId="2" borderId="0" xfId="0" applyFont="1" applyFill="1"/>
    <xf numFmtId="0" fontId="8" fillId="2" borderId="0" xfId="0" applyFont="1" applyFill="1" applyAlignment="1">
      <alignment horizontal="center"/>
    </xf>
    <xf numFmtId="0" fontId="10" fillId="2" borderId="0" xfId="0" applyFont="1" applyFill="1"/>
    <xf numFmtId="0" fontId="10" fillId="2" borderId="0" xfId="0" applyFont="1" applyFill="1" applyAlignment="1">
      <alignment horizontal="center"/>
    </xf>
    <xf numFmtId="43" fontId="5" fillId="10" borderId="1" xfId="2" applyFont="1" applyFill="1" applyBorder="1" applyAlignment="1">
      <alignment horizontal="center" vertical="center"/>
    </xf>
    <xf numFmtId="43" fontId="5" fillId="0" borderId="1" xfId="2" applyFont="1" applyFill="1" applyBorder="1" applyAlignment="1">
      <alignment horizontal="center" vertical="center"/>
    </xf>
    <xf numFmtId="0" fontId="5" fillId="0" borderId="1" xfId="0" applyFont="1" applyBorder="1" applyAlignment="1">
      <alignment vertical="center" wrapText="1"/>
    </xf>
    <xf numFmtId="4" fontId="5" fillId="0" borderId="1" xfId="0" applyNumberFormat="1" applyFont="1" applyBorder="1" applyAlignment="1">
      <alignment vertical="center"/>
    </xf>
    <xf numFmtId="0" fontId="5" fillId="0" borderId="1" xfId="0" applyFont="1" applyBorder="1" applyAlignment="1">
      <alignment horizontal="center" vertical="center" wrapText="1"/>
    </xf>
    <xf numFmtId="0" fontId="5" fillId="7" borderId="0" xfId="0" applyFont="1" applyFill="1" applyAlignment="1">
      <alignment vertical="center" wrapText="1"/>
    </xf>
    <xf numFmtId="0" fontId="5" fillId="0" borderId="0" xfId="0" applyFont="1" applyAlignment="1">
      <alignment vertical="center" wrapText="1"/>
    </xf>
    <xf numFmtId="4" fontId="5" fillId="0" borderId="1" xfId="0" applyNumberFormat="1" applyFont="1" applyBorder="1" applyAlignment="1">
      <alignment vertical="center" wrapText="1"/>
    </xf>
    <xf numFmtId="0" fontId="11" fillId="0" borderId="1" xfId="1" applyFont="1" applyBorder="1" applyAlignment="1">
      <alignment horizontal="justify" vertical="center" wrapText="1"/>
    </xf>
    <xf numFmtId="0" fontId="5" fillId="0" borderId="1" xfId="1" applyFont="1" applyBorder="1" applyAlignment="1">
      <alignment horizontal="justify" vertical="center" wrapText="1"/>
    </xf>
    <xf numFmtId="0" fontId="10" fillId="6" borderId="0" xfId="0" applyFont="1" applyFill="1" applyAlignment="1">
      <alignment horizontal="center"/>
    </xf>
    <xf numFmtId="0" fontId="5" fillId="0" borderId="0" xfId="0" applyFont="1" applyAlignment="1">
      <alignment horizontal="center" vertical="center" wrapText="1"/>
    </xf>
    <xf numFmtId="2" fontId="5" fillId="0" borderId="0" xfId="0" applyNumberFormat="1" applyFont="1"/>
    <xf numFmtId="4" fontId="5" fillId="0" borderId="1" xfId="0" applyNumberFormat="1" applyFont="1" applyBorder="1" applyAlignment="1">
      <alignment horizontal="right" vertical="center"/>
    </xf>
    <xf numFmtId="43" fontId="5" fillId="0" borderId="0" xfId="0" applyNumberFormat="1" applyFont="1" applyAlignment="1">
      <alignment vertical="center"/>
    </xf>
    <xf numFmtId="0" fontId="3" fillId="10" borderId="0" xfId="0" applyFont="1" applyFill="1" applyAlignment="1">
      <alignment horizontal="center" vertical="center"/>
    </xf>
    <xf numFmtId="3" fontId="7" fillId="6" borderId="1" xfId="0" applyNumberFormat="1" applyFont="1" applyFill="1" applyBorder="1" applyAlignment="1">
      <alignment horizontal="center" vertical="center" wrapText="1"/>
    </xf>
    <xf numFmtId="3" fontId="7" fillId="10" borderId="0" xfId="0" applyNumberFormat="1" applyFont="1" applyFill="1" applyAlignment="1">
      <alignment horizontal="center" vertical="center" wrapText="1"/>
    </xf>
    <xf numFmtId="0" fontId="6" fillId="0" borderId="1" xfId="0" applyFont="1" applyBorder="1" applyAlignment="1">
      <alignment horizontal="center" vertical="center"/>
    </xf>
    <xf numFmtId="0" fontId="8" fillId="2"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5" fillId="0" borderId="0" xfId="0" applyFont="1" applyAlignment="1">
      <alignment horizontal="center" vertical="center"/>
    </xf>
    <xf numFmtId="0" fontId="8" fillId="7" borderId="0" xfId="0" applyFont="1" applyFill="1" applyAlignment="1">
      <alignment horizontal="center" vertical="center"/>
    </xf>
    <xf numFmtId="3" fontId="6" fillId="6" borderId="2" xfId="0" applyNumberFormat="1" applyFont="1" applyFill="1" applyBorder="1" applyAlignment="1">
      <alignment horizontal="center" vertical="center"/>
    </xf>
    <xf numFmtId="3" fontId="6" fillId="6" borderId="3" xfId="0" applyNumberFormat="1" applyFont="1" applyFill="1" applyBorder="1" applyAlignment="1">
      <alignment horizontal="center" vertical="center"/>
    </xf>
  </cellXfs>
  <cellStyles count="9">
    <cellStyle name="Millares" xfId="2" builtinId="3"/>
    <cellStyle name="Millares [0] 2" xfId="7" xr:uid="{894E942B-2ED7-44C4-BC27-DBB5F5E1E0CA}"/>
    <cellStyle name="Moneda" xfId="8" builtinId="4"/>
    <cellStyle name="Moneda [0] 2" xfId="4" xr:uid="{6B2913E2-51C9-45D0-946A-249C437F3C16}"/>
    <cellStyle name="Moneda 2" xfId="3" xr:uid="{88235E72-747E-4620-A2FA-BDB72720BA1F}"/>
    <cellStyle name="Normal" xfId="0" builtinId="0"/>
    <cellStyle name="Normal 2" xfId="5" xr:uid="{B1FC967B-AA01-4D10-9598-199C77871D84}"/>
    <cellStyle name="Normal 2 2" xfId="1" xr:uid="{D5B8501B-9580-4766-B71E-665462411CC5}"/>
    <cellStyle name="Porcentual 2" xfId="6" xr:uid="{B3CE709B-850A-424F-A6B4-DCE4D2CF5E53}"/>
  </cellStyles>
  <dxfs count="6">
    <dxf>
      <font>
        <b/>
        <i val="0"/>
      </font>
      <fill>
        <patternFill>
          <bgColor theme="0"/>
        </patternFill>
      </fill>
    </dxf>
    <dxf>
      <font>
        <b/>
        <i val="0"/>
      </font>
      <fill>
        <patternFill>
          <bgColor theme="0"/>
        </patternFill>
      </fill>
    </dxf>
    <dxf>
      <font>
        <b/>
        <i val="0"/>
      </font>
      <fill>
        <patternFill>
          <bgColor theme="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1120588</xdr:colOff>
      <xdr:row>22</xdr:row>
      <xdr:rowOff>78442</xdr:rowOff>
    </xdr:from>
    <xdr:to>
      <xdr:col>5</xdr:col>
      <xdr:colOff>97110</xdr:colOff>
      <xdr:row>48</xdr:row>
      <xdr:rowOff>38664</xdr:rowOff>
    </xdr:to>
    <xdr:pic>
      <xdr:nvPicPr>
        <xdr:cNvPr id="2" name="Imagen 1">
          <a:extLst>
            <a:ext uri="{FF2B5EF4-FFF2-40B4-BE49-F238E27FC236}">
              <a16:creationId xmlns:a16="http://schemas.microsoft.com/office/drawing/2014/main" id="{413B41FB-BE44-6069-C8A7-D607BB73E241}"/>
            </a:ext>
          </a:extLst>
        </xdr:cNvPr>
        <xdr:cNvPicPr>
          <a:picLocks noChangeAspect="1"/>
        </xdr:cNvPicPr>
      </xdr:nvPicPr>
      <xdr:blipFill>
        <a:blip xmlns:r="http://schemas.openxmlformats.org/officeDocument/2006/relationships" r:embed="rId1"/>
        <a:stretch>
          <a:fillRect/>
        </a:stretch>
      </xdr:blipFill>
      <xdr:spPr>
        <a:xfrm>
          <a:off x="1445559" y="5289177"/>
          <a:ext cx="5296639" cy="4039164"/>
        </a:xfrm>
        <a:prstGeom prst="rect">
          <a:avLst/>
        </a:prstGeom>
      </xdr:spPr>
    </xdr:pic>
    <xdr:clientData/>
  </xdr:twoCellAnchor>
  <xdr:twoCellAnchor editAs="oneCell">
    <xdr:from>
      <xdr:col>1</xdr:col>
      <xdr:colOff>1143000</xdr:colOff>
      <xdr:row>47</xdr:row>
      <xdr:rowOff>145677</xdr:rowOff>
    </xdr:from>
    <xdr:to>
      <xdr:col>5</xdr:col>
      <xdr:colOff>24259</xdr:colOff>
      <xdr:row>62</xdr:row>
      <xdr:rowOff>31128</xdr:rowOff>
    </xdr:to>
    <xdr:pic>
      <xdr:nvPicPr>
        <xdr:cNvPr id="3" name="Imagen 2">
          <a:extLst>
            <a:ext uri="{FF2B5EF4-FFF2-40B4-BE49-F238E27FC236}">
              <a16:creationId xmlns:a16="http://schemas.microsoft.com/office/drawing/2014/main" id="{BB3155A1-409F-85F9-EC2E-A6690F418915}"/>
            </a:ext>
          </a:extLst>
        </xdr:cNvPr>
        <xdr:cNvPicPr>
          <a:picLocks noChangeAspect="1"/>
        </xdr:cNvPicPr>
      </xdr:nvPicPr>
      <xdr:blipFill>
        <a:blip xmlns:r="http://schemas.openxmlformats.org/officeDocument/2006/relationships" r:embed="rId2"/>
        <a:stretch>
          <a:fillRect/>
        </a:stretch>
      </xdr:blipFill>
      <xdr:spPr>
        <a:xfrm>
          <a:off x="1467971" y="9278471"/>
          <a:ext cx="5201376" cy="2238687"/>
        </a:xfrm>
        <a:prstGeom prst="rect">
          <a:avLst/>
        </a:prstGeom>
      </xdr:spPr>
    </xdr:pic>
    <xdr:clientData/>
  </xdr:twoCellAnchor>
  <xdr:twoCellAnchor editAs="oneCell">
    <xdr:from>
      <xdr:col>1</xdr:col>
      <xdr:colOff>1176617</xdr:colOff>
      <xdr:row>67</xdr:row>
      <xdr:rowOff>11206</xdr:rowOff>
    </xdr:from>
    <xdr:to>
      <xdr:col>5</xdr:col>
      <xdr:colOff>124560</xdr:colOff>
      <xdr:row>89</xdr:row>
      <xdr:rowOff>8325</xdr:rowOff>
    </xdr:to>
    <xdr:pic>
      <xdr:nvPicPr>
        <xdr:cNvPr id="4" name="Imagen 3">
          <a:extLst>
            <a:ext uri="{FF2B5EF4-FFF2-40B4-BE49-F238E27FC236}">
              <a16:creationId xmlns:a16="http://schemas.microsoft.com/office/drawing/2014/main" id="{EEA2C9E2-73FB-1A96-8842-74DA91B83FC5}"/>
            </a:ext>
          </a:extLst>
        </xdr:cNvPr>
        <xdr:cNvPicPr>
          <a:picLocks noChangeAspect="1"/>
        </xdr:cNvPicPr>
      </xdr:nvPicPr>
      <xdr:blipFill>
        <a:blip xmlns:r="http://schemas.openxmlformats.org/officeDocument/2006/relationships" r:embed="rId3"/>
        <a:stretch>
          <a:fillRect/>
        </a:stretch>
      </xdr:blipFill>
      <xdr:spPr>
        <a:xfrm>
          <a:off x="1501588" y="12281647"/>
          <a:ext cx="5268060" cy="3448531"/>
        </a:xfrm>
        <a:prstGeom prst="rect">
          <a:avLst/>
        </a:prstGeom>
      </xdr:spPr>
    </xdr:pic>
    <xdr:clientData/>
  </xdr:twoCellAnchor>
  <xdr:twoCellAnchor editAs="oneCell">
    <xdr:from>
      <xdr:col>1</xdr:col>
      <xdr:colOff>1221439</xdr:colOff>
      <xdr:row>90</xdr:row>
      <xdr:rowOff>156882</xdr:rowOff>
    </xdr:from>
    <xdr:to>
      <xdr:col>11</xdr:col>
      <xdr:colOff>31248</xdr:colOff>
      <xdr:row>136</xdr:row>
      <xdr:rowOff>151724</xdr:rowOff>
    </xdr:to>
    <xdr:pic>
      <xdr:nvPicPr>
        <xdr:cNvPr id="5" name="Imagen 4">
          <a:extLst>
            <a:ext uri="{FF2B5EF4-FFF2-40B4-BE49-F238E27FC236}">
              <a16:creationId xmlns:a16="http://schemas.microsoft.com/office/drawing/2014/main" id="{55C3D871-D905-89A9-2C03-BF144DE177E7}"/>
            </a:ext>
          </a:extLst>
        </xdr:cNvPr>
        <xdr:cNvPicPr>
          <a:picLocks noChangeAspect="1"/>
        </xdr:cNvPicPr>
      </xdr:nvPicPr>
      <xdr:blipFill>
        <a:blip xmlns:r="http://schemas.openxmlformats.org/officeDocument/2006/relationships" r:embed="rId4"/>
        <a:stretch>
          <a:fillRect/>
        </a:stretch>
      </xdr:blipFill>
      <xdr:spPr>
        <a:xfrm>
          <a:off x="1546410" y="16786411"/>
          <a:ext cx="11136279" cy="7211431"/>
        </a:xfrm>
        <a:prstGeom prst="rect">
          <a:avLst/>
        </a:prstGeom>
        <a:ln w="12700">
          <a:solidFill>
            <a:schemeClr val="tx1"/>
          </a:solidFill>
        </a:ln>
      </xdr:spPr>
    </xdr:pic>
    <xdr:clientData/>
  </xdr:twoCellAnchor>
  <xdr:twoCellAnchor editAs="oneCell">
    <xdr:from>
      <xdr:col>11</xdr:col>
      <xdr:colOff>268195</xdr:colOff>
      <xdr:row>11</xdr:row>
      <xdr:rowOff>100852</xdr:rowOff>
    </xdr:from>
    <xdr:to>
      <xdr:col>17</xdr:col>
      <xdr:colOff>89648</xdr:colOff>
      <xdr:row>18</xdr:row>
      <xdr:rowOff>4899</xdr:rowOff>
    </xdr:to>
    <xdr:pic>
      <xdr:nvPicPr>
        <xdr:cNvPr id="6" name="Imagen 5">
          <a:extLst>
            <a:ext uri="{FF2B5EF4-FFF2-40B4-BE49-F238E27FC236}">
              <a16:creationId xmlns:a16="http://schemas.microsoft.com/office/drawing/2014/main" id="{E3D8255D-683C-9D18-162D-14DE1B442775}"/>
            </a:ext>
          </a:extLst>
        </xdr:cNvPr>
        <xdr:cNvPicPr>
          <a:picLocks noChangeAspect="1"/>
        </xdr:cNvPicPr>
      </xdr:nvPicPr>
      <xdr:blipFill>
        <a:blip xmlns:r="http://schemas.openxmlformats.org/officeDocument/2006/relationships" r:embed="rId5"/>
        <a:stretch>
          <a:fillRect/>
        </a:stretch>
      </xdr:blipFill>
      <xdr:spPr>
        <a:xfrm>
          <a:off x="12919636" y="2790264"/>
          <a:ext cx="5827806" cy="2548635"/>
        </a:xfrm>
        <a:prstGeom prst="rect">
          <a:avLst/>
        </a:prstGeom>
        <a:ln w="12700">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476250</xdr:colOff>
      <xdr:row>0</xdr:row>
      <xdr:rowOff>9525</xdr:rowOff>
    </xdr:from>
    <xdr:to>
      <xdr:col>20</xdr:col>
      <xdr:colOff>210324</xdr:colOff>
      <xdr:row>62</xdr:row>
      <xdr:rowOff>86685</xdr:rowOff>
    </xdr:to>
    <xdr:pic>
      <xdr:nvPicPr>
        <xdr:cNvPr id="2" name="Imagen 1">
          <a:extLst>
            <a:ext uri="{FF2B5EF4-FFF2-40B4-BE49-F238E27FC236}">
              <a16:creationId xmlns:a16="http://schemas.microsoft.com/office/drawing/2014/main" id="{09751C9A-9F09-3BA4-6F63-D5752FFA0FB4}"/>
            </a:ext>
          </a:extLst>
        </xdr:cNvPr>
        <xdr:cNvPicPr>
          <a:picLocks noChangeAspect="1"/>
        </xdr:cNvPicPr>
      </xdr:nvPicPr>
      <xdr:blipFill>
        <a:blip xmlns:r="http://schemas.openxmlformats.org/officeDocument/2006/relationships" r:embed="rId1"/>
        <a:stretch>
          <a:fillRect/>
        </a:stretch>
      </xdr:blipFill>
      <xdr:spPr>
        <a:xfrm>
          <a:off x="6438900" y="9525"/>
          <a:ext cx="5544324" cy="6878010"/>
        </a:xfrm>
        <a:prstGeom prst="rect">
          <a:avLst/>
        </a:prstGeom>
      </xdr:spPr>
    </xdr:pic>
    <xdr:clientData/>
  </xdr:twoCellAnchor>
  <xdr:twoCellAnchor editAs="oneCell">
    <xdr:from>
      <xdr:col>13</xdr:col>
      <xdr:colOff>257175</xdr:colOff>
      <xdr:row>0</xdr:row>
      <xdr:rowOff>0</xdr:rowOff>
    </xdr:from>
    <xdr:to>
      <xdr:col>20</xdr:col>
      <xdr:colOff>391288</xdr:colOff>
      <xdr:row>62</xdr:row>
      <xdr:rowOff>83324</xdr:rowOff>
    </xdr:to>
    <xdr:pic>
      <xdr:nvPicPr>
        <xdr:cNvPr id="3" name="Imagen 2">
          <a:extLst>
            <a:ext uri="{FF2B5EF4-FFF2-40B4-BE49-F238E27FC236}">
              <a16:creationId xmlns:a16="http://schemas.microsoft.com/office/drawing/2014/main" id="{21D14E03-D87E-C186-1E9C-061677D26EAD}"/>
            </a:ext>
          </a:extLst>
        </xdr:cNvPr>
        <xdr:cNvPicPr>
          <a:picLocks noChangeAspect="1"/>
        </xdr:cNvPicPr>
      </xdr:nvPicPr>
      <xdr:blipFill>
        <a:blip xmlns:r="http://schemas.openxmlformats.org/officeDocument/2006/relationships" r:embed="rId2"/>
        <a:stretch>
          <a:fillRect/>
        </a:stretch>
      </xdr:blipFill>
      <xdr:spPr>
        <a:xfrm>
          <a:off x="12630150" y="0"/>
          <a:ext cx="5468113" cy="6884174"/>
        </a:xfrm>
        <a:prstGeom prst="rect">
          <a:avLst/>
        </a:prstGeom>
      </xdr:spPr>
    </xdr:pic>
    <xdr:clientData/>
  </xdr:twoCellAnchor>
  <xdr:twoCellAnchor editAs="oneCell">
    <xdr:from>
      <xdr:col>13</xdr:col>
      <xdr:colOff>266700</xdr:colOff>
      <xdr:row>62</xdr:row>
      <xdr:rowOff>47625</xdr:rowOff>
    </xdr:from>
    <xdr:to>
      <xdr:col>20</xdr:col>
      <xdr:colOff>219813</xdr:colOff>
      <xdr:row>67</xdr:row>
      <xdr:rowOff>114416</xdr:rowOff>
    </xdr:to>
    <xdr:pic>
      <xdr:nvPicPr>
        <xdr:cNvPr id="4" name="Imagen 3">
          <a:extLst>
            <a:ext uri="{FF2B5EF4-FFF2-40B4-BE49-F238E27FC236}">
              <a16:creationId xmlns:a16="http://schemas.microsoft.com/office/drawing/2014/main" id="{0192E06D-B3CE-2016-CDE0-38C81E9F81EF}"/>
            </a:ext>
          </a:extLst>
        </xdr:cNvPr>
        <xdr:cNvPicPr>
          <a:picLocks noChangeAspect="1"/>
        </xdr:cNvPicPr>
      </xdr:nvPicPr>
      <xdr:blipFill>
        <a:blip xmlns:r="http://schemas.openxmlformats.org/officeDocument/2006/relationships" r:embed="rId3"/>
        <a:stretch>
          <a:fillRect/>
        </a:stretch>
      </xdr:blipFill>
      <xdr:spPr>
        <a:xfrm>
          <a:off x="12639675" y="6848475"/>
          <a:ext cx="5287113" cy="82879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B62D9-7734-41EE-BF8E-F8D4C666C31C}">
  <sheetPr>
    <tabColor theme="7" tint="-0.249977111117893"/>
  </sheetPr>
  <dimension ref="A1:U65"/>
  <sheetViews>
    <sheetView showGridLines="0" tabSelected="1" zoomScale="85" zoomScaleNormal="85" workbookViewId="0">
      <selection activeCell="H25" sqref="H25"/>
    </sheetView>
  </sheetViews>
  <sheetFormatPr baseColWidth="10" defaultColWidth="11.42578125" defaultRowHeight="12" x14ac:dyDescent="0.25"/>
  <cols>
    <col min="1" max="1" width="4.85546875" style="5" customWidth="1"/>
    <col min="2" max="2" width="20.42578125" style="6" customWidth="1"/>
    <col min="3" max="3" width="46" style="6" bestFit="1" customWidth="1"/>
    <col min="4" max="5" width="14.140625" style="6" bestFit="1" customWidth="1"/>
    <col min="6" max="6" width="13.42578125" style="5" customWidth="1"/>
    <col min="7" max="7" width="16.28515625" style="5" bestFit="1" customWidth="1"/>
    <col min="8" max="8" width="15.5703125" style="5" customWidth="1"/>
    <col min="9" max="9" width="16.42578125" style="5" customWidth="1"/>
    <col min="10" max="10" width="14.7109375" style="6" customWidth="1"/>
    <col min="11" max="15" width="13.42578125" style="6" customWidth="1"/>
    <col min="16" max="16" width="11.42578125" style="6"/>
    <col min="17" max="17" width="24.85546875" style="6" bestFit="1" customWidth="1"/>
    <col min="18" max="18" width="18" style="6" bestFit="1" customWidth="1"/>
    <col min="19" max="19" width="27.5703125" style="6" bestFit="1" customWidth="1"/>
    <col min="20" max="20" width="27.7109375" style="6" bestFit="1" customWidth="1"/>
    <col min="21" max="21" width="20.28515625" style="5" customWidth="1"/>
    <col min="22" max="16384" width="11.42578125" style="6"/>
  </cols>
  <sheetData>
    <row r="1" spans="1:21" x14ac:dyDescent="0.25">
      <c r="F1" s="6"/>
      <c r="H1" s="6"/>
    </row>
    <row r="2" spans="1:21" x14ac:dyDescent="0.25">
      <c r="B2" s="14" t="s">
        <v>0</v>
      </c>
      <c r="C2" s="15"/>
      <c r="F2" s="6"/>
      <c r="H2" s="6"/>
    </row>
    <row r="3" spans="1:21" x14ac:dyDescent="0.25">
      <c r="B3" s="14" t="s">
        <v>41</v>
      </c>
      <c r="C3" s="15"/>
      <c r="F3" s="6"/>
      <c r="H3" s="6"/>
    </row>
    <row r="4" spans="1:21" x14ac:dyDescent="0.25">
      <c r="F4" s="6"/>
      <c r="H4" s="6"/>
    </row>
    <row r="5" spans="1:21" x14ac:dyDescent="0.25">
      <c r="B5" s="16" t="s">
        <v>1</v>
      </c>
      <c r="C5" s="7" t="s">
        <v>13</v>
      </c>
      <c r="F5" s="12"/>
      <c r="H5" s="12"/>
    </row>
    <row r="6" spans="1:21" x14ac:dyDescent="0.25">
      <c r="B6" s="16" t="s">
        <v>2</v>
      </c>
      <c r="C6" s="7" t="s">
        <v>14</v>
      </c>
      <c r="F6" s="6"/>
      <c r="H6" s="6"/>
    </row>
    <row r="7" spans="1:21" ht="28.5" customHeight="1" x14ac:dyDescent="0.25">
      <c r="B7" s="18" t="s">
        <v>42</v>
      </c>
      <c r="C7" s="17">
        <v>4</v>
      </c>
      <c r="F7" s="6"/>
      <c r="H7" s="6"/>
    </row>
    <row r="8" spans="1:21" x14ac:dyDescent="0.25">
      <c r="B8" s="18" t="s">
        <v>43</v>
      </c>
      <c r="C8" s="17">
        <v>3218.75</v>
      </c>
      <c r="F8" s="6"/>
      <c r="H8" s="6"/>
    </row>
    <row r="9" spans="1:21" ht="54.75" customHeight="1" x14ac:dyDescent="0.25">
      <c r="B9" s="18" t="s">
        <v>45</v>
      </c>
      <c r="C9" s="17" t="s">
        <v>44</v>
      </c>
      <c r="F9" s="6"/>
      <c r="H9" s="6"/>
    </row>
    <row r="10" spans="1:21" x14ac:dyDescent="0.25">
      <c r="B10" s="19"/>
      <c r="C10" s="20"/>
      <c r="F10" s="6"/>
      <c r="H10" s="6"/>
    </row>
    <row r="11" spans="1:21" ht="30" customHeight="1" x14ac:dyDescent="0.25">
      <c r="B11" s="18" t="s">
        <v>46</v>
      </c>
      <c r="C11" s="21">
        <v>704678194</v>
      </c>
      <c r="F11" s="6"/>
      <c r="H11" s="6"/>
    </row>
    <row r="12" spans="1:21" x14ac:dyDescent="0.25">
      <c r="B12" s="19"/>
      <c r="C12" s="20"/>
      <c r="F12" s="6"/>
      <c r="G12" s="101"/>
      <c r="H12" s="101"/>
    </row>
    <row r="13" spans="1:21" ht="15" customHeight="1" x14ac:dyDescent="0.25">
      <c r="A13" s="97"/>
      <c r="B13" s="96" t="s">
        <v>3</v>
      </c>
      <c r="C13" s="96" t="s">
        <v>4</v>
      </c>
      <c r="D13" s="98" t="s">
        <v>68</v>
      </c>
      <c r="E13" s="98"/>
      <c r="F13" s="98"/>
      <c r="G13" s="98" t="s">
        <v>58</v>
      </c>
      <c r="H13" s="98"/>
      <c r="I13" s="99" t="s">
        <v>82</v>
      </c>
      <c r="J13" s="100" t="s">
        <v>48</v>
      </c>
    </row>
    <row r="14" spans="1:21" ht="50.25" customHeight="1" x14ac:dyDescent="0.25">
      <c r="A14" s="97"/>
      <c r="B14" s="96"/>
      <c r="C14" s="96"/>
      <c r="D14" s="30" t="s">
        <v>69</v>
      </c>
      <c r="E14" s="30" t="s">
        <v>70</v>
      </c>
      <c r="F14" s="4" t="s">
        <v>55</v>
      </c>
      <c r="G14" s="30" t="s">
        <v>47</v>
      </c>
      <c r="H14" s="4" t="s">
        <v>55</v>
      </c>
      <c r="I14" s="99"/>
      <c r="J14" s="100"/>
    </row>
    <row r="15" spans="1:21" ht="32.25" customHeight="1" x14ac:dyDescent="0.25">
      <c r="A15" s="95"/>
      <c r="B15" s="24" t="s">
        <v>15</v>
      </c>
      <c r="C15" s="13" t="s">
        <v>16</v>
      </c>
      <c r="D15" s="8">
        <f>+'UT ITERVENTORÍA SS'!I25</f>
        <v>30</v>
      </c>
      <c r="E15" s="8">
        <f>+'UT ITERVENTORÍA SS'!I42</f>
        <v>30</v>
      </c>
      <c r="F15" s="25">
        <f>+D15+E15</f>
        <v>60</v>
      </c>
      <c r="G15" s="22">
        <f>+'Media Geométrica con PO'!C35</f>
        <v>702103366</v>
      </c>
      <c r="H15" s="26">
        <f>+'Media Geométrica con PO'!C44</f>
        <v>29.776004427713978</v>
      </c>
      <c r="I15" s="25">
        <f>+'UT ITERVENTORÍA SS'!I54</f>
        <v>10</v>
      </c>
      <c r="J15" s="28">
        <f>+F15+H15+I15</f>
        <v>99.776004427713985</v>
      </c>
      <c r="U15" s="6"/>
    </row>
    <row r="16" spans="1:21" ht="32.25" customHeight="1" x14ac:dyDescent="0.25">
      <c r="A16" s="95"/>
      <c r="B16" s="24" t="s">
        <v>17</v>
      </c>
      <c r="C16" s="13" t="s">
        <v>18</v>
      </c>
      <c r="D16" s="8">
        <f>+'INSERGROUP - ISG S.A.S.'!I25</f>
        <v>30</v>
      </c>
      <c r="E16" s="8">
        <f>+'INSERGROUP - ISG S.A.S.'!I42</f>
        <v>30</v>
      </c>
      <c r="F16" s="25">
        <f t="shared" ref="F16:F18" si="0">+D16+E16</f>
        <v>60</v>
      </c>
      <c r="G16" s="23">
        <f>+'Media Geométrica con PO'!C36</f>
        <v>680619786</v>
      </c>
      <c r="H16" s="27">
        <f>+'Media Geométrica con PO'!C45</f>
        <v>29.190604235384235</v>
      </c>
      <c r="I16" s="25">
        <f>+'INSERGROUP - ISG S.A.S.'!I54</f>
        <v>10</v>
      </c>
      <c r="J16" s="28">
        <f t="shared" ref="J16:J18" si="1">+F16+H16+I16</f>
        <v>99.190604235384228</v>
      </c>
    </row>
    <row r="17" spans="1:10" ht="32.25" customHeight="1" x14ac:dyDescent="0.25">
      <c r="A17" s="95"/>
      <c r="B17" s="24" t="s">
        <v>19</v>
      </c>
      <c r="C17" s="13" t="s">
        <v>20</v>
      </c>
      <c r="D17" s="8">
        <f>+'INSERGROUP - ISG S.A.S.'!I25</f>
        <v>30</v>
      </c>
      <c r="E17" s="8">
        <v>30</v>
      </c>
      <c r="F17" s="25">
        <f t="shared" si="0"/>
        <v>60</v>
      </c>
      <c r="G17" s="23">
        <f>+'Media Geométrica con PO'!C37</f>
        <v>701187270</v>
      </c>
      <c r="H17" s="27">
        <f>+'Media Geométrica con PO'!C46</f>
        <v>29.854583970441581</v>
      </c>
      <c r="I17" s="25">
        <f>+'SECOB SAS'!I54</f>
        <v>10</v>
      </c>
      <c r="J17" s="28">
        <f t="shared" si="1"/>
        <v>99.854583970441581</v>
      </c>
    </row>
    <row r="18" spans="1:10" ht="32.25" customHeight="1" x14ac:dyDescent="0.25">
      <c r="A18" s="95"/>
      <c r="B18" s="24" t="s">
        <v>5</v>
      </c>
      <c r="C18" s="13" t="s">
        <v>6</v>
      </c>
      <c r="D18" s="8">
        <f>+'PROINGES SAS'!I25</f>
        <v>30</v>
      </c>
      <c r="E18" s="8">
        <f>+'PROINGES SAS'!I42</f>
        <v>30</v>
      </c>
      <c r="F18" s="25">
        <f t="shared" si="0"/>
        <v>60</v>
      </c>
      <c r="G18" s="23">
        <f>+'Media Geométrica con PO'!C38</f>
        <v>704004000</v>
      </c>
      <c r="H18" s="27">
        <f>+'Media Geométrica con PO'!C47</f>
        <v>29.612974624491908</v>
      </c>
      <c r="I18" s="25">
        <f>+'PROINGES SAS'!I54</f>
        <v>10</v>
      </c>
      <c r="J18" s="28">
        <f t="shared" si="1"/>
        <v>99.612974624491912</v>
      </c>
    </row>
    <row r="19" spans="1:10" x14ac:dyDescent="0.25">
      <c r="J19" s="5"/>
    </row>
    <row r="20" spans="1:10" x14ac:dyDescent="0.25">
      <c r="J20" s="94"/>
    </row>
    <row r="21" spans="1:10" x14ac:dyDescent="0.25">
      <c r="C21" s="11" t="s">
        <v>49</v>
      </c>
    </row>
    <row r="65" spans="3:3" x14ac:dyDescent="0.25">
      <c r="C65" s="11" t="s">
        <v>50</v>
      </c>
    </row>
  </sheetData>
  <mergeCells count="8">
    <mergeCell ref="J13:J14"/>
    <mergeCell ref="G12:H12"/>
    <mergeCell ref="C13:C14"/>
    <mergeCell ref="B13:B14"/>
    <mergeCell ref="A13:A14"/>
    <mergeCell ref="D13:F13"/>
    <mergeCell ref="G13:H13"/>
    <mergeCell ref="I13:I14"/>
  </mergeCells>
  <conditionalFormatting sqref="H16:H53 F19:F53">
    <cfRule type="cellIs" dxfId="5" priority="33" operator="equal">
      <formula>"cumple"</formula>
    </cfRule>
  </conditionalFormatting>
  <conditionalFormatting sqref="H16:H1048576 F19:F1048576">
    <cfRule type="cellIs" dxfId="4" priority="27" operator="equal">
      <formula>"No cumple"</formula>
    </cfRule>
  </conditionalFormatting>
  <conditionalFormatting sqref="J13">
    <cfRule type="cellIs" dxfId="3" priority="1" operator="equal">
      <formula>"No cumple"</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5AA51-96EB-4EF1-9053-40C6679F5D18}">
  <dimension ref="A2:E47"/>
  <sheetViews>
    <sheetView zoomScaleNormal="100" workbookViewId="0">
      <selection activeCell="W36" sqref="W36"/>
    </sheetView>
  </sheetViews>
  <sheetFormatPr baseColWidth="10" defaultRowHeight="12" x14ac:dyDescent="0.2"/>
  <cols>
    <col min="1" max="1" width="4" style="31" customWidth="1"/>
    <col min="2" max="2" width="51.28515625" style="31" customWidth="1"/>
    <col min="3" max="3" width="17.42578125" style="31" customWidth="1"/>
    <col min="4" max="4" width="6.28515625" style="31" customWidth="1"/>
    <col min="5" max="5" width="15.140625" style="31" bestFit="1" customWidth="1"/>
    <col min="6" max="13" width="0" style="31" hidden="1" customWidth="1"/>
    <col min="14" max="16384" width="11.42578125" style="31"/>
  </cols>
  <sheetData>
    <row r="2" spans="1:5" x14ac:dyDescent="0.2">
      <c r="B2" s="32" t="s">
        <v>83</v>
      </c>
      <c r="C2" s="33">
        <f>+'PONDERABLES LP 025-2026'!C11</f>
        <v>704678194</v>
      </c>
      <c r="E2" s="34"/>
    </row>
    <row r="3" spans="1:5" x14ac:dyDescent="0.2">
      <c r="C3" s="35"/>
    </row>
    <row r="4" spans="1:5" x14ac:dyDescent="0.2">
      <c r="C4" s="36" t="s">
        <v>58</v>
      </c>
    </row>
    <row r="5" spans="1:5" x14ac:dyDescent="0.2">
      <c r="A5" s="31">
        <v>1</v>
      </c>
      <c r="B5" s="13" t="s">
        <v>16</v>
      </c>
      <c r="C5" s="37">
        <v>702103366</v>
      </c>
    </row>
    <row r="6" spans="1:5" x14ac:dyDescent="0.2">
      <c r="A6" s="31">
        <v>2</v>
      </c>
      <c r="B6" s="13" t="s">
        <v>18</v>
      </c>
      <c r="C6" s="37">
        <v>680619786</v>
      </c>
    </row>
    <row r="7" spans="1:5" x14ac:dyDescent="0.2">
      <c r="A7" s="31">
        <v>3</v>
      </c>
      <c r="B7" s="13" t="s">
        <v>20</v>
      </c>
      <c r="C7" s="37">
        <v>701187270</v>
      </c>
    </row>
    <row r="8" spans="1:5" x14ac:dyDescent="0.2">
      <c r="A8" s="31">
        <v>4</v>
      </c>
      <c r="B8" s="13" t="s">
        <v>6</v>
      </c>
      <c r="C8" s="37">
        <v>704004000</v>
      </c>
    </row>
    <row r="9" spans="1:5" x14ac:dyDescent="0.2">
      <c r="C9" s="38"/>
    </row>
    <row r="10" spans="1:5" x14ac:dyDescent="0.2">
      <c r="B10" s="31" t="s">
        <v>71</v>
      </c>
      <c r="C10" s="38">
        <v>634210374.60000002</v>
      </c>
      <c r="D10" s="39">
        <v>0.9</v>
      </c>
    </row>
    <row r="11" spans="1:5" x14ac:dyDescent="0.2">
      <c r="B11" s="31" t="s">
        <v>72</v>
      </c>
      <c r="C11" s="38">
        <v>704678194</v>
      </c>
      <c r="D11" s="39">
        <v>1</v>
      </c>
    </row>
    <row r="12" spans="1:5" x14ac:dyDescent="0.2">
      <c r="C12" s="38"/>
    </row>
    <row r="13" spans="1:5" s="40" customFormat="1" hidden="1" x14ac:dyDescent="0.2">
      <c r="C13" s="41"/>
    </row>
    <row r="14" spans="1:5" s="40" customFormat="1" hidden="1" x14ac:dyDescent="0.2">
      <c r="B14" s="42" t="s">
        <v>51</v>
      </c>
      <c r="C14" s="43">
        <v>10</v>
      </c>
    </row>
    <row r="15" spans="1:5" s="40" customFormat="1" hidden="1" x14ac:dyDescent="0.2">
      <c r="B15" s="40" t="s">
        <v>52</v>
      </c>
      <c r="C15" s="41">
        <f>+(C5+C6+C7+C8)/4</f>
        <v>696978605.5</v>
      </c>
    </row>
    <row r="16" spans="1:5" s="40" customFormat="1" hidden="1" x14ac:dyDescent="0.2">
      <c r="B16" s="42" t="s">
        <v>53</v>
      </c>
      <c r="C16" s="43">
        <f>MAX(C5:C8)</f>
        <v>704004000</v>
      </c>
    </row>
    <row r="17" spans="2:3" s="40" customFormat="1" hidden="1" x14ac:dyDescent="0.2">
      <c r="C17" s="41"/>
    </row>
    <row r="18" spans="2:3" s="40" customFormat="1" hidden="1" x14ac:dyDescent="0.2">
      <c r="C18" s="41"/>
    </row>
    <row r="19" spans="2:3" s="40" customFormat="1" hidden="1" x14ac:dyDescent="0.2">
      <c r="B19" s="44" t="s">
        <v>54</v>
      </c>
      <c r="C19" s="45">
        <f>+(C15+C16)/2</f>
        <v>700491302.75</v>
      </c>
    </row>
    <row r="20" spans="2:3" s="40" customFormat="1" hidden="1" x14ac:dyDescent="0.2">
      <c r="C20" s="41"/>
    </row>
    <row r="21" spans="2:3" s="40" customFormat="1" hidden="1" x14ac:dyDescent="0.2">
      <c r="B21" s="46" t="s">
        <v>55</v>
      </c>
      <c r="C21" s="41"/>
    </row>
    <row r="22" spans="2:3" s="40" customFormat="1" ht="24" hidden="1" x14ac:dyDescent="0.2">
      <c r="B22" s="29" t="s">
        <v>16</v>
      </c>
      <c r="C22" s="47">
        <f>30*(1-((C19-C5)/C19))</f>
        <v>30.069039968533716</v>
      </c>
    </row>
    <row r="23" spans="2:3" s="40" customFormat="1" hidden="1" x14ac:dyDescent="0.2">
      <c r="B23" s="29" t="s">
        <v>18</v>
      </c>
      <c r="C23" s="47">
        <f>30*(1-(2*(-C19+C6)/C19))</f>
        <v>31.702078241827248</v>
      </c>
    </row>
    <row r="24" spans="2:3" s="40" customFormat="1" ht="24" hidden="1" x14ac:dyDescent="0.2">
      <c r="B24" s="29" t="s">
        <v>20</v>
      </c>
      <c r="C24" s="48"/>
    </row>
    <row r="25" spans="2:3" s="40" customFormat="1" hidden="1" x14ac:dyDescent="0.2">
      <c r="B25" s="29" t="s">
        <v>6</v>
      </c>
      <c r="C25" s="48"/>
    </row>
    <row r="26" spans="2:3" s="40" customFormat="1" hidden="1" x14ac:dyDescent="0.2"/>
    <row r="27" spans="2:3" s="40" customFormat="1" hidden="1" x14ac:dyDescent="0.2"/>
    <row r="28" spans="2:3" s="40" customFormat="1" hidden="1" x14ac:dyDescent="0.2"/>
    <row r="29" spans="2:3" hidden="1" x14ac:dyDescent="0.2"/>
    <row r="30" spans="2:3" x14ac:dyDescent="0.2">
      <c r="B30" s="9" t="s">
        <v>67</v>
      </c>
      <c r="C30" s="49">
        <f>+C40</f>
        <v>699491980.8905158</v>
      </c>
    </row>
    <row r="31" spans="2:3" ht="7.5" customHeight="1" x14ac:dyDescent="0.2"/>
    <row r="32" spans="2:3" x14ac:dyDescent="0.2">
      <c r="B32" s="31" t="s">
        <v>56</v>
      </c>
      <c r="C32" s="50">
        <v>4</v>
      </c>
    </row>
    <row r="33" spans="2:4" x14ac:dyDescent="0.2">
      <c r="B33" s="31" t="s">
        <v>84</v>
      </c>
      <c r="C33" s="50">
        <v>2</v>
      </c>
    </row>
    <row r="34" spans="2:4" x14ac:dyDescent="0.2">
      <c r="B34" s="51" t="s">
        <v>57</v>
      </c>
      <c r="C34" s="52">
        <f>+'PONDERABLES LP 025-2026'!C11</f>
        <v>704678194</v>
      </c>
    </row>
    <row r="35" spans="2:4" x14ac:dyDescent="0.2">
      <c r="B35" s="31" t="s">
        <v>59</v>
      </c>
      <c r="C35" s="53">
        <f>+C5</f>
        <v>702103366</v>
      </c>
    </row>
    <row r="36" spans="2:4" x14ac:dyDescent="0.2">
      <c r="B36" s="31" t="s">
        <v>60</v>
      </c>
      <c r="C36" s="54">
        <f t="shared" ref="C36:C38" si="0">+C6</f>
        <v>680619786</v>
      </c>
    </row>
    <row r="37" spans="2:4" x14ac:dyDescent="0.2">
      <c r="B37" s="31" t="s">
        <v>61</v>
      </c>
      <c r="C37" s="53">
        <f t="shared" si="0"/>
        <v>701187270</v>
      </c>
    </row>
    <row r="38" spans="2:4" x14ac:dyDescent="0.2">
      <c r="B38" s="31" t="s">
        <v>62</v>
      </c>
      <c r="C38" s="53">
        <f t="shared" si="0"/>
        <v>704004000</v>
      </c>
    </row>
    <row r="40" spans="2:4" x14ac:dyDescent="0.2">
      <c r="C40" s="55">
        <f>PRODUCT(C35:C38,C34,C34)^(1/6)</f>
        <v>699491980.8905158</v>
      </c>
      <c r="D40" s="56" t="s">
        <v>85</v>
      </c>
    </row>
    <row r="41" spans="2:4" x14ac:dyDescent="0.2">
      <c r="C41" s="55">
        <f>EXP((LN(C35)+LN(C36)+LN(C37)+LN(C38)+LN(C34)+LN(C34))/6)</f>
        <v>699491980.8905158</v>
      </c>
      <c r="D41" s="56" t="s">
        <v>86</v>
      </c>
    </row>
    <row r="43" spans="2:4" x14ac:dyDescent="0.2">
      <c r="B43" s="56" t="s">
        <v>55</v>
      </c>
    </row>
    <row r="44" spans="2:4" x14ac:dyDescent="0.2">
      <c r="B44" s="57" t="s">
        <v>59</v>
      </c>
      <c r="C44" s="58">
        <f>30*(1-(2*((C35-$C$40)/$C$40)))</f>
        <v>29.776004427713978</v>
      </c>
    </row>
    <row r="45" spans="2:4" x14ac:dyDescent="0.2">
      <c r="B45" s="57" t="s">
        <v>60</v>
      </c>
      <c r="C45" s="58">
        <f>30*(C36/$C$40)</f>
        <v>29.190604235384235</v>
      </c>
    </row>
    <row r="46" spans="2:4" x14ac:dyDescent="0.2">
      <c r="B46" s="57" t="s">
        <v>61</v>
      </c>
      <c r="C46" s="58">
        <f>30*(1-(2*((C37-$C$40)/$C$40)))</f>
        <v>29.854583970441581</v>
      </c>
    </row>
    <row r="47" spans="2:4" x14ac:dyDescent="0.2">
      <c r="B47" s="57" t="s">
        <v>62</v>
      </c>
      <c r="C47" s="58">
        <f>30*(1-(2*((C38-$C$40)/$C$40)))</f>
        <v>29.612974624491908</v>
      </c>
    </row>
  </sheetData>
  <pageMargins left="0.7" right="0.7" top="0.75" bottom="0.75" header="0.3" footer="0.3"/>
  <ignoredErrors>
    <ignoredError sqref="C45" formula="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A1BCF-F09A-4A5C-9A56-F7B32ECC2C5B}">
  <dimension ref="B2:J54"/>
  <sheetViews>
    <sheetView showGridLines="0" zoomScale="85" zoomScaleNormal="85" workbookViewId="0">
      <selection activeCell="H60" sqref="H60"/>
    </sheetView>
  </sheetViews>
  <sheetFormatPr baseColWidth="10" defaultColWidth="11.42578125" defaultRowHeight="12" x14ac:dyDescent="0.2"/>
  <cols>
    <col min="1" max="1" width="1.85546875" style="2" customWidth="1"/>
    <col min="2" max="2" width="2.5703125" style="59" customWidth="1"/>
    <col min="3" max="3" width="3.28515625" style="2" customWidth="1"/>
    <col min="4" max="4" width="22.28515625" style="2" customWidth="1"/>
    <col min="5" max="5" width="88.28515625" style="2" customWidth="1"/>
    <col min="6" max="6" width="16.140625" style="2" bestFit="1" customWidth="1"/>
    <col min="7" max="7" width="14.5703125" style="2" bestFit="1" customWidth="1"/>
    <col min="8" max="8" width="21.85546875" style="2" customWidth="1"/>
    <col min="9" max="9" width="7.42578125" style="1" customWidth="1"/>
    <col min="10" max="16384" width="11.42578125" style="2"/>
  </cols>
  <sheetData>
    <row r="2" spans="2:9" ht="12.75" thickBot="1" x14ac:dyDescent="0.25"/>
    <row r="3" spans="2:9" s="6" customFormat="1" ht="27.75" customHeight="1" thickBot="1" x14ac:dyDescent="0.3">
      <c r="B3" s="60"/>
      <c r="D3" s="61" t="s">
        <v>4</v>
      </c>
      <c r="E3" s="103" t="str">
        <f>+'PONDERABLES LP 025-2026'!C15</f>
        <v>UNIÓN TEMPORAL INTERVENTORÍA SSFV BARBACOAS 2026</v>
      </c>
      <c r="F3" s="104"/>
      <c r="I3" s="5"/>
    </row>
    <row r="5" spans="2:9" x14ac:dyDescent="0.2">
      <c r="D5" s="102" t="s">
        <v>40</v>
      </c>
      <c r="E5" s="102"/>
      <c r="F5" s="102"/>
      <c r="G5" s="102"/>
      <c r="H5" s="102"/>
    </row>
    <row r="7" spans="2:9" x14ac:dyDescent="0.2">
      <c r="E7" s="3" t="s">
        <v>23</v>
      </c>
      <c r="F7" s="62">
        <f>+'PONDERABLES LP 025-2026'!C11</f>
        <v>704678194</v>
      </c>
      <c r="G7" s="92">
        <f>+F7/1750905</f>
        <v>402.4651217513229</v>
      </c>
      <c r="H7" s="2" t="s">
        <v>93</v>
      </c>
    </row>
    <row r="8" spans="2:9" ht="27.75" customHeight="1" x14ac:dyDescent="0.2">
      <c r="E8" s="63">
        <v>0.3</v>
      </c>
      <c r="F8" s="10">
        <f>+F7*E8</f>
        <v>211403458.19999999</v>
      </c>
      <c r="G8" s="92">
        <f>+F8/1750905</f>
        <v>120.73953652539686</v>
      </c>
    </row>
    <row r="9" spans="2:9" x14ac:dyDescent="0.2">
      <c r="E9" s="63">
        <v>0.5</v>
      </c>
      <c r="F9" s="10">
        <f>+F7*E9</f>
        <v>352339097</v>
      </c>
      <c r="G9" s="92">
        <f>+F9/1750905</f>
        <v>201.23256087566145</v>
      </c>
    </row>
    <row r="10" spans="2:9" x14ac:dyDescent="0.2">
      <c r="D10" s="3" t="s">
        <v>9</v>
      </c>
      <c r="F10" s="10"/>
    </row>
    <row r="11" spans="2:9" x14ac:dyDescent="0.2">
      <c r="D11" s="64" t="s">
        <v>36</v>
      </c>
      <c r="E11" s="64"/>
    </row>
    <row r="13" spans="2:9" x14ac:dyDescent="0.2">
      <c r="D13" s="65"/>
      <c r="E13" s="65" t="s">
        <v>7</v>
      </c>
      <c r="F13" s="65" t="s">
        <v>8</v>
      </c>
      <c r="G13" s="65" t="s">
        <v>94</v>
      </c>
      <c r="H13" s="65" t="s">
        <v>25</v>
      </c>
    </row>
    <row r="14" spans="2:9" x14ac:dyDescent="0.2">
      <c r="D14" s="8" t="s">
        <v>10</v>
      </c>
      <c r="E14" s="66"/>
      <c r="F14" s="67"/>
      <c r="G14" s="67"/>
      <c r="H14" s="68"/>
    </row>
    <row r="15" spans="2:9" x14ac:dyDescent="0.2">
      <c r="D15" s="8" t="s">
        <v>11</v>
      </c>
      <c r="E15" s="66"/>
      <c r="F15" s="67"/>
      <c r="G15" s="67"/>
      <c r="H15" s="68"/>
    </row>
    <row r="16" spans="2:9" x14ac:dyDescent="0.2">
      <c r="D16" s="8" t="s">
        <v>12</v>
      </c>
      <c r="E16" s="66"/>
      <c r="F16" s="67"/>
      <c r="G16" s="67"/>
      <c r="H16" s="68"/>
    </row>
    <row r="17" spans="4:9" x14ac:dyDescent="0.2">
      <c r="D17" s="69"/>
      <c r="E17" s="69" t="s">
        <v>26</v>
      </c>
      <c r="F17" s="70">
        <f>+SUM(F14:F16)</f>
        <v>0</v>
      </c>
      <c r="G17" s="70">
        <f>+SUM(G14:G16)</f>
        <v>0</v>
      </c>
      <c r="H17" s="71" t="str">
        <f>+IF(G17&lt;G8,"No Cumple","Cumple")</f>
        <v>No Cumple</v>
      </c>
      <c r="I17" s="90">
        <f>+IF(H17="Cumple",10,0)</f>
        <v>0</v>
      </c>
    </row>
    <row r="19" spans="4:9" x14ac:dyDescent="0.2">
      <c r="D19" s="65"/>
      <c r="E19" s="65" t="s">
        <v>7</v>
      </c>
      <c r="F19" s="65" t="s">
        <v>8</v>
      </c>
      <c r="G19" s="65" t="s">
        <v>94</v>
      </c>
      <c r="H19" s="65" t="s">
        <v>25</v>
      </c>
    </row>
    <row r="20" spans="4:9" ht="139.5" customHeight="1" x14ac:dyDescent="0.2">
      <c r="D20" s="25" t="s">
        <v>10</v>
      </c>
      <c r="E20" s="73" t="s">
        <v>63</v>
      </c>
      <c r="F20" s="80">
        <v>454336863</v>
      </c>
      <c r="G20" s="93">
        <v>581.55999999999995</v>
      </c>
      <c r="H20" s="68"/>
    </row>
    <row r="21" spans="4:9" ht="98.25" customHeight="1" x14ac:dyDescent="0.2">
      <c r="D21" s="8" t="s">
        <v>11</v>
      </c>
      <c r="E21" s="73" t="s">
        <v>87</v>
      </c>
      <c r="F21" s="81">
        <v>578744500</v>
      </c>
      <c r="G21" s="93">
        <v>578.74</v>
      </c>
      <c r="H21" s="68"/>
    </row>
    <row r="22" spans="4:9" ht="63" customHeight="1" x14ac:dyDescent="0.2">
      <c r="D22" s="25" t="s">
        <v>12</v>
      </c>
      <c r="E22" s="73" t="s">
        <v>64</v>
      </c>
      <c r="F22" s="80">
        <v>473382000</v>
      </c>
      <c r="G22" s="93">
        <v>408.09</v>
      </c>
      <c r="H22" s="68"/>
    </row>
    <row r="23" spans="4:9" ht="63.75" customHeight="1" x14ac:dyDescent="0.2">
      <c r="D23" s="25" t="s">
        <v>21</v>
      </c>
      <c r="E23" s="73" t="s">
        <v>65</v>
      </c>
      <c r="F23" s="80">
        <v>215025000</v>
      </c>
      <c r="G23" s="93">
        <v>165.4</v>
      </c>
      <c r="H23" s="68"/>
    </row>
    <row r="24" spans="4:9" ht="67.5" customHeight="1" x14ac:dyDescent="0.2">
      <c r="D24" s="25" t="s">
        <v>22</v>
      </c>
      <c r="E24" s="73" t="s">
        <v>66</v>
      </c>
      <c r="F24" s="80">
        <v>291089555</v>
      </c>
      <c r="G24" s="93">
        <v>223.92</v>
      </c>
      <c r="H24" s="68"/>
    </row>
    <row r="25" spans="4:9" x14ac:dyDescent="0.2">
      <c r="D25" s="69"/>
      <c r="E25" s="69" t="s">
        <v>27</v>
      </c>
      <c r="F25" s="70">
        <f>+SUM(F20:F24)</f>
        <v>2012577918</v>
      </c>
      <c r="G25" s="70">
        <f>+SUM(G20:G24)</f>
        <v>1957.71</v>
      </c>
      <c r="H25" s="71" t="str">
        <f>+IF(G25&lt;G9,"No Cumple","Cumple")</f>
        <v>Cumple</v>
      </c>
      <c r="I25" s="90">
        <f>+IF(H25="Cumple",30,0)</f>
        <v>30</v>
      </c>
    </row>
    <row r="28" spans="4:9" x14ac:dyDescent="0.2">
      <c r="D28" s="75"/>
      <c r="E28" s="76" t="s">
        <v>28</v>
      </c>
    </row>
    <row r="30" spans="4:9" x14ac:dyDescent="0.2">
      <c r="D30" s="65"/>
      <c r="E30" s="65" t="s">
        <v>7</v>
      </c>
      <c r="F30" s="65" t="s">
        <v>8</v>
      </c>
      <c r="G30" s="65" t="s">
        <v>94</v>
      </c>
      <c r="H30" s="65" t="s">
        <v>25</v>
      </c>
    </row>
    <row r="31" spans="4:9" x14ac:dyDescent="0.2">
      <c r="D31" s="8" t="s">
        <v>10</v>
      </c>
      <c r="E31" s="66"/>
      <c r="F31" s="67"/>
      <c r="G31" s="67"/>
      <c r="H31" s="68"/>
    </row>
    <row r="32" spans="4:9" x14ac:dyDescent="0.2">
      <c r="D32" s="8" t="s">
        <v>11</v>
      </c>
      <c r="E32" s="66"/>
      <c r="F32" s="67"/>
      <c r="G32" s="67"/>
      <c r="H32" s="68"/>
    </row>
    <row r="33" spans="4:10" x14ac:dyDescent="0.2">
      <c r="D33" s="8" t="s">
        <v>12</v>
      </c>
      <c r="E33" s="66"/>
      <c r="F33" s="67"/>
      <c r="G33" s="67"/>
      <c r="H33" s="68"/>
    </row>
    <row r="34" spans="4:10" x14ac:dyDescent="0.2">
      <c r="D34" s="69"/>
      <c r="E34" s="69" t="s">
        <v>29</v>
      </c>
      <c r="F34" s="70">
        <f>+SUM(F31:F33)</f>
        <v>0</v>
      </c>
      <c r="G34" s="70">
        <f>+SUM(G31:G33)</f>
        <v>0</v>
      </c>
      <c r="H34" s="71" t="str">
        <f>+IF(G34&lt;G8,"No Cumple","Cumple")</f>
        <v>No Cumple</v>
      </c>
      <c r="I34" s="90">
        <f>+IF(H34="Cumple",15,0)</f>
        <v>0</v>
      </c>
    </row>
    <row r="36" spans="4:10" x14ac:dyDescent="0.2">
      <c r="D36" s="65"/>
      <c r="E36" s="65" t="s">
        <v>7</v>
      </c>
      <c r="F36" s="65" t="s">
        <v>8</v>
      </c>
      <c r="G36" s="65" t="s">
        <v>94</v>
      </c>
      <c r="H36" s="65" t="s">
        <v>25</v>
      </c>
    </row>
    <row r="37" spans="4:10" ht="139.5" customHeight="1" x14ac:dyDescent="0.2">
      <c r="D37" s="8" t="s">
        <v>10</v>
      </c>
      <c r="E37" s="73" t="s">
        <v>63</v>
      </c>
      <c r="F37" s="80">
        <v>454336863</v>
      </c>
      <c r="G37" s="93">
        <v>581.55999999999995</v>
      </c>
      <c r="H37" s="68"/>
    </row>
    <row r="38" spans="4:10" ht="15.75" customHeight="1" x14ac:dyDescent="0.2">
      <c r="D38" s="8" t="s">
        <v>11</v>
      </c>
      <c r="E38" s="73"/>
      <c r="F38" s="80"/>
      <c r="G38" s="93"/>
      <c r="H38" s="68"/>
    </row>
    <row r="39" spans="4:10" ht="66.75" customHeight="1" x14ac:dyDescent="0.2">
      <c r="D39" s="8" t="s">
        <v>12</v>
      </c>
      <c r="E39" s="73" t="s">
        <v>64</v>
      </c>
      <c r="F39" s="80">
        <v>473382000</v>
      </c>
      <c r="G39" s="93">
        <v>408.09</v>
      </c>
      <c r="H39" s="68"/>
    </row>
    <row r="40" spans="4:10" ht="64.5" customHeight="1" x14ac:dyDescent="0.2">
      <c r="D40" s="8" t="s">
        <v>21</v>
      </c>
      <c r="E40" s="73" t="s">
        <v>65</v>
      </c>
      <c r="F40" s="80">
        <v>215025000</v>
      </c>
      <c r="G40" s="93">
        <v>165.4</v>
      </c>
      <c r="H40" s="68"/>
    </row>
    <row r="41" spans="4:10" ht="68.25" customHeight="1" x14ac:dyDescent="0.2">
      <c r="D41" s="8" t="s">
        <v>22</v>
      </c>
      <c r="E41" s="73" t="s">
        <v>66</v>
      </c>
      <c r="F41" s="80">
        <v>291089555</v>
      </c>
      <c r="G41" s="93">
        <v>223.92</v>
      </c>
      <c r="H41" s="68"/>
    </row>
    <row r="42" spans="4:10" x14ac:dyDescent="0.2">
      <c r="D42" s="69"/>
      <c r="E42" s="69" t="s">
        <v>30</v>
      </c>
      <c r="F42" s="70">
        <f>+SUM(F37:F41)</f>
        <v>1433833418</v>
      </c>
      <c r="G42" s="70">
        <f>+SUM(G37:G41)</f>
        <v>1378.97</v>
      </c>
      <c r="H42" s="71" t="str">
        <f>+IF(G42&lt;G9,"No Cumple","Cumple")</f>
        <v>Cumple</v>
      </c>
      <c r="I42" s="90">
        <f>+IF(H42="Cumple",30,0)</f>
        <v>30</v>
      </c>
    </row>
    <row r="44" spans="4:10" x14ac:dyDescent="0.2">
      <c r="H44" s="77" t="s">
        <v>35</v>
      </c>
      <c r="I44" s="77">
        <f>+SUM(I13:I43)</f>
        <v>60</v>
      </c>
      <c r="J44" s="2" t="s">
        <v>37</v>
      </c>
    </row>
    <row r="46" spans="4:10" x14ac:dyDescent="0.2">
      <c r="D46" s="64" t="s">
        <v>34</v>
      </c>
      <c r="E46" s="64"/>
    </row>
    <row r="48" spans="4:10" x14ac:dyDescent="0.2">
      <c r="D48" s="78" t="s">
        <v>31</v>
      </c>
      <c r="E48" s="78"/>
      <c r="F48" s="79" t="s">
        <v>39</v>
      </c>
      <c r="I48" s="90">
        <f>+IF(F48="Cumple",10,0)</f>
        <v>10</v>
      </c>
    </row>
    <row r="50" spans="4:10" x14ac:dyDescent="0.2">
      <c r="D50" s="78" t="s">
        <v>32</v>
      </c>
      <c r="E50" s="78"/>
      <c r="F50" s="79"/>
      <c r="I50" s="90">
        <f>+IF(F50="Cumple",5,0)</f>
        <v>0</v>
      </c>
    </row>
    <row r="52" spans="4:10" x14ac:dyDescent="0.2">
      <c r="D52" s="78" t="s">
        <v>33</v>
      </c>
      <c r="E52" s="78"/>
      <c r="F52" s="79"/>
      <c r="I52" s="90">
        <v>0</v>
      </c>
    </row>
    <row r="54" spans="4:10" x14ac:dyDescent="0.2">
      <c r="H54" s="77" t="s">
        <v>35</v>
      </c>
      <c r="I54" s="77">
        <f>+SUM(I48:I53)</f>
        <v>10</v>
      </c>
      <c r="J54" s="2" t="s">
        <v>38</v>
      </c>
    </row>
  </sheetData>
  <mergeCells count="2">
    <mergeCell ref="D5:H5"/>
    <mergeCell ref="E3:F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1E8C9-DD73-41A3-B6CC-8A35B29E2344}">
  <dimension ref="B2:J54"/>
  <sheetViews>
    <sheetView showGridLines="0" topLeftCell="A13" zoomScale="85" zoomScaleNormal="85" workbookViewId="0">
      <selection activeCell="H42" sqref="H42"/>
    </sheetView>
  </sheetViews>
  <sheetFormatPr baseColWidth="10" defaultColWidth="11.42578125" defaultRowHeight="12" x14ac:dyDescent="0.2"/>
  <cols>
    <col min="1" max="1" width="2.7109375" style="2" customWidth="1"/>
    <col min="2" max="2" width="2.5703125" style="59" customWidth="1"/>
    <col min="3" max="3" width="5.5703125" style="2" customWidth="1"/>
    <col min="4" max="4" width="22.28515625" style="2" customWidth="1"/>
    <col min="5" max="5" width="88.7109375" style="2" customWidth="1"/>
    <col min="6" max="6" width="20.140625" style="2" customWidth="1"/>
    <col min="7" max="7" width="17.28515625" style="2" bestFit="1" customWidth="1"/>
    <col min="8" max="8" width="27.42578125" style="2" customWidth="1"/>
    <col min="9" max="9" width="11.42578125" style="1"/>
    <col min="10" max="16384" width="11.42578125" style="2"/>
  </cols>
  <sheetData>
    <row r="2" spans="2:9" ht="12.75" thickBot="1" x14ac:dyDescent="0.25"/>
    <row r="3" spans="2:9" s="6" customFormat="1" ht="27.75" customHeight="1" thickBot="1" x14ac:dyDescent="0.3">
      <c r="B3" s="60"/>
      <c r="D3" s="61" t="s">
        <v>4</v>
      </c>
      <c r="E3" s="103" t="str">
        <f>+'PONDERABLES LP 025-2026'!C16</f>
        <v>INSERGROUP - ISG S.A.S.</v>
      </c>
      <c r="F3" s="104"/>
      <c r="I3" s="5"/>
    </row>
    <row r="5" spans="2:9" x14ac:dyDescent="0.2">
      <c r="D5" s="102" t="s">
        <v>40</v>
      </c>
      <c r="E5" s="102"/>
      <c r="F5" s="102"/>
      <c r="G5" s="102"/>
      <c r="H5" s="102"/>
    </row>
    <row r="7" spans="2:9" x14ac:dyDescent="0.2">
      <c r="E7" s="3" t="s">
        <v>23</v>
      </c>
      <c r="F7" s="62">
        <f>+'PONDERABLES LP 025-2026'!C11</f>
        <v>704678194</v>
      </c>
      <c r="G7" s="92">
        <f>+F7/1750905</f>
        <v>402.4651217513229</v>
      </c>
      <c r="H7" s="2" t="s">
        <v>93</v>
      </c>
    </row>
    <row r="8" spans="2:9" ht="27.75" customHeight="1" x14ac:dyDescent="0.2">
      <c r="E8" s="63">
        <v>0.3</v>
      </c>
      <c r="F8" s="10">
        <f>+F7*E8</f>
        <v>211403458.19999999</v>
      </c>
      <c r="G8" s="92">
        <f>+F8/1750905</f>
        <v>120.73953652539686</v>
      </c>
    </row>
    <row r="9" spans="2:9" x14ac:dyDescent="0.2">
      <c r="E9" s="63">
        <v>0.5</v>
      </c>
      <c r="F9" s="10">
        <f>+F7*E9</f>
        <v>352339097</v>
      </c>
      <c r="G9" s="92">
        <f>+F9/1750905</f>
        <v>201.23256087566145</v>
      </c>
    </row>
    <row r="10" spans="2:9" x14ac:dyDescent="0.2">
      <c r="D10" s="3" t="s">
        <v>9</v>
      </c>
      <c r="F10" s="10"/>
    </row>
    <row r="11" spans="2:9" x14ac:dyDescent="0.2">
      <c r="D11" s="64" t="s">
        <v>36</v>
      </c>
      <c r="E11" s="64"/>
    </row>
    <row r="13" spans="2:9" x14ac:dyDescent="0.2">
      <c r="D13" s="65"/>
      <c r="E13" s="65" t="s">
        <v>7</v>
      </c>
      <c r="F13" s="65" t="s">
        <v>8</v>
      </c>
      <c r="G13" s="65" t="s">
        <v>94</v>
      </c>
      <c r="H13" s="65" t="s">
        <v>25</v>
      </c>
    </row>
    <row r="14" spans="2:9" x14ac:dyDescent="0.2">
      <c r="D14" s="8" t="s">
        <v>10</v>
      </c>
      <c r="E14" s="66"/>
      <c r="F14" s="67"/>
      <c r="G14" s="67"/>
      <c r="H14" s="68"/>
    </row>
    <row r="15" spans="2:9" x14ac:dyDescent="0.2">
      <c r="D15" s="8" t="s">
        <v>11</v>
      </c>
      <c r="E15" s="66"/>
      <c r="F15" s="67"/>
      <c r="G15" s="67"/>
      <c r="H15" s="68"/>
    </row>
    <row r="16" spans="2:9" x14ac:dyDescent="0.2">
      <c r="D16" s="8" t="s">
        <v>12</v>
      </c>
      <c r="E16" s="66"/>
      <c r="F16" s="67"/>
      <c r="G16" s="67"/>
      <c r="H16" s="68"/>
    </row>
    <row r="17" spans="2:9" x14ac:dyDescent="0.2">
      <c r="D17" s="69"/>
      <c r="E17" s="69" t="s">
        <v>26</v>
      </c>
      <c r="F17" s="70">
        <f>+SUM(F14:F16)</f>
        <v>0</v>
      </c>
      <c r="G17" s="70">
        <f>+SUM(G14:G16)</f>
        <v>0</v>
      </c>
      <c r="H17" s="71" t="str">
        <f>+IF(G17&lt;G8,"No Cumple","Cumple")</f>
        <v>No Cumple</v>
      </c>
      <c r="I17" s="90">
        <f>+IF(H17="Cumple",10,0)</f>
        <v>0</v>
      </c>
    </row>
    <row r="19" spans="2:9" x14ac:dyDescent="0.2">
      <c r="D19" s="65"/>
      <c r="E19" s="65" t="s">
        <v>7</v>
      </c>
      <c r="F19" s="65" t="s">
        <v>8</v>
      </c>
      <c r="G19" s="65" t="s">
        <v>94</v>
      </c>
      <c r="H19" s="65" t="s">
        <v>25</v>
      </c>
    </row>
    <row r="20" spans="2:9" s="6" customFormat="1" ht="99" customHeight="1" x14ac:dyDescent="0.25">
      <c r="B20" s="60"/>
      <c r="D20" s="25" t="s">
        <v>10</v>
      </c>
      <c r="E20" s="82" t="s">
        <v>77</v>
      </c>
      <c r="F20" s="83">
        <v>270000000</v>
      </c>
      <c r="G20" s="83">
        <v>207.69</v>
      </c>
      <c r="H20" s="7"/>
      <c r="I20" s="5"/>
    </row>
    <row r="21" spans="2:9" s="6" customFormat="1" ht="84" customHeight="1" x14ac:dyDescent="0.25">
      <c r="B21" s="60"/>
      <c r="D21" s="25" t="s">
        <v>11</v>
      </c>
      <c r="E21" s="82" t="s">
        <v>78</v>
      </c>
      <c r="F21" s="83">
        <v>139000000</v>
      </c>
      <c r="G21" s="83">
        <v>177.92</v>
      </c>
      <c r="H21" s="7"/>
      <c r="I21" s="5"/>
    </row>
    <row r="22" spans="2:9" s="6" customFormat="1" ht="56.25" customHeight="1" x14ac:dyDescent="0.25">
      <c r="B22" s="60"/>
      <c r="D22" s="25" t="s">
        <v>12</v>
      </c>
      <c r="E22" s="82" t="s">
        <v>79</v>
      </c>
      <c r="F22" s="83">
        <v>474110280</v>
      </c>
      <c r="G22" s="83">
        <v>364.7</v>
      </c>
      <c r="H22" s="7"/>
      <c r="I22" s="5"/>
    </row>
    <row r="23" spans="2:9" s="6" customFormat="1" ht="68.25" customHeight="1" x14ac:dyDescent="0.25">
      <c r="B23" s="60"/>
      <c r="D23" s="25" t="s">
        <v>21</v>
      </c>
      <c r="E23" s="82" t="s">
        <v>80</v>
      </c>
      <c r="F23" s="83">
        <v>127000000</v>
      </c>
      <c r="G23" s="83">
        <v>144.68</v>
      </c>
      <c r="H23" s="7"/>
      <c r="I23" s="5"/>
    </row>
    <row r="24" spans="2:9" x14ac:dyDescent="0.2">
      <c r="D24" s="8" t="s">
        <v>22</v>
      </c>
      <c r="E24" s="66"/>
      <c r="F24" s="67"/>
      <c r="G24" s="67"/>
      <c r="H24" s="68"/>
    </row>
    <row r="25" spans="2:9" x14ac:dyDescent="0.2">
      <c r="D25" s="69"/>
      <c r="E25" s="69" t="s">
        <v>27</v>
      </c>
      <c r="F25" s="70">
        <f>+SUM(F20:F24)</f>
        <v>1010110280</v>
      </c>
      <c r="G25" s="70">
        <f>+SUM(G20:G24)</f>
        <v>894.99</v>
      </c>
      <c r="H25" s="71" t="str">
        <f>+IF(G25&lt;G9,"No Cumple","Cumple")</f>
        <v>Cumple</v>
      </c>
      <c r="I25" s="90">
        <f>+IF(H25="Cumple",30,0)</f>
        <v>30</v>
      </c>
    </row>
    <row r="28" spans="2:9" x14ac:dyDescent="0.2">
      <c r="D28" s="75"/>
      <c r="E28" s="76" t="s">
        <v>28</v>
      </c>
    </row>
    <row r="30" spans="2:9" x14ac:dyDescent="0.2">
      <c r="D30" s="65"/>
      <c r="E30" s="65" t="s">
        <v>7</v>
      </c>
      <c r="F30" s="65" t="s">
        <v>8</v>
      </c>
      <c r="G30" s="65" t="s">
        <v>94</v>
      </c>
      <c r="H30" s="65" t="s">
        <v>25</v>
      </c>
    </row>
    <row r="31" spans="2:9" x14ac:dyDescent="0.2">
      <c r="D31" s="8" t="s">
        <v>10</v>
      </c>
      <c r="E31" s="66"/>
      <c r="F31" s="67"/>
      <c r="G31" s="67"/>
      <c r="H31" s="68"/>
    </row>
    <row r="32" spans="2:9" x14ac:dyDescent="0.2">
      <c r="D32" s="8" t="s">
        <v>11</v>
      </c>
      <c r="E32" s="66"/>
      <c r="F32" s="67"/>
      <c r="G32" s="67"/>
      <c r="H32" s="68"/>
    </row>
    <row r="33" spans="2:10" x14ac:dyDescent="0.2">
      <c r="D33" s="8" t="s">
        <v>12</v>
      </c>
      <c r="E33" s="66"/>
      <c r="F33" s="67"/>
      <c r="G33" s="67"/>
      <c r="H33" s="68"/>
    </row>
    <row r="34" spans="2:10" x14ac:dyDescent="0.2">
      <c r="D34" s="69"/>
      <c r="E34" s="69" t="s">
        <v>29</v>
      </c>
      <c r="F34" s="70">
        <f>+SUM(F31:F33)</f>
        <v>0</v>
      </c>
      <c r="G34" s="70">
        <f>+SUM(G31:G33)</f>
        <v>0</v>
      </c>
      <c r="H34" s="71" t="str">
        <f>+IF(G34&lt;G8,"No Cumple","Cumple")</f>
        <v>No Cumple</v>
      </c>
      <c r="I34" s="90">
        <f>+IF(H34="Cumple",15,0)</f>
        <v>0</v>
      </c>
    </row>
    <row r="36" spans="2:10" x14ac:dyDescent="0.2">
      <c r="D36" s="65"/>
      <c r="E36" s="65" t="s">
        <v>7</v>
      </c>
      <c r="F36" s="65" t="s">
        <v>8</v>
      </c>
      <c r="G36" s="65" t="s">
        <v>94</v>
      </c>
      <c r="H36" s="65" t="s">
        <v>25</v>
      </c>
    </row>
    <row r="37" spans="2:10" s="86" customFormat="1" ht="97.5" customHeight="1" x14ac:dyDescent="0.25">
      <c r="B37" s="85"/>
      <c r="D37" s="84" t="s">
        <v>10</v>
      </c>
      <c r="E37" s="82" t="s">
        <v>77</v>
      </c>
      <c r="F37" s="87">
        <v>270000000</v>
      </c>
      <c r="G37" s="83">
        <v>207.69</v>
      </c>
      <c r="H37" s="82"/>
      <c r="I37" s="91"/>
    </row>
    <row r="38" spans="2:10" s="86" customFormat="1" ht="93.75" customHeight="1" x14ac:dyDescent="0.25">
      <c r="B38" s="85"/>
      <c r="D38" s="84" t="s">
        <v>11</v>
      </c>
      <c r="E38" s="82" t="s">
        <v>78</v>
      </c>
      <c r="F38" s="87">
        <v>139000000</v>
      </c>
      <c r="G38" s="83">
        <v>177.92</v>
      </c>
      <c r="H38" s="82"/>
      <c r="I38" s="91"/>
    </row>
    <row r="39" spans="2:10" s="86" customFormat="1" ht="59.25" customHeight="1" x14ac:dyDescent="0.25">
      <c r="B39" s="85"/>
      <c r="D39" s="84" t="s">
        <v>12</v>
      </c>
      <c r="E39" s="82" t="s">
        <v>79</v>
      </c>
      <c r="F39" s="87">
        <v>474110280</v>
      </c>
      <c r="G39" s="83">
        <v>364.7</v>
      </c>
      <c r="H39" s="82"/>
      <c r="I39" s="91"/>
    </row>
    <row r="40" spans="2:10" s="86" customFormat="1" ht="65.25" customHeight="1" x14ac:dyDescent="0.25">
      <c r="B40" s="85"/>
      <c r="D40" s="84" t="s">
        <v>21</v>
      </c>
      <c r="E40" s="82" t="s">
        <v>80</v>
      </c>
      <c r="F40" s="87">
        <v>127000000</v>
      </c>
      <c r="G40" s="83">
        <v>144.68</v>
      </c>
      <c r="H40" s="82"/>
      <c r="I40" s="91"/>
    </row>
    <row r="41" spans="2:10" x14ac:dyDescent="0.2">
      <c r="D41" s="8" t="s">
        <v>22</v>
      </c>
      <c r="E41" s="66"/>
      <c r="F41" s="67"/>
      <c r="G41" s="67"/>
      <c r="H41" s="68"/>
    </row>
    <row r="42" spans="2:10" x14ac:dyDescent="0.2">
      <c r="D42" s="69"/>
      <c r="E42" s="69" t="s">
        <v>30</v>
      </c>
      <c r="F42" s="70">
        <f>+SUM(F37:F41)</f>
        <v>1010110280</v>
      </c>
      <c r="G42" s="70">
        <f>+SUM(G37:G41)</f>
        <v>894.99</v>
      </c>
      <c r="H42" s="71" t="str">
        <f>+IF(G42&lt;G9,"No Cumple","Cumple")</f>
        <v>Cumple</v>
      </c>
      <c r="I42" s="90">
        <f>+IF(H42="Cumple",30,0)</f>
        <v>30</v>
      </c>
    </row>
    <row r="44" spans="2:10" x14ac:dyDescent="0.2">
      <c r="H44" s="77" t="s">
        <v>35</v>
      </c>
      <c r="I44" s="77">
        <f>+SUM(I13:I43)</f>
        <v>60</v>
      </c>
      <c r="J44" s="2" t="s">
        <v>37</v>
      </c>
    </row>
    <row r="46" spans="2:10" x14ac:dyDescent="0.2">
      <c r="D46" s="64" t="s">
        <v>34</v>
      </c>
      <c r="E46" s="64"/>
    </row>
    <row r="48" spans="2:10" x14ac:dyDescent="0.2">
      <c r="D48" s="78" t="s">
        <v>31</v>
      </c>
      <c r="E48" s="78"/>
      <c r="F48" s="79" t="s">
        <v>39</v>
      </c>
      <c r="I48" s="90">
        <f>+IF(F48="Cumple",10,0)</f>
        <v>10</v>
      </c>
    </row>
    <row r="50" spans="4:10" x14ac:dyDescent="0.2">
      <c r="D50" s="78" t="s">
        <v>32</v>
      </c>
      <c r="E50" s="78"/>
      <c r="F50" s="79"/>
      <c r="I50" s="90">
        <f>+IF(F50="Cumple",5,0)</f>
        <v>0</v>
      </c>
    </row>
    <row r="52" spans="4:10" x14ac:dyDescent="0.2">
      <c r="D52" s="78" t="s">
        <v>33</v>
      </c>
      <c r="E52" s="78"/>
      <c r="F52" s="79"/>
      <c r="I52" s="90">
        <v>0</v>
      </c>
    </row>
    <row r="54" spans="4:10" x14ac:dyDescent="0.2">
      <c r="H54" s="77" t="s">
        <v>35</v>
      </c>
      <c r="I54" s="77">
        <f>+SUM(I48:I53)</f>
        <v>10</v>
      </c>
      <c r="J54" s="2" t="s">
        <v>38</v>
      </c>
    </row>
  </sheetData>
  <mergeCells count="2">
    <mergeCell ref="D5:H5"/>
    <mergeCell ref="E3:F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F4587-44CE-4585-B999-53008C695C49}">
  <dimension ref="B2:J54"/>
  <sheetViews>
    <sheetView showGridLines="0" topLeftCell="A13" zoomScale="85" zoomScaleNormal="85" workbookViewId="0">
      <selection activeCell="H7" sqref="H7"/>
    </sheetView>
  </sheetViews>
  <sheetFormatPr baseColWidth="10" defaultColWidth="11.42578125" defaultRowHeight="12" x14ac:dyDescent="0.2"/>
  <cols>
    <col min="1" max="1" width="1.42578125" style="2" customWidth="1"/>
    <col min="2" max="2" width="2.5703125" style="59" customWidth="1"/>
    <col min="3" max="3" width="3.85546875" style="2" customWidth="1"/>
    <col min="4" max="4" width="22.28515625" style="2" customWidth="1"/>
    <col min="5" max="5" width="88.28515625" style="2" customWidth="1"/>
    <col min="6" max="6" width="20.140625" style="2" customWidth="1"/>
    <col min="7" max="7" width="18.140625" style="2" customWidth="1"/>
    <col min="8" max="8" width="27.42578125" style="2" customWidth="1"/>
    <col min="9" max="9" width="9.42578125" style="1" customWidth="1"/>
    <col min="10" max="16384" width="11.42578125" style="2"/>
  </cols>
  <sheetData>
    <row r="2" spans="2:9" ht="12.75" thickBot="1" x14ac:dyDescent="0.25"/>
    <row r="3" spans="2:9" s="6" customFormat="1" ht="27.75" customHeight="1" thickBot="1" x14ac:dyDescent="0.3">
      <c r="B3" s="60"/>
      <c r="D3" s="61" t="s">
        <v>4</v>
      </c>
      <c r="E3" s="103" t="str">
        <f>+'PONDERABLES LP 025-2026'!C17</f>
        <v>SERVICIOS DE CONSULTORIA, OBRAS Y BIENES SAS “SECOB SAS”</v>
      </c>
      <c r="F3" s="104"/>
      <c r="I3" s="5"/>
    </row>
    <row r="5" spans="2:9" x14ac:dyDescent="0.2">
      <c r="D5" s="102" t="s">
        <v>40</v>
      </c>
      <c r="E5" s="102"/>
      <c r="F5" s="102"/>
      <c r="G5" s="102"/>
      <c r="H5" s="102"/>
    </row>
    <row r="7" spans="2:9" x14ac:dyDescent="0.2">
      <c r="E7" s="3" t="s">
        <v>23</v>
      </c>
      <c r="F7" s="62">
        <f>+'PONDERABLES LP 025-2026'!C11</f>
        <v>704678194</v>
      </c>
      <c r="G7" s="92">
        <f>+F7/1750905</f>
        <v>402.4651217513229</v>
      </c>
      <c r="H7" s="2" t="s">
        <v>93</v>
      </c>
      <c r="I7" s="2"/>
    </row>
    <row r="8" spans="2:9" ht="27.75" customHeight="1" x14ac:dyDescent="0.2">
      <c r="E8" s="63">
        <v>0.3</v>
      </c>
      <c r="F8" s="10">
        <f>+F7*E8</f>
        <v>211403458.19999999</v>
      </c>
      <c r="G8" s="92">
        <f>+F8/1750905</f>
        <v>120.73953652539686</v>
      </c>
      <c r="I8" s="2"/>
    </row>
    <row r="9" spans="2:9" x14ac:dyDescent="0.2">
      <c r="E9" s="63">
        <v>0.5</v>
      </c>
      <c r="F9" s="10">
        <f>+F7*E9</f>
        <v>352339097</v>
      </c>
      <c r="G9" s="92">
        <f>+F9/1750905</f>
        <v>201.23256087566145</v>
      </c>
      <c r="I9" s="2"/>
    </row>
    <row r="10" spans="2:9" ht="17.25" customHeight="1" x14ac:dyDescent="0.2">
      <c r="D10" s="3" t="s">
        <v>9</v>
      </c>
      <c r="F10" s="10"/>
    </row>
    <row r="11" spans="2:9" x14ac:dyDescent="0.2">
      <c r="D11" s="64" t="s">
        <v>36</v>
      </c>
      <c r="E11" s="64"/>
    </row>
    <row r="13" spans="2:9" x14ac:dyDescent="0.2">
      <c r="D13" s="65"/>
      <c r="E13" s="65" t="s">
        <v>7</v>
      </c>
      <c r="F13" s="65" t="s">
        <v>8</v>
      </c>
      <c r="G13" s="65" t="s">
        <v>94</v>
      </c>
      <c r="H13" s="65" t="s">
        <v>25</v>
      </c>
    </row>
    <row r="14" spans="2:9" x14ac:dyDescent="0.2">
      <c r="D14" s="8" t="s">
        <v>10</v>
      </c>
      <c r="E14" s="88"/>
      <c r="F14" s="74"/>
      <c r="G14" s="67"/>
      <c r="H14" s="68"/>
    </row>
    <row r="15" spans="2:9" x14ac:dyDescent="0.2">
      <c r="D15" s="8" t="s">
        <v>11</v>
      </c>
      <c r="E15" s="89"/>
      <c r="F15" s="74"/>
      <c r="G15" s="67"/>
      <c r="H15" s="68"/>
    </row>
    <row r="16" spans="2:9" x14ac:dyDescent="0.2">
      <c r="D16" s="8" t="s">
        <v>12</v>
      </c>
      <c r="E16" s="88"/>
      <c r="F16" s="74"/>
      <c r="G16" s="67"/>
      <c r="H16" s="68"/>
    </row>
    <row r="17" spans="4:9" x14ac:dyDescent="0.2">
      <c r="D17" s="69"/>
      <c r="E17" s="69" t="s">
        <v>26</v>
      </c>
      <c r="F17" s="70">
        <f>+SUM(F14:F16)</f>
        <v>0</v>
      </c>
      <c r="G17" s="70">
        <f>+SUM(G14:G16)</f>
        <v>0</v>
      </c>
      <c r="H17" s="71" t="str">
        <f>+IF(G17&lt;G8,"No Cumple","Cumple")</f>
        <v>No Cumple</v>
      </c>
      <c r="I17" s="90">
        <f>+IF(H17="Cumple",10,0)</f>
        <v>0</v>
      </c>
    </row>
    <row r="19" spans="4:9" x14ac:dyDescent="0.2">
      <c r="D19" s="65"/>
      <c r="E19" s="65" t="s">
        <v>7</v>
      </c>
      <c r="F19" s="65" t="s">
        <v>8</v>
      </c>
      <c r="G19" s="65" t="s">
        <v>24</v>
      </c>
      <c r="H19" s="65" t="s">
        <v>25</v>
      </c>
    </row>
    <row r="20" spans="4:9" ht="61.5" customHeight="1" x14ac:dyDescent="0.2">
      <c r="D20" s="8" t="s">
        <v>10</v>
      </c>
      <c r="E20" s="82" t="s">
        <v>73</v>
      </c>
      <c r="F20" s="81">
        <v>534155019</v>
      </c>
      <c r="G20" s="93">
        <v>587.94000000000005</v>
      </c>
      <c r="H20" s="68"/>
    </row>
    <row r="21" spans="4:9" ht="82.5" customHeight="1" x14ac:dyDescent="0.2">
      <c r="D21" s="8" t="s">
        <v>11</v>
      </c>
      <c r="E21" s="82" t="s">
        <v>88</v>
      </c>
      <c r="F21" s="81">
        <v>234612595</v>
      </c>
      <c r="G21" s="93">
        <v>234.61</v>
      </c>
      <c r="H21" s="68"/>
    </row>
    <row r="22" spans="4:9" ht="69.75" customHeight="1" x14ac:dyDescent="0.2">
      <c r="D22" s="8" t="s">
        <v>12</v>
      </c>
      <c r="E22" s="82" t="s">
        <v>74</v>
      </c>
      <c r="F22" s="81">
        <v>163764030</v>
      </c>
      <c r="G22" s="93">
        <v>197.75</v>
      </c>
      <c r="H22" s="68"/>
    </row>
    <row r="23" spans="4:9" ht="87.75" customHeight="1" x14ac:dyDescent="0.2">
      <c r="D23" s="8" t="s">
        <v>21</v>
      </c>
      <c r="E23" s="82" t="s">
        <v>75</v>
      </c>
      <c r="F23" s="81">
        <v>1143756600</v>
      </c>
      <c r="G23" s="83">
        <v>803.48</v>
      </c>
      <c r="H23" s="68"/>
    </row>
    <row r="24" spans="4:9" ht="70.5" customHeight="1" x14ac:dyDescent="0.2">
      <c r="D24" s="8" t="s">
        <v>22</v>
      </c>
      <c r="E24" s="82" t="s">
        <v>76</v>
      </c>
      <c r="F24" s="81">
        <v>1280871236</v>
      </c>
      <c r="G24" s="83">
        <v>985.29</v>
      </c>
      <c r="H24" s="68"/>
    </row>
    <row r="25" spans="4:9" x14ac:dyDescent="0.2">
      <c r="D25" s="69"/>
      <c r="E25" s="69" t="s">
        <v>27</v>
      </c>
      <c r="F25" s="70">
        <f ca="1">+SUM(F20:F38)</f>
        <v>3357159480</v>
      </c>
      <c r="G25" s="70">
        <f>+SUM(G20:G24)</f>
        <v>2809.07</v>
      </c>
      <c r="H25" s="71" t="str">
        <f>+IF(G25&lt;G9,"No Cumple","Cumple")</f>
        <v>Cumple</v>
      </c>
      <c r="I25" s="90">
        <f>+IF(H25="Cumple",30,0)</f>
        <v>30</v>
      </c>
    </row>
    <row r="28" spans="4:9" x14ac:dyDescent="0.2">
      <c r="D28" s="75"/>
      <c r="E28" s="76" t="s">
        <v>28</v>
      </c>
    </row>
    <row r="30" spans="4:9" x14ac:dyDescent="0.2">
      <c r="D30" s="65"/>
      <c r="E30" s="65" t="s">
        <v>7</v>
      </c>
      <c r="F30" s="65" t="s">
        <v>8</v>
      </c>
      <c r="G30" s="65" t="s">
        <v>94</v>
      </c>
      <c r="H30" s="65" t="s">
        <v>25</v>
      </c>
    </row>
    <row r="31" spans="4:9" ht="11.25" customHeight="1" x14ac:dyDescent="0.2">
      <c r="D31" s="8" t="s">
        <v>10</v>
      </c>
      <c r="E31" s="82"/>
      <c r="F31" s="81"/>
      <c r="G31" s="67"/>
      <c r="H31" s="68"/>
    </row>
    <row r="32" spans="4:9" ht="11.25" customHeight="1" x14ac:dyDescent="0.2">
      <c r="D32" s="8" t="s">
        <v>11</v>
      </c>
      <c r="E32" s="82"/>
      <c r="F32" s="81"/>
      <c r="G32" s="67"/>
      <c r="H32" s="68"/>
    </row>
    <row r="33" spans="4:10" x14ac:dyDescent="0.2">
      <c r="D33" s="8" t="s">
        <v>12</v>
      </c>
      <c r="E33" s="66"/>
      <c r="F33" s="67"/>
      <c r="G33" s="67"/>
      <c r="H33" s="68"/>
    </row>
    <row r="34" spans="4:10" x14ac:dyDescent="0.2">
      <c r="D34" s="69"/>
      <c r="E34" s="69" t="s">
        <v>29</v>
      </c>
      <c r="F34" s="70">
        <f>+SUM(F31:F33)</f>
        <v>0</v>
      </c>
      <c r="G34" s="70">
        <f>+SUM(G31:G33)</f>
        <v>0</v>
      </c>
      <c r="H34" s="71" t="str">
        <f>+IF(G34&lt;G8,"No Cumple","Cumple")</f>
        <v>No Cumple</v>
      </c>
      <c r="I34" s="90">
        <f>+IF(H34="Cumple",15,0)</f>
        <v>0</v>
      </c>
    </row>
    <row r="36" spans="4:10" x14ac:dyDescent="0.2">
      <c r="D36" s="65"/>
      <c r="E36" s="65" t="s">
        <v>7</v>
      </c>
      <c r="F36" s="65" t="s">
        <v>8</v>
      </c>
      <c r="G36" s="65" t="s">
        <v>94</v>
      </c>
      <c r="H36" s="65" t="s">
        <v>25</v>
      </c>
    </row>
    <row r="37" spans="4:10" ht="60" x14ac:dyDescent="0.2">
      <c r="D37" s="8" t="s">
        <v>10</v>
      </c>
      <c r="E37" s="82" t="s">
        <v>75</v>
      </c>
      <c r="F37" s="81">
        <v>1143756600</v>
      </c>
      <c r="G37" s="83">
        <v>803.48</v>
      </c>
      <c r="H37" s="68"/>
    </row>
    <row r="38" spans="4:10" ht="36" x14ac:dyDescent="0.2">
      <c r="D38" s="8" t="s">
        <v>11</v>
      </c>
      <c r="E38" s="82" t="s">
        <v>76</v>
      </c>
      <c r="F38" s="81">
        <v>1280871236</v>
      </c>
      <c r="G38" s="83">
        <v>985.29</v>
      </c>
      <c r="H38" s="68"/>
    </row>
    <row r="39" spans="4:10" x14ac:dyDescent="0.2">
      <c r="D39" s="8" t="s">
        <v>12</v>
      </c>
      <c r="E39" s="66"/>
      <c r="F39" s="67"/>
      <c r="G39" s="67"/>
      <c r="H39" s="68"/>
    </row>
    <row r="40" spans="4:10" x14ac:dyDescent="0.2">
      <c r="D40" s="8" t="s">
        <v>21</v>
      </c>
      <c r="E40" s="88"/>
      <c r="F40" s="67"/>
      <c r="G40" s="67"/>
      <c r="H40" s="68"/>
    </row>
    <row r="41" spans="4:10" x14ac:dyDescent="0.2">
      <c r="D41" s="8" t="s">
        <v>22</v>
      </c>
      <c r="E41" s="88"/>
      <c r="F41" s="67"/>
      <c r="G41" s="67"/>
      <c r="H41" s="68"/>
    </row>
    <row r="42" spans="4:10" x14ac:dyDescent="0.2">
      <c r="D42" s="69"/>
      <c r="E42" s="69" t="s">
        <v>30</v>
      </c>
      <c r="F42" s="70">
        <f>+SUM(F37:F41)</f>
        <v>2424627836</v>
      </c>
      <c r="G42" s="70">
        <f>+SUM(G37:G41)</f>
        <v>1788.77</v>
      </c>
      <c r="H42" s="71" t="str">
        <f>+IF(G42&lt;G9,"No Cumple","Cumple")</f>
        <v>Cumple</v>
      </c>
      <c r="I42" s="90">
        <f>+IF(H42="Cumple",30,0)</f>
        <v>30</v>
      </c>
    </row>
    <row r="44" spans="4:10" x14ac:dyDescent="0.2">
      <c r="H44" s="77" t="s">
        <v>35</v>
      </c>
      <c r="I44" s="77">
        <f>+SUM(I13:I43)</f>
        <v>60</v>
      </c>
      <c r="J44" s="2" t="s">
        <v>37</v>
      </c>
    </row>
    <row r="46" spans="4:10" x14ac:dyDescent="0.2">
      <c r="D46" s="64" t="s">
        <v>34</v>
      </c>
      <c r="E46" s="64"/>
    </row>
    <row r="48" spans="4:10" x14ac:dyDescent="0.2">
      <c r="D48" s="78" t="s">
        <v>31</v>
      </c>
      <c r="E48" s="78"/>
      <c r="F48" s="79" t="s">
        <v>39</v>
      </c>
      <c r="I48" s="90">
        <f>+IF(F48="Cumple",10,0)</f>
        <v>10</v>
      </c>
    </row>
    <row r="50" spans="4:10" x14ac:dyDescent="0.2">
      <c r="D50" s="78" t="s">
        <v>32</v>
      </c>
      <c r="E50" s="78"/>
      <c r="F50" s="79"/>
      <c r="I50" s="90">
        <f>+IF(F50="Cumple",5,0)</f>
        <v>0</v>
      </c>
    </row>
    <row r="52" spans="4:10" x14ac:dyDescent="0.2">
      <c r="D52" s="78" t="s">
        <v>33</v>
      </c>
      <c r="E52" s="78"/>
      <c r="F52" s="79"/>
      <c r="I52" s="90">
        <v>0</v>
      </c>
    </row>
    <row r="54" spans="4:10" x14ac:dyDescent="0.2">
      <c r="H54" s="77" t="s">
        <v>35</v>
      </c>
      <c r="I54" s="77">
        <f>+SUM(I48:I53)</f>
        <v>10</v>
      </c>
      <c r="J54" s="2" t="s">
        <v>38</v>
      </c>
    </row>
  </sheetData>
  <mergeCells count="2">
    <mergeCell ref="D5:H5"/>
    <mergeCell ref="E3:F3"/>
  </mergeCells>
  <conditionalFormatting sqref="E14:E16 E20:E24 E37:E38">
    <cfRule type="cellIs" dxfId="2" priority="6" stopIfTrue="1" operator="greaterThan">
      <formula>0</formula>
    </cfRule>
  </conditionalFormatting>
  <conditionalFormatting sqref="E31:E32">
    <cfRule type="cellIs" dxfId="1" priority="1" stopIfTrue="1" operator="greaterThan">
      <formula>0</formula>
    </cfRule>
  </conditionalFormatting>
  <conditionalFormatting sqref="E40:E41">
    <cfRule type="cellIs" dxfId="0" priority="4" stopIfTrue="1" operator="greaterThan">
      <formula>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19AC2-9066-4998-AD80-82582B332157}">
  <dimension ref="B2:J54"/>
  <sheetViews>
    <sheetView showGridLines="0" zoomScale="85" zoomScaleNormal="85" workbookViewId="0">
      <selection activeCell="N42" sqref="N42"/>
    </sheetView>
  </sheetViews>
  <sheetFormatPr baseColWidth="10" defaultColWidth="11.42578125" defaultRowHeight="12" x14ac:dyDescent="0.2"/>
  <cols>
    <col min="1" max="1" width="2.7109375" style="2" customWidth="1"/>
    <col min="2" max="2" width="2.5703125" style="59" customWidth="1"/>
    <col min="3" max="3" width="2.85546875" style="2" customWidth="1"/>
    <col min="4" max="4" width="22.28515625" style="2" customWidth="1"/>
    <col min="5" max="5" width="88.5703125" style="2" customWidth="1"/>
    <col min="6" max="6" width="20.140625" style="2" customWidth="1"/>
    <col min="7" max="7" width="17.28515625" style="2" customWidth="1"/>
    <col min="8" max="8" width="27.42578125" style="2" customWidth="1"/>
    <col min="9" max="9" width="12.28515625" style="2" bestFit="1" customWidth="1"/>
    <col min="10" max="16384" width="11.42578125" style="2"/>
  </cols>
  <sheetData>
    <row r="2" spans="2:9" ht="12.75" thickBot="1" x14ac:dyDescent="0.25"/>
    <row r="3" spans="2:9" s="6" customFormat="1" ht="27.75" customHeight="1" thickBot="1" x14ac:dyDescent="0.3">
      <c r="B3" s="60"/>
      <c r="D3" s="61" t="s">
        <v>4</v>
      </c>
      <c r="E3" s="103" t="str">
        <f>+'PONDERABLES LP 025-2026'!C18</f>
        <v>PROINGES SAS</v>
      </c>
      <c r="F3" s="104"/>
      <c r="I3" s="5"/>
    </row>
    <row r="5" spans="2:9" x14ac:dyDescent="0.2">
      <c r="D5" s="102" t="s">
        <v>40</v>
      </c>
      <c r="E5" s="102"/>
      <c r="F5" s="102"/>
      <c r="G5" s="102"/>
      <c r="H5" s="102"/>
    </row>
    <row r="7" spans="2:9" x14ac:dyDescent="0.2">
      <c r="E7" s="3" t="s">
        <v>23</v>
      </c>
      <c r="F7" s="62">
        <f>+'PONDERABLES LP 025-2026'!C11</f>
        <v>704678194</v>
      </c>
      <c r="G7" s="92">
        <f>+F7/1750905</f>
        <v>402.4651217513229</v>
      </c>
      <c r="H7" s="2" t="s">
        <v>93</v>
      </c>
    </row>
    <row r="8" spans="2:9" ht="27.75" customHeight="1" x14ac:dyDescent="0.2">
      <c r="E8" s="63">
        <v>0.3</v>
      </c>
      <c r="F8" s="10">
        <f>+F7*E8</f>
        <v>211403458.19999999</v>
      </c>
      <c r="G8" s="92">
        <f>+F8/1750905</f>
        <v>120.73953652539686</v>
      </c>
    </row>
    <row r="9" spans="2:9" x14ac:dyDescent="0.2">
      <c r="E9" s="63">
        <v>0.5</v>
      </c>
      <c r="F9" s="10">
        <f>+F7*E9</f>
        <v>352339097</v>
      </c>
      <c r="G9" s="92">
        <f>+F9/1750905</f>
        <v>201.23256087566145</v>
      </c>
    </row>
    <row r="10" spans="2:9" x14ac:dyDescent="0.2">
      <c r="D10" s="3" t="s">
        <v>9</v>
      </c>
      <c r="F10" s="10"/>
    </row>
    <row r="11" spans="2:9" x14ac:dyDescent="0.2">
      <c r="D11" s="64" t="s">
        <v>36</v>
      </c>
      <c r="E11" s="64"/>
    </row>
    <row r="13" spans="2:9" x14ac:dyDescent="0.2">
      <c r="D13" s="65"/>
      <c r="E13" s="65" t="s">
        <v>7</v>
      </c>
      <c r="F13" s="65" t="s">
        <v>8</v>
      </c>
      <c r="G13" s="65" t="s">
        <v>94</v>
      </c>
      <c r="H13" s="65" t="s">
        <v>25</v>
      </c>
    </row>
    <row r="14" spans="2:9" x14ac:dyDescent="0.2">
      <c r="D14" s="8" t="s">
        <v>10</v>
      </c>
      <c r="E14" s="66"/>
      <c r="F14" s="67"/>
      <c r="G14" s="67"/>
      <c r="H14" s="68"/>
    </row>
    <row r="15" spans="2:9" x14ac:dyDescent="0.2">
      <c r="D15" s="8" t="s">
        <v>11</v>
      </c>
      <c r="E15" s="66"/>
      <c r="F15" s="67"/>
      <c r="G15" s="67"/>
      <c r="H15" s="68"/>
    </row>
    <row r="16" spans="2:9" x14ac:dyDescent="0.2">
      <c r="D16" s="8" t="s">
        <v>12</v>
      </c>
      <c r="E16" s="66"/>
      <c r="F16" s="67"/>
      <c r="G16" s="67"/>
      <c r="H16" s="68"/>
    </row>
    <row r="17" spans="2:9" x14ac:dyDescent="0.2">
      <c r="D17" s="69"/>
      <c r="E17" s="69" t="s">
        <v>26</v>
      </c>
      <c r="F17" s="70">
        <f>+SUM(F14:F16)</f>
        <v>0</v>
      </c>
      <c r="G17" s="70">
        <f>+SUM(G14:G16)</f>
        <v>0</v>
      </c>
      <c r="H17" s="71" t="str">
        <f>+IF(G17&lt;G8,"No Cumple","Cumple")</f>
        <v>No Cumple</v>
      </c>
      <c r="I17" s="72">
        <f>+IF(H17="Cumple",10,0)</f>
        <v>0</v>
      </c>
    </row>
    <row r="19" spans="2:9" x14ac:dyDescent="0.2">
      <c r="D19" s="65"/>
      <c r="E19" s="65" t="s">
        <v>7</v>
      </c>
      <c r="F19" s="65" t="s">
        <v>8</v>
      </c>
      <c r="G19" s="65" t="s">
        <v>94</v>
      </c>
      <c r="H19" s="65" t="s">
        <v>25</v>
      </c>
    </row>
    <row r="20" spans="2:9" s="6" customFormat="1" ht="86.25" customHeight="1" x14ac:dyDescent="0.25">
      <c r="B20" s="60"/>
      <c r="D20" s="8" t="s">
        <v>10</v>
      </c>
      <c r="E20" s="82" t="s">
        <v>81</v>
      </c>
      <c r="F20" s="83">
        <v>457877099</v>
      </c>
      <c r="G20" s="7">
        <v>552.91</v>
      </c>
      <c r="H20" s="7"/>
    </row>
    <row r="21" spans="2:9" s="6" customFormat="1" ht="73.5" customHeight="1" x14ac:dyDescent="0.25">
      <c r="B21" s="60"/>
      <c r="D21" s="8" t="s">
        <v>11</v>
      </c>
      <c r="E21" s="82" t="s">
        <v>89</v>
      </c>
      <c r="F21" s="83">
        <v>672000000</v>
      </c>
      <c r="G21" s="7">
        <v>765.54</v>
      </c>
      <c r="H21" s="7"/>
    </row>
    <row r="22" spans="2:9" s="6" customFormat="1" ht="96" x14ac:dyDescent="0.25">
      <c r="B22" s="60"/>
      <c r="D22" s="8" t="s">
        <v>12</v>
      </c>
      <c r="E22" s="82" t="s">
        <v>90</v>
      </c>
      <c r="F22" s="83">
        <v>454336863</v>
      </c>
      <c r="G22" s="83">
        <v>548.64</v>
      </c>
      <c r="H22" s="7"/>
    </row>
    <row r="23" spans="2:9" s="6" customFormat="1" ht="24" x14ac:dyDescent="0.25">
      <c r="B23" s="60"/>
      <c r="D23" s="8" t="s">
        <v>21</v>
      </c>
      <c r="E23" s="82" t="s">
        <v>91</v>
      </c>
      <c r="F23" s="83">
        <v>478578492</v>
      </c>
      <c r="G23" s="93" t="s">
        <v>95</v>
      </c>
      <c r="H23" s="7"/>
    </row>
    <row r="24" spans="2:9" s="6" customFormat="1" ht="84" x14ac:dyDescent="0.25">
      <c r="B24" s="60"/>
      <c r="D24" s="8" t="s">
        <v>22</v>
      </c>
      <c r="E24" s="82" t="s">
        <v>92</v>
      </c>
      <c r="F24" s="83">
        <v>206534415</v>
      </c>
      <c r="G24" s="93" t="s">
        <v>96</v>
      </c>
      <c r="H24" s="7"/>
    </row>
    <row r="25" spans="2:9" x14ac:dyDescent="0.2">
      <c r="D25" s="69"/>
      <c r="E25" s="69" t="s">
        <v>27</v>
      </c>
      <c r="F25" s="70">
        <f>+SUM(F20:F24)</f>
        <v>2269326869</v>
      </c>
      <c r="G25" s="70">
        <f>+SUM(G20:G24)</f>
        <v>1867.0899999999997</v>
      </c>
      <c r="H25" s="71" t="str">
        <f>+IF(G25&lt;G9,"No Cumple","Cumple")</f>
        <v>Cumple</v>
      </c>
      <c r="I25" s="72">
        <f>+IF(H25="Cumple",30,0)</f>
        <v>30</v>
      </c>
    </row>
    <row r="28" spans="2:9" x14ac:dyDescent="0.2">
      <c r="D28" s="75"/>
      <c r="E28" s="76" t="s">
        <v>28</v>
      </c>
    </row>
    <row r="30" spans="2:9" x14ac:dyDescent="0.2">
      <c r="D30" s="65"/>
      <c r="E30" s="65" t="s">
        <v>7</v>
      </c>
      <c r="F30" s="65" t="s">
        <v>8</v>
      </c>
      <c r="G30" s="65" t="s">
        <v>94</v>
      </c>
      <c r="H30" s="65" t="s">
        <v>25</v>
      </c>
    </row>
    <row r="31" spans="2:9" x14ac:dyDescent="0.2">
      <c r="D31" s="8" t="s">
        <v>10</v>
      </c>
      <c r="E31" s="82"/>
      <c r="F31" s="83"/>
      <c r="G31" s="67"/>
      <c r="H31" s="68"/>
    </row>
    <row r="32" spans="2:9" x14ac:dyDescent="0.2">
      <c r="D32" s="8" t="s">
        <v>11</v>
      </c>
      <c r="E32" s="82"/>
      <c r="F32" s="83"/>
      <c r="G32" s="67"/>
      <c r="H32" s="68"/>
    </row>
    <row r="33" spans="4:10" x14ac:dyDescent="0.2">
      <c r="D33" s="8" t="s">
        <v>12</v>
      </c>
      <c r="E33" s="82"/>
      <c r="F33" s="83"/>
      <c r="G33" s="67"/>
      <c r="H33" s="68"/>
    </row>
    <row r="34" spans="4:10" x14ac:dyDescent="0.2">
      <c r="D34" s="69"/>
      <c r="E34" s="69" t="s">
        <v>29</v>
      </c>
      <c r="F34" s="70">
        <f>+SUM(F31:F33)</f>
        <v>0</v>
      </c>
      <c r="G34" s="70">
        <f>+SUM(G31:G33)</f>
        <v>0</v>
      </c>
      <c r="H34" s="71" t="str">
        <f>+IF(G34&lt;G8,"No Cumple","Cumple")</f>
        <v>No Cumple</v>
      </c>
      <c r="I34" s="72">
        <f>+IF(H34="Cumple",15,0)</f>
        <v>0</v>
      </c>
    </row>
    <row r="36" spans="4:10" x14ac:dyDescent="0.2">
      <c r="D36" s="65"/>
      <c r="E36" s="65" t="s">
        <v>7</v>
      </c>
      <c r="F36" s="65" t="s">
        <v>8</v>
      </c>
      <c r="G36" s="65" t="s">
        <v>94</v>
      </c>
      <c r="H36" s="65" t="s">
        <v>25</v>
      </c>
    </row>
    <row r="37" spans="4:10" ht="110.25" customHeight="1" x14ac:dyDescent="0.2">
      <c r="D37" s="8" t="s">
        <v>10</v>
      </c>
      <c r="E37" s="82" t="s">
        <v>90</v>
      </c>
      <c r="F37" s="83">
        <v>454336863</v>
      </c>
      <c r="G37" s="83">
        <v>548.64</v>
      </c>
      <c r="H37" s="68"/>
    </row>
    <row r="38" spans="4:10" ht="37.5" customHeight="1" x14ac:dyDescent="0.2">
      <c r="D38" s="8" t="s">
        <v>11</v>
      </c>
      <c r="E38" s="82" t="s">
        <v>91</v>
      </c>
      <c r="F38" s="83">
        <v>478578492</v>
      </c>
      <c r="G38" s="93" t="s">
        <v>95</v>
      </c>
      <c r="H38" s="68"/>
    </row>
    <row r="39" spans="4:10" ht="95.25" customHeight="1" x14ac:dyDescent="0.2">
      <c r="D39" s="8" t="s">
        <v>12</v>
      </c>
      <c r="E39" s="82" t="s">
        <v>92</v>
      </c>
      <c r="F39" s="83">
        <v>206534415</v>
      </c>
      <c r="G39" s="93" t="s">
        <v>96</v>
      </c>
      <c r="H39" s="68"/>
    </row>
    <row r="40" spans="4:10" x14ac:dyDescent="0.2">
      <c r="D40" s="8" t="s">
        <v>21</v>
      </c>
      <c r="E40" s="66"/>
      <c r="F40" s="67"/>
      <c r="G40" s="67"/>
      <c r="H40" s="68"/>
    </row>
    <row r="41" spans="4:10" x14ac:dyDescent="0.2">
      <c r="D41" s="8" t="s">
        <v>22</v>
      </c>
      <c r="E41" s="66"/>
      <c r="F41" s="67"/>
      <c r="G41" s="67"/>
      <c r="H41" s="68"/>
    </row>
    <row r="42" spans="4:10" x14ac:dyDescent="0.2">
      <c r="D42" s="69"/>
      <c r="E42" s="69" t="s">
        <v>30</v>
      </c>
      <c r="F42" s="70">
        <f>+SUM(F37:F41)</f>
        <v>1139449770</v>
      </c>
      <c r="G42" s="70">
        <f>+SUM(G37:G41)</f>
        <v>548.64</v>
      </c>
      <c r="H42" s="71" t="str">
        <f>+IF(G42&lt;G9,"No Cumple","Cumple")</f>
        <v>Cumple</v>
      </c>
      <c r="I42" s="72">
        <f>+IF(H42="Cumple",30,0)</f>
        <v>30</v>
      </c>
    </row>
    <row r="44" spans="4:10" x14ac:dyDescent="0.2">
      <c r="H44" s="77" t="s">
        <v>35</v>
      </c>
      <c r="I44" s="77">
        <f>+SUM(I13:I43)</f>
        <v>60</v>
      </c>
      <c r="J44" s="2" t="s">
        <v>37</v>
      </c>
    </row>
    <row r="46" spans="4:10" x14ac:dyDescent="0.2">
      <c r="D46" s="64" t="s">
        <v>34</v>
      </c>
      <c r="E46" s="64"/>
    </row>
    <row r="48" spans="4:10" x14ac:dyDescent="0.2">
      <c r="D48" s="78" t="s">
        <v>31</v>
      </c>
      <c r="E48" s="78"/>
      <c r="F48" s="79" t="s">
        <v>39</v>
      </c>
      <c r="I48" s="72">
        <f>+IF(F48="Cumple",10,0)</f>
        <v>10</v>
      </c>
    </row>
    <row r="50" spans="4:10" x14ac:dyDescent="0.2">
      <c r="D50" s="78" t="s">
        <v>32</v>
      </c>
      <c r="E50" s="78"/>
      <c r="F50" s="79"/>
      <c r="I50" s="72">
        <f>+IF(F50="Cumple",5,0)</f>
        <v>0</v>
      </c>
    </row>
    <row r="52" spans="4:10" x14ac:dyDescent="0.2">
      <c r="D52" s="78" t="s">
        <v>33</v>
      </c>
      <c r="E52" s="78"/>
      <c r="F52" s="79"/>
      <c r="I52" s="72">
        <v>0</v>
      </c>
    </row>
    <row r="54" spans="4:10" x14ac:dyDescent="0.2">
      <c r="H54" s="77" t="s">
        <v>35</v>
      </c>
      <c r="I54" s="77">
        <f>+SUM(I48:I53)</f>
        <v>10</v>
      </c>
      <c r="J54" s="2" t="s">
        <v>38</v>
      </c>
    </row>
  </sheetData>
  <mergeCells count="2">
    <mergeCell ref="D5:H5"/>
    <mergeCell ref="E3:F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PONDERABLES LP 025-2026</vt:lpstr>
      <vt:lpstr>Media Geométrica con PO</vt:lpstr>
      <vt:lpstr>UT ITERVENTORÍA SS</vt:lpstr>
      <vt:lpstr>INSERGROUP - ISG S.A.S.</vt:lpstr>
      <vt:lpstr>SECOB SAS</vt:lpstr>
      <vt:lpstr>PROINGES SAS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Jhonny Elias Ardila Rodriguez</dc:creator>
  <cp:keywords/>
  <dc:description/>
  <cp:lastModifiedBy>Sandra Milena Maldonado Moreno</cp:lastModifiedBy>
  <cp:revision/>
  <dcterms:created xsi:type="dcterms:W3CDTF">2025-09-29T17:51:16Z</dcterms:created>
  <dcterms:modified xsi:type="dcterms:W3CDTF">2026-10-21T22:56:35Z</dcterms:modified>
  <cp:category/>
  <cp:contentStatus/>
</cp:coreProperties>
</file>