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fiducoldexsa-my.sharepoint.com/personal/jardila_fiducoldex_com_co1/Documents/OXI - Energía/LP 011 Interventoría Teorama/LP 011 Interventoría Teorama/"/>
    </mc:Choice>
  </mc:AlternateContent>
  <xr:revisionPtr revIDLastSave="2303" documentId="8_{FCF74951-0E22-4B5E-9DBD-D75AD0C003A0}" xr6:coauthVersionLast="47" xr6:coauthVersionMax="47" xr10:uidLastSave="{35F8A4B8-5998-47DF-A434-A48E5BD33CBB}"/>
  <bookViews>
    <workbookView xWindow="-110" yWindow="-110" windowWidth="19420" windowHeight="11500" xr2:uid="{E171CA63-B81F-4CA2-9D28-7D5DD64CBB4B}"/>
  </bookViews>
  <sheets>
    <sheet name="PONDERABLES  002" sheetId="8" r:id="rId1"/>
    <sheet name="Media aritmética alta" sheetId="12" r:id="rId2"/>
    <sheet name="proponente 3,1" sheetId="5" r:id="rId3"/>
    <sheet name="proponente 3,2" sheetId="11" r:id="rId4"/>
    <sheet name="proponente 4"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8" l="1"/>
  <c r="H23" i="8"/>
  <c r="F23" i="8"/>
  <c r="G23" i="8"/>
  <c r="E23" i="8"/>
  <c r="B4" i="10"/>
  <c r="M22" i="8"/>
  <c r="C2" i="10"/>
  <c r="B2" i="10"/>
  <c r="L22" i="8"/>
  <c r="D18" i="12"/>
  <c r="J23" i="8" s="1"/>
  <c r="D17" i="12"/>
  <c r="J22" i="8" s="1"/>
  <c r="D12" i="12"/>
  <c r="D9" i="12"/>
  <c r="D8" i="12"/>
  <c r="M23" i="8" l="1"/>
  <c r="G22" i="8"/>
  <c r="E22" i="8"/>
  <c r="F15" i="8"/>
  <c r="F16" i="8"/>
  <c r="F22" i="8" l="1"/>
  <c r="H22" i="8"/>
  <c r="D12" i="10" l="1"/>
  <c r="C2" i="11"/>
  <c r="B2" i="11"/>
  <c r="D29" i="10"/>
  <c r="D28" i="11"/>
  <c r="D18" i="11"/>
  <c r="I12" i="11"/>
  <c r="D10" i="11"/>
  <c r="I18" i="10"/>
  <c r="D20" i="10"/>
  <c r="I13" i="10"/>
  <c r="D23" i="5"/>
  <c r="B1" i="11" l="1"/>
  <c r="C1" i="11"/>
  <c r="D13" i="5"/>
</calcChain>
</file>

<file path=xl/sharedStrings.xml><?xml version="1.0" encoding="utf-8"?>
<sst xmlns="http://schemas.openxmlformats.org/spreadsheetml/2006/main" count="146" uniqueCount="88">
  <si>
    <t>FIDUCIARIA COLOMBIANA DE COMERCIO EXTERIOR S.A.</t>
  </si>
  <si>
    <t>VALIDACÍÓN HABILITANTES FINANCIEROS OBRAS POR IMPUESTOS</t>
  </si>
  <si>
    <t>CONOVOCATORIA</t>
  </si>
  <si>
    <t>002-2025</t>
  </si>
  <si>
    <t>FIDEICOMISO</t>
  </si>
  <si>
    <t>PROPONENTES</t>
  </si>
  <si>
    <t>No.</t>
  </si>
  <si>
    <t>NIT</t>
  </si>
  <si>
    <t>PROPONENTE</t>
  </si>
  <si>
    <t>NA</t>
  </si>
  <si>
    <t>P.A. CENIT PAILITAS- OBRAS POR IMPUESTOS</t>
  </si>
  <si>
    <t>Experiencia adicional</t>
  </si>
  <si>
    <t>Promoción a la industria nacional</t>
  </si>
  <si>
    <t>TOTAL PONDERABLE</t>
  </si>
  <si>
    <t>s</t>
  </si>
  <si>
    <t>j</t>
  </si>
  <si>
    <t>VERIFICACIÓN DOCUMENTAL</t>
  </si>
  <si>
    <t>Documento solicitado</t>
  </si>
  <si>
    <t>Resultado</t>
  </si>
  <si>
    <t>Observaciones</t>
  </si>
  <si>
    <t>Objeto</t>
  </si>
  <si>
    <t>Valor</t>
  </si>
  <si>
    <t>Balance General</t>
  </si>
  <si>
    <t>OK</t>
  </si>
  <si>
    <t>Contrato 1</t>
  </si>
  <si>
    <t>Contrato 2</t>
  </si>
  <si>
    <t>Notas a los estados financieros</t>
  </si>
  <si>
    <t>Contrato 3</t>
  </si>
  <si>
    <t>Certificación y dictamen de los estados financieros</t>
  </si>
  <si>
    <t>Fotocopia de tarjeta profesional contador</t>
  </si>
  <si>
    <t>TOTAL</t>
  </si>
  <si>
    <t>Fotocopia de tarjeta profesional revisor fiscal</t>
  </si>
  <si>
    <t>Acreditación experiencia adicional</t>
  </si>
  <si>
    <t>Resultado total documentos habilitantes financieros</t>
  </si>
  <si>
    <t>Ingresos Brutos EEFF</t>
  </si>
  <si>
    <t>Ingresos Brutos Declaración de Renta</t>
  </si>
  <si>
    <t>Diferencia</t>
  </si>
  <si>
    <t>APLICA ZOMAC</t>
  </si>
  <si>
    <t>SÍ</t>
  </si>
  <si>
    <t>RUP (Actualizado 30 días)</t>
  </si>
  <si>
    <t xml:space="preserve">Certificación  de compromiso de contratación de personal de la  Zona del contrato </t>
  </si>
  <si>
    <t>Estados Financieros (Revisor Fiscal) "ver la opinión adjunta</t>
  </si>
  <si>
    <t>N/A</t>
  </si>
  <si>
    <t>Concepto Dictamen</t>
  </si>
  <si>
    <t>Limpio</t>
  </si>
  <si>
    <t>Porcentaje de bienes y/o servicios nacionales utilizados en la ejecución del contrato</t>
  </si>
  <si>
    <t>observaciones - solicitudes subsanacíón</t>
  </si>
  <si>
    <t>Certificado antecedentes contador</t>
  </si>
  <si>
    <t>Certificado antecedentes revisor fiscal</t>
  </si>
  <si>
    <t>APLICA ZOMAC Y/O PEDET</t>
  </si>
  <si>
    <t>900.930.834-0</t>
  </si>
  <si>
    <t>SOLUCIONES ELECTRICAS DE COLOMBIA SAS</t>
  </si>
  <si>
    <t>UNIÓN TEMPORAL INTERVENTORÍA SSFV TEORAMA 2026</t>
  </si>
  <si>
    <t>802.023.429-4</t>
  </si>
  <si>
    <t>PROINGES SAS</t>
  </si>
  <si>
    <t>UNION TEMPORAL HCR-SINCREL</t>
  </si>
  <si>
    <t>Jose Fonseca Panche</t>
  </si>
  <si>
    <t>Leidy Paola Gonzalez</t>
  </si>
  <si>
    <t>INTERVENTORÍA TÉCNICA, ADMINISTRATIVA, FINANCIERA, JURÍDICA, AMBIENTAL, PREDIAL, SOCIAL, Y CONTABLE AL CONTRATO DE OBRA PARA LA CONSTRUCCIÓN DE INFRAESTRUCTURA ELÉCTRICA CON REDES DE MEDIA Y BAJA TENSIÓN, INSTALACIONES INTERNAS PARA LAS COMUNIDADES ENTRE PUERTO BOLÍVAR Y CABO DE LA VELA 544 USUARIOS EN EL MUNICIPIO DE URIBIA, DEPARTAMENTO DE LA GUAJIRA</t>
  </si>
  <si>
    <t>INTERVENTORIA TECNICA,ADMINISTRATIVA Y FINANCIERA DEL CONTRATO DE OBRA DERIVADO DE LA LICITACIÓN PUBLICA N° LICP 002-2020 PARA LA "INSTALACIÓN DE SOLUCIONES ENERGÉTICAS PARA BENEFIVCIAR A 456 VIVIENDAS EN LA ZONAS NO INTERCONECTADAS DEL MUNICIPIO DE CARTAGENA DEL CHAIRA-CAQUETÁ</t>
  </si>
  <si>
    <t>INTERVENTORIA TECNICA, ADMINISTRATIVA, FINANCIERA, JURÍDICA, AMBIENTAL, SOCIAL, Y CONTABLE PARA LAS OBRAS DE CONSTRUCCIÓN INSTALACIÓN E IMPLEMENTACION DE SOLUCIONES DE ENERGIA INDIVIDUALES SOSTENIBLES CONSISTENTES EN SISTEMAS SOLARES FOTOVOLTAICOS PARA VIVIENDAS RURALES EN LAS ZONAS NO INTERCONECTADAS EN LA VEREDA LA PLANTA DEL MUNICIPIO DE CONDOTO – CHOCÓ</t>
  </si>
  <si>
    <t>Realizar la interventoría integral, contemplando las actividades de revisión, verificación, análisis y conceptualización permanentemente sobre todos los aspectos técnicos, jurídicos, financieros, operativos, administrativos y contables relacionados con la Etapa Previa y de Instalación de los contratos por medio de los cuales se ejecuten los proyectos FAZNI descritos en el alcance del objeto, a efectos de constatar el cumplimiento, por parte del contratista, de las condiciones establecidas en el respectivo contrato FAZNI para el desarrollo y control integral del proyecto y determinar oportunamente las acciones necesarias para garantizar el logro de los objetivos previstos del Lote 14: "2019-FAZNI-417-CAQUETÁ-CARTAGENA DEL CHAIRÁ".</t>
  </si>
  <si>
    <t>Aclarar</t>
  </si>
  <si>
    <t>PRESUPUESTO DE LA INVITACIÓN</t>
  </si>
  <si>
    <t>ANA MARÍA GARCES GOMEZ</t>
  </si>
  <si>
    <t>INTERVENTORIA TÉCNICA, ADMINISTRATIVA, FINANCIERA, JURÍDICA Y CONTABLE PARA LAS OBRAS DE SUMINISTRO, TRANSPORTE E INSTALACION E IMPLEMENTACIÓN DE: A. CONSTRUCCIÓN INSTALACIÓN E IMPLEMENTACIÓN DE SOLUCIONES DE ENERGÍA INDIVIDUALES SOSTENIBLES CONSISTENTES EN SISTEMAS SOLARES FOTOVOLTAICOS PARA VIVIENDAS RURALES EN LAS ZONAS NO INTERCONECTADAS DE LAS VEREDAS EL PENEYA, LOMA LARGA, JORDAN, EL PARAISO, ANIMAS ALTAS, EL PORVENIR 1, SANTA FE, ALTA SARDINATA, REMANZOS, MONTERREY, LA GRANJA, AGUAS CLARAS, ANDAQUIES, BARCELONA, VILLANUEVA, RISARALDA, FUNDACIÓN, SANTO DOMINGO, LA SABALETA BAJA, EL CAÑO SANTO DOMINGO, CARACOL, LEJANIAS, ARRALLANTES, ALTO CRISTALES, DOS QUEBRADAS, PAUJILES, LA CEIBA, ARGENTINA, LOS CAUCHOS, LA URIBE, LOBITOS, PORES, SARDINATA Y LIBANO DEL MUNICIPIO DE CARTAGENA DEL CHAIRÁ - CAQUETÁ (947 SOLUCIONES)</t>
  </si>
  <si>
    <t>INTERVENTORÍA TÉCNICA, ADMINISTRATIVA, FINANCIERA, JURÍDICA, AMBIENTAL, SOCIAL, Y CONTABLE PARA EL CONTRATO DE OBRA DE SUMINISTRO TRANSPORTE E INSTALACIÓN DE SOLUCIONES ENERGÉTICAS PARA BENEFICIAR A 620 USUARIOS EN 24 LOCALIDADES PERTENECIENTES A LA ESTRELLA FLUVIAL DEL RIO INÍRIDA, UBICADOS EN LAS ZONAS NO INTERCONECTADAS DEL MUNICIPIO DE INÍRIDA EN EL DEPARTAMENTO DEL GUAINÍA</t>
  </si>
  <si>
    <t>INTERVENTORÍA TÉCNICA, ADMINISTRATIVA, FINANCIERA, JURÍDICA, AMBIENTAL, PREDIAL, SOCIAL, Y CONTABLE PARA EL CONTRATO DE OBRA PARA LA IMPLEMENTACIÓN DE SISTEMAS FOTOVOLTAICOS EN ZONAS NO INTERCONECTADAS DEL MUNICIPIO DE EL CARMEN DE BOLÍVAR, DEPARTAMENTO DE BOLÍVAR, EN LOS TÉRMINOS DEL OCAD PAZ No 052 DEL 6 DE JULIO DE 2021.</t>
  </si>
  <si>
    <t>INTERVENTORÍA TÉCNICA, ADMINISTRATIVA, FINANCIERA, JURÍDICA, PREDIAL, AMBIENTAL, SOCIAL, Y CONTABLE PARA EL CONTRATO DE OBRA PARA EL SUMINISTRO TRANSPORTE E INSTALACIÓN DE SOLUCIONES INDIVIDUALES SOLARES FOTOVOLTAICAS – SISFV EN LAS COMUNIDADES RURALES Y DISPERSAS DE LA ZNI EN EL MUNICIPIO DE PAILITAS, EN EL DEPARTAMENTO DE CESAR</t>
  </si>
  <si>
    <t>INTERVENTORÍA TÉCNICA, ADMINISTRATIVA, FINANCIERA, JURÍDICA, PREDIAL, AMBIENTAL, SOCIAL, Y CONTABLE PARA CONTRATO DE OBRA PARA EL SUMINISTRO TRANSPORTE E INSTALACIÓN DE SOLUCIONES INDIVIDUALES SOLARES FOTOVOLTAICAS - SISFV EN LAS COMUNIDADES RURALES Y DISPERSAS DE LA ZNI EN EL MUNICIPIO DE MANAURE, EN EL DEPARTAMENTO DE LA GUAJIRA</t>
  </si>
  <si>
    <t>Experiencia adicional criterio B</t>
  </si>
  <si>
    <t>Experiencia adicional criterio A</t>
  </si>
  <si>
    <t>Valor criterio 1</t>
  </si>
  <si>
    <t>Valor de la oferta</t>
  </si>
  <si>
    <t>TRM 27/06/2026</t>
  </si>
  <si>
    <t>Metodo de evaluación valor de la oferta</t>
  </si>
  <si>
    <t>Media aritmética Alta</t>
  </si>
  <si>
    <t>Puntaje de la oferta</t>
  </si>
  <si>
    <t>Media Aritmética</t>
  </si>
  <si>
    <t>Oferta máxima</t>
  </si>
  <si>
    <t>Media aritmética alta</t>
  </si>
  <si>
    <t>Puntaje máximo</t>
  </si>
  <si>
    <t>Puntaje</t>
  </si>
  <si>
    <t>Porcentaje ofertado industria nacional</t>
  </si>
  <si>
    <t>Interventoría técnica, administrativa, financiera, jurídica, ambiental, social, y contable para el contrato de obra de
suministro de transporte e instalación de sistemas solares fotovoltaicos individuales para la vereda Candelilla de la
Mar en el municipio de Tumaco, departamento de Nariño.</t>
  </si>
  <si>
    <t>Interventoría integral a la implementación de sistemas autónomos de generación de energía solar fotovoltaica para la energización de viviendas en las zonas rurales no interconectadas del Municipio de Manaure Balcon del Cesar - Cesar.</t>
  </si>
  <si>
    <t>Interventoría técnica, administrativa, financiera, legal y ambiental a la obra de implementación de sistemas autónomos de generación de energía solar fotovoltaica para la energización de viviendas en las zonas rurales no interconectadas del Municipio de Valledupar.</t>
  </si>
  <si>
    <t>Interventoría técnica, administrativa, financiera, jurídica, ambiental, social, y contable para la implementación de un sistema de generación de energía eléctrica a nivel residencial en los hogares priorizados a través del uso de
fuentes renovables (fotovoltaica) por 250 familias ubicadas en las veredas El Trigo, Marimonda, Conejo, San Agustín, Puerto López, Quebrachal, Sabana del Medio, El Toco, Las Iguana, Mediadia, La illa, El Chorro, El Puy,
Hatico Viejo, Jabuey, El Confuso, La Bendiciones, Las Colonias, Los Altos y El Resguardo Indígena Mayamangloma integrado por las cuatro comunidades: Mayavita, Bangañita, La Gloria y La Loma, estas veredas
se encuentran ubicadas en el área rural del municipio de Fonseca -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</si>
</sst>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164" formatCode="_-&quot;$&quot;* #,##0_-;\-&quot;$&quot;* #,##0_-;_-&quot;$&quot;* &quot;-&quot;_-;_-@_-"/>
    <numFmt numFmtId="165" formatCode="_(&quot;$&quot;\ * #,##0.00_);_(&quot;$&quot;\ * \(#,##0.00\);_(&quot;$&quot;\ * &quot;-&quot;??_);_(@_)"/>
    <numFmt numFmtId="166" formatCode="_ &quot;$&quot;\ * #,##0.00_ ;_ &quot;$&quot;\ * \-#,##0.00_ ;_ &quot;$&quot;\ * &quot;-&quot;??_ ;_ @_ "/>
    <numFmt numFmtId="167" formatCode="_ * #,##0.00_ ;_ * \-#,##0.00_ ;_ * &quot;-&quot;??_ ;_ @_ "/>
    <numFmt numFmtId="168" formatCode="#,##0.00000"/>
    <numFmt numFmtId="169" formatCode="#,##0.0000"/>
    <numFmt numFmtId="178" formatCode="0.00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1"/>
      <name val="Aptos Narrow"/>
      <family val="2"/>
      <scheme val="minor"/>
    </font>
    <font>
      <sz val="8"/>
      <color theme="1"/>
      <name val="Aptos Narrow"/>
      <family val="2"/>
      <scheme val="minor"/>
    </font>
    <font>
      <sz val="9"/>
      <color theme="0"/>
      <name val="Aptos Narrow"/>
      <family val="2"/>
      <scheme val="minor"/>
    </font>
    <font>
      <sz val="9"/>
      <color theme="1"/>
      <name val="Aptos Narrow"/>
      <family val="2"/>
      <scheme val="minor"/>
    </font>
    <font>
      <b/>
      <sz val="9"/>
      <color theme="1"/>
      <name val="Aptos Narrow"/>
      <family val="2"/>
      <scheme val="minor"/>
    </font>
    <font>
      <sz val="11"/>
      <color rgb="FFFF0000"/>
      <name val="Aptos Narrow"/>
      <family val="2"/>
      <scheme val="minor"/>
    </font>
    <font>
      <sz val="10"/>
      <name val="Arial"/>
      <family val="2"/>
    </font>
    <font>
      <sz val="10"/>
      <name val="Aptos Narrow"/>
      <family val="2"/>
      <scheme val="minor"/>
    </font>
    <font>
      <b/>
      <sz val="11"/>
      <color theme="0"/>
      <name val="Aptos Narrow"/>
      <family val="2"/>
      <scheme val="minor"/>
    </font>
    <font>
      <sz val="12"/>
      <color theme="1"/>
      <name val="Aptos Narrow"/>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7">
    <xf numFmtId="0" fontId="0" fillId="0" borderId="0"/>
    <xf numFmtId="44" fontId="1" fillId="0" borderId="0" applyFont="0" applyFill="0" applyBorder="0" applyAlignment="0" applyProtection="0"/>
    <xf numFmtId="0" fontId="11" fillId="0" borderId="0"/>
    <xf numFmtId="167"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9" fontId="11"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horizontal="center"/>
    </xf>
    <xf numFmtId="0" fontId="2" fillId="0" borderId="0" xfId="0" applyFont="1"/>
    <xf numFmtId="0" fontId="0" fillId="0" borderId="0" xfId="0" applyAlignment="1">
      <alignment horizontal="left"/>
    </xf>
    <xf numFmtId="3" fontId="0" fillId="0" borderId="0" xfId="0" applyNumberFormat="1"/>
    <xf numFmtId="0" fontId="0" fillId="0" borderId="0" xfId="0" applyAlignment="1">
      <alignment horizontal="center" vertical="center" wrapText="1"/>
    </xf>
    <xf numFmtId="0" fontId="3" fillId="2" borderId="0" xfId="0" applyFont="1" applyFill="1" applyAlignment="1">
      <alignment horizontal="center"/>
    </xf>
    <xf numFmtId="0" fontId="3" fillId="2" borderId="0" xfId="0" applyFont="1" applyFill="1"/>
    <xf numFmtId="4" fontId="3" fillId="2" borderId="0" xfId="0" applyNumberFormat="1" applyFont="1" applyFill="1"/>
    <xf numFmtId="0" fontId="3" fillId="2" borderId="1" xfId="0" applyFont="1" applyFill="1" applyBorder="1" applyAlignment="1">
      <alignment horizontal="center"/>
    </xf>
    <xf numFmtId="0" fontId="0" fillId="0" borderId="1" xfId="0" applyBorder="1" applyAlignment="1">
      <alignment horizontal="center" vertical="center"/>
    </xf>
    <xf numFmtId="0" fontId="6" fillId="0" borderId="1" xfId="0" applyFont="1" applyBorder="1" applyAlignment="1">
      <alignment wrapText="1"/>
    </xf>
    <xf numFmtId="4" fontId="0" fillId="0" borderId="1" xfId="0" applyNumberFormat="1" applyBorder="1"/>
    <xf numFmtId="0" fontId="3" fillId="2" borderId="1" xfId="0" applyFont="1" applyFill="1" applyBorder="1"/>
    <xf numFmtId="4" fontId="3" fillId="2" borderId="1" xfId="0" applyNumberFormat="1" applyFont="1" applyFill="1" applyBorder="1"/>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xf numFmtId="3" fontId="0" fillId="0" borderId="1" xfId="0" applyNumberFormat="1" applyBorder="1" applyAlignment="1">
      <alignment horizontal="center"/>
    </xf>
    <xf numFmtId="0" fontId="7" fillId="2" borderId="1" xfId="0" applyFont="1" applyFill="1" applyBorder="1" applyAlignment="1">
      <alignment horizontal="center"/>
    </xf>
    <xf numFmtId="0" fontId="8" fillId="0" borderId="0" xfId="0" applyFont="1"/>
    <xf numFmtId="0" fontId="8" fillId="0" borderId="1" xfId="0" applyFont="1" applyBorder="1" applyAlignment="1">
      <alignment horizontal="center" vertical="center"/>
    </xf>
    <xf numFmtId="0" fontId="8" fillId="0" borderId="1" xfId="0" applyFont="1" applyBorder="1" applyAlignment="1">
      <alignment wrapText="1"/>
    </xf>
    <xf numFmtId="0" fontId="7" fillId="2" borderId="1" xfId="0" applyFont="1" applyFill="1" applyBorder="1"/>
    <xf numFmtId="0" fontId="9" fillId="0" borderId="0" xfId="0" applyFont="1"/>
    <xf numFmtId="0" fontId="7" fillId="2" borderId="0" xfId="0" applyFont="1" applyFill="1"/>
    <xf numFmtId="0" fontId="7" fillId="2" borderId="1" xfId="0" applyFont="1" applyFill="1" applyBorder="1" applyAlignment="1">
      <alignment horizontal="center" vertical="center"/>
    </xf>
    <xf numFmtId="44" fontId="8" fillId="0" borderId="1" xfId="1" applyFont="1" applyBorder="1" applyAlignment="1">
      <alignment vertical="center"/>
    </xf>
    <xf numFmtId="0" fontId="8" fillId="0" borderId="0" xfId="0" applyFont="1" applyAlignment="1">
      <alignment vertical="center"/>
    </xf>
    <xf numFmtId="0" fontId="7" fillId="2" borderId="0" xfId="0" applyFont="1" applyFill="1" applyAlignment="1">
      <alignment horizontal="center" vertical="center"/>
    </xf>
    <xf numFmtId="0" fontId="9" fillId="0" borderId="0" xfId="0" applyFont="1" applyAlignment="1">
      <alignment horizontal="center" vertical="center"/>
    </xf>
    <xf numFmtId="44" fontId="8" fillId="0" borderId="0" xfId="1" applyFont="1" applyAlignment="1">
      <alignment horizontal="center" vertical="center"/>
    </xf>
    <xf numFmtId="0" fontId="8" fillId="0" borderId="0" xfId="0" applyFont="1" applyAlignment="1">
      <alignment horizontal="center" vertical="center"/>
    </xf>
    <xf numFmtId="44" fontId="7" fillId="2" borderId="1" xfId="1" applyFont="1" applyFill="1" applyBorder="1" applyAlignment="1">
      <alignment vertical="center"/>
    </xf>
    <xf numFmtId="44" fontId="7" fillId="2" borderId="0" xfId="1" applyFont="1" applyFill="1" applyAlignment="1">
      <alignment vertical="center"/>
    </xf>
    <xf numFmtId="0" fontId="0" fillId="0" borderId="0" xfId="0" applyAlignment="1">
      <alignment horizontal="center" vertical="center"/>
    </xf>
    <xf numFmtId="0" fontId="0" fillId="2" borderId="0" xfId="0" applyFill="1"/>
    <xf numFmtId="3" fontId="2" fillId="0" borderId="0" xfId="0" applyNumberFormat="1" applyFont="1"/>
    <xf numFmtId="0" fontId="2" fillId="0" borderId="0" xfId="0" applyFont="1" applyAlignment="1">
      <alignment vertical="center"/>
    </xf>
    <xf numFmtId="0" fontId="0" fillId="0" borderId="0" xfId="0"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4" xfId="0" applyBorder="1" applyAlignment="1">
      <alignmen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0" fillId="0" borderId="9" xfId="0" applyBorder="1" applyAlignment="1">
      <alignment horizont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wrapText="1"/>
    </xf>
    <xf numFmtId="3" fontId="0" fillId="0" borderId="0" xfId="0" applyNumberFormat="1" applyAlignment="1">
      <alignment horizontal="left"/>
    </xf>
    <xf numFmtId="0" fontId="0" fillId="0" borderId="10" xfId="0" applyBorder="1" applyAlignment="1">
      <alignment horizontal="center"/>
    </xf>
    <xf numFmtId="0" fontId="0" fillId="0" borderId="0" xfId="0" applyAlignment="1">
      <alignment horizontal="right" vertical="center"/>
    </xf>
    <xf numFmtId="0" fontId="0" fillId="0" borderId="11" xfId="0" applyBorder="1" applyAlignment="1">
      <alignment vertical="center"/>
    </xf>
    <xf numFmtId="4" fontId="0" fillId="0" borderId="11" xfId="0" applyNumberFormat="1" applyBorder="1" applyAlignment="1">
      <alignment horizontal="right" vertical="center"/>
    </xf>
    <xf numFmtId="0" fontId="0" fillId="0" borderId="11" xfId="0" applyBorder="1"/>
    <xf numFmtId="4" fontId="0" fillId="5" borderId="11" xfId="0" applyNumberFormat="1" applyFill="1" applyBorder="1" applyAlignment="1">
      <alignment horizontal="right" vertical="center"/>
    </xf>
    <xf numFmtId="0" fontId="0" fillId="5" borderId="11" xfId="0" applyFill="1" applyBorder="1"/>
    <xf numFmtId="0" fontId="0" fillId="0" borderId="0" xfId="0" applyAlignment="1">
      <alignment horizontal="left" wrapText="1"/>
    </xf>
    <xf numFmtId="3" fontId="2" fillId="0" borderId="0" xfId="0" applyNumberFormat="1" applyFont="1" applyAlignment="1">
      <alignment horizontal="center"/>
    </xf>
    <xf numFmtId="3" fontId="0" fillId="0" borderId="0" xfId="0" applyNumberFormat="1" applyAlignment="1">
      <alignment horizontal="center"/>
    </xf>
    <xf numFmtId="0" fontId="2" fillId="0" borderId="0" xfId="0" applyFont="1" applyAlignment="1">
      <alignment horizontal="left"/>
    </xf>
    <xf numFmtId="4" fontId="10" fillId="0" borderId="11" xfId="0" applyNumberFormat="1" applyFont="1" applyBorder="1" applyAlignment="1">
      <alignment horizontal="right" vertical="center"/>
    </xf>
    <xf numFmtId="0" fontId="6" fillId="0" borderId="1" xfId="0" applyFont="1" applyBorder="1" applyAlignment="1">
      <alignment horizontal="left" vertical="center" wrapText="1"/>
    </xf>
    <xf numFmtId="4" fontId="0" fillId="0" borderId="1" xfId="0" applyNumberFormat="1" applyBorder="1" applyAlignment="1">
      <alignment vertical="center"/>
    </xf>
    <xf numFmtId="0" fontId="8" fillId="0" borderId="1" xfId="0" applyFont="1" applyBorder="1"/>
    <xf numFmtId="0" fontId="8" fillId="0" borderId="1" xfId="0" applyFont="1" applyBorder="1" applyAlignment="1">
      <alignment vertical="center"/>
    </xf>
    <xf numFmtId="0" fontId="12" fillId="0" borderId="1" xfId="2" applyFont="1" applyBorder="1" applyAlignment="1">
      <alignment horizontal="left" vertical="center" wrapText="1"/>
    </xf>
    <xf numFmtId="0" fontId="0" fillId="0" borderId="9" xfId="0" applyBorder="1" applyAlignment="1">
      <alignment horizontal="center" vertical="center"/>
    </xf>
    <xf numFmtId="0" fontId="3" fillId="2" borderId="6" xfId="0" applyFont="1" applyFill="1" applyBorder="1" applyAlignment="1">
      <alignment vertical="center" wrapText="1"/>
    </xf>
    <xf numFmtId="4" fontId="0" fillId="0" borderId="0" xfId="0" applyNumberFormat="1"/>
    <xf numFmtId="0" fontId="8" fillId="0" borderId="1" xfId="0" applyFont="1" applyBorder="1" applyAlignment="1">
      <alignment horizontal="center"/>
    </xf>
    <xf numFmtId="3" fontId="8" fillId="0" borderId="0" xfId="0" applyNumberFormat="1" applyFont="1" applyAlignment="1">
      <alignment horizontal="center" vertical="center"/>
    </xf>
    <xf numFmtId="3" fontId="9" fillId="0" borderId="0" xfId="0" applyNumberFormat="1" applyFont="1" applyAlignment="1">
      <alignment horizontal="center" vertical="center"/>
    </xf>
    <xf numFmtId="3" fontId="8" fillId="0" borderId="0" xfId="1" applyNumberFormat="1" applyFont="1" applyAlignment="1">
      <alignment horizontal="center" vertical="center"/>
    </xf>
    <xf numFmtId="4" fontId="0" fillId="0" borderId="1" xfId="0" applyNumberFormat="1" applyBorder="1" applyAlignment="1">
      <alignment horizontal="center"/>
    </xf>
    <xf numFmtId="0" fontId="2" fillId="0" borderId="1" xfId="0" applyFont="1" applyBorder="1" applyAlignment="1">
      <alignment horizontal="center"/>
    </xf>
    <xf numFmtId="4" fontId="3" fillId="0" borderId="0" xfId="0" applyNumberFormat="1" applyFont="1"/>
    <xf numFmtId="4" fontId="0" fillId="0" borderId="0" xfId="0" applyNumberFormat="1" applyAlignment="1">
      <alignment horizontal="left"/>
    </xf>
    <xf numFmtId="0" fontId="2" fillId="0" borderId="0" xfId="0" applyFont="1" applyAlignment="1">
      <alignment wrapText="1"/>
    </xf>
    <xf numFmtId="0" fontId="0" fillId="0" borderId="0" xfId="0" applyAlignment="1">
      <alignment wrapText="1"/>
    </xf>
    <xf numFmtId="168" fontId="0" fillId="0" borderId="0" xfId="1" applyNumberFormat="1" applyFont="1" applyAlignment="1">
      <alignment horizontal="right"/>
    </xf>
    <xf numFmtId="4" fontId="13" fillId="6" borderId="0" xfId="1" applyNumberFormat="1" applyFont="1" applyFill="1" applyAlignment="1">
      <alignment horizontal="right"/>
    </xf>
    <xf numFmtId="0" fontId="13" fillId="6" borderId="0" xfId="0" applyFont="1" applyFill="1"/>
    <xf numFmtId="4" fontId="0" fillId="0" borderId="0" xfId="1" applyNumberFormat="1" applyFont="1" applyAlignment="1">
      <alignment horizontal="right"/>
    </xf>
    <xf numFmtId="4" fontId="0" fillId="0" borderId="0" xfId="1" applyNumberFormat="1" applyFont="1" applyBorder="1" applyAlignment="1">
      <alignment horizontal="right"/>
    </xf>
    <xf numFmtId="169" fontId="0" fillId="0" borderId="0" xfId="1" applyNumberFormat="1" applyFont="1" applyAlignment="1">
      <alignment horizontal="right"/>
    </xf>
    <xf numFmtId="9" fontId="0" fillId="0" borderId="1" xfId="16" applyFont="1" applyBorder="1" applyAlignment="1">
      <alignment horizontal="center"/>
    </xf>
    <xf numFmtId="178" fontId="2" fillId="0" borderId="1" xfId="0" applyNumberFormat="1" applyFont="1" applyBorder="1" applyAlignment="1">
      <alignment horizontal="center"/>
    </xf>
    <xf numFmtId="4" fontId="0" fillId="7" borderId="12" xfId="0" applyNumberFormat="1" applyFill="1" applyBorder="1" applyAlignment="1">
      <alignment horizontal="center"/>
    </xf>
    <xf numFmtId="4" fontId="0" fillId="7" borderId="13" xfId="0" applyNumberFormat="1" applyFill="1" applyBorder="1" applyAlignment="1">
      <alignment horizontal="center"/>
    </xf>
    <xf numFmtId="4" fontId="0" fillId="7" borderId="14" xfId="0" applyNumberFormat="1" applyFill="1" applyBorder="1" applyAlignment="1">
      <alignment horizontal="center"/>
    </xf>
    <xf numFmtId="4" fontId="0" fillId="7" borderId="15" xfId="0" applyNumberFormat="1" applyFill="1" applyBorder="1" applyAlignment="1">
      <alignment horizontal="center"/>
    </xf>
    <xf numFmtId="4" fontId="0" fillId="7" borderId="16" xfId="0" applyNumberFormat="1" applyFill="1" applyBorder="1" applyAlignment="1">
      <alignment horizontal="center"/>
    </xf>
    <xf numFmtId="4" fontId="0" fillId="7" borderId="17" xfId="0" applyNumberFormat="1" applyFill="1" applyBorder="1" applyAlignment="1">
      <alignment horizontal="center"/>
    </xf>
  </cellXfs>
  <cellStyles count="17">
    <cellStyle name="Millares [0] 2" xfId="14" xr:uid="{93142199-4B5A-4F45-8DC7-3429CCA1A5DD}"/>
    <cellStyle name="Millares 2" xfId="4" xr:uid="{3B97C9AB-A82C-41E5-A077-030E86A66F61}"/>
    <cellStyle name="Millares 2 2" xfId="9" xr:uid="{D115BD77-FF0B-4C60-91A0-DD180DC29606}"/>
    <cellStyle name="Millares 3" xfId="3" xr:uid="{B5FF6E11-D916-4AFD-B9E4-315D398048B2}"/>
    <cellStyle name="Moneda" xfId="1" builtinId="4"/>
    <cellStyle name="Moneda [0] 2" xfId="15" xr:uid="{FAE659C3-401E-4B2E-A6B7-C84445FB68E1}"/>
    <cellStyle name="Moneda 2" xfId="12" xr:uid="{9FDC7396-506C-467D-BF62-F4D5DE56B976}"/>
    <cellStyle name="Moneda 3" xfId="5" xr:uid="{5610FCAE-D4AA-4153-8A2E-760ED2EB318A}"/>
    <cellStyle name="Normal" xfId="0" builtinId="0"/>
    <cellStyle name="Normal 2" xfId="6" xr:uid="{A8F17625-C52B-431A-9E4F-53BC21C12D19}"/>
    <cellStyle name="Normal 2 2" xfId="2" xr:uid="{D5B8501B-9580-4766-B71E-665462411CC5}"/>
    <cellStyle name="Normal 3" xfId="11" xr:uid="{04F0738F-6C47-4B9D-AD25-2E56BABD8FAE}"/>
    <cellStyle name="Porcentaje" xfId="16" builtinId="5"/>
    <cellStyle name="Porcentaje 2" xfId="13" xr:uid="{F278DE71-2C79-40BD-8221-4C8D4830D4A9}"/>
    <cellStyle name="Porcentaje 3" xfId="7" xr:uid="{DD7910B7-0897-4A27-AD7E-0301D7102063}"/>
    <cellStyle name="Porcentual 2" xfId="8" xr:uid="{B2434B37-D6D6-49AC-914E-8BFE5F23D7DA}"/>
    <cellStyle name="Porcentual 2 2" xfId="10" xr:uid="{D7BB126B-FD2A-4BA8-961A-2FDA7AD0FE0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1022350</xdr:colOff>
      <xdr:row>30</xdr:row>
      <xdr:rowOff>152400</xdr:rowOff>
    </xdr:from>
    <xdr:to>
      <xdr:col>3</xdr:col>
      <xdr:colOff>3422842</xdr:colOff>
      <xdr:row>50</xdr:row>
      <xdr:rowOff>108137</xdr:rowOff>
    </xdr:to>
    <xdr:pic>
      <xdr:nvPicPr>
        <xdr:cNvPr id="3" name="Imagen 2">
          <a:extLst>
            <a:ext uri="{FF2B5EF4-FFF2-40B4-BE49-F238E27FC236}">
              <a16:creationId xmlns:a16="http://schemas.microsoft.com/office/drawing/2014/main" id="{566FC216-0C34-2539-3B3E-07EEDE485589}"/>
            </a:ext>
          </a:extLst>
        </xdr:cNvPr>
        <xdr:cNvPicPr>
          <a:picLocks noChangeAspect="1"/>
        </xdr:cNvPicPr>
      </xdr:nvPicPr>
      <xdr:blipFill>
        <a:blip xmlns:r="http://schemas.openxmlformats.org/officeDocument/2006/relationships" r:embed="rId1"/>
        <a:stretch>
          <a:fillRect/>
        </a:stretch>
      </xdr:blipFill>
      <xdr:spPr>
        <a:xfrm>
          <a:off x="1524000" y="4940300"/>
          <a:ext cx="3740342" cy="3638737"/>
        </a:xfrm>
        <a:prstGeom prst="rect">
          <a:avLst/>
        </a:prstGeom>
      </xdr:spPr>
    </xdr:pic>
    <xdr:clientData/>
  </xdr:twoCellAnchor>
  <xdr:twoCellAnchor editAs="oneCell">
    <xdr:from>
      <xdr:col>2</xdr:col>
      <xdr:colOff>901700</xdr:colOff>
      <xdr:row>54</xdr:row>
      <xdr:rowOff>146050</xdr:rowOff>
    </xdr:from>
    <xdr:to>
      <xdr:col>5</xdr:col>
      <xdr:colOff>140021</xdr:colOff>
      <xdr:row>76</xdr:row>
      <xdr:rowOff>57354</xdr:rowOff>
    </xdr:to>
    <xdr:pic>
      <xdr:nvPicPr>
        <xdr:cNvPr id="4" name="Imagen 3">
          <a:extLst>
            <a:ext uri="{FF2B5EF4-FFF2-40B4-BE49-F238E27FC236}">
              <a16:creationId xmlns:a16="http://schemas.microsoft.com/office/drawing/2014/main" id="{C758AF9E-1DA7-A148-32F1-E47C2A5458EB}"/>
            </a:ext>
          </a:extLst>
        </xdr:cNvPr>
        <xdr:cNvPicPr>
          <a:picLocks noChangeAspect="1"/>
        </xdr:cNvPicPr>
      </xdr:nvPicPr>
      <xdr:blipFill>
        <a:blip xmlns:r="http://schemas.openxmlformats.org/officeDocument/2006/relationships" r:embed="rId2"/>
        <a:stretch>
          <a:fillRect/>
        </a:stretch>
      </xdr:blipFill>
      <xdr:spPr>
        <a:xfrm>
          <a:off x="1403350" y="9353550"/>
          <a:ext cx="6255071" cy="3962604"/>
        </a:xfrm>
        <a:prstGeom prst="rect">
          <a:avLst/>
        </a:prstGeom>
      </xdr:spPr>
    </xdr:pic>
    <xdr:clientData/>
  </xdr:twoCellAnchor>
  <xdr:twoCellAnchor editAs="oneCell">
    <xdr:from>
      <xdr:col>2</xdr:col>
      <xdr:colOff>539750</xdr:colOff>
      <xdr:row>77</xdr:row>
      <xdr:rowOff>114300</xdr:rowOff>
    </xdr:from>
    <xdr:to>
      <xdr:col>5</xdr:col>
      <xdr:colOff>2330903</xdr:colOff>
      <xdr:row>113</xdr:row>
      <xdr:rowOff>63838</xdr:rowOff>
    </xdr:to>
    <xdr:pic>
      <xdr:nvPicPr>
        <xdr:cNvPr id="5" name="Imagen 4">
          <a:extLst>
            <a:ext uri="{FF2B5EF4-FFF2-40B4-BE49-F238E27FC236}">
              <a16:creationId xmlns:a16="http://schemas.microsoft.com/office/drawing/2014/main" id="{8722366C-DD10-F934-AEB6-279E04440379}"/>
            </a:ext>
          </a:extLst>
        </xdr:cNvPr>
        <xdr:cNvPicPr>
          <a:picLocks noChangeAspect="1"/>
        </xdr:cNvPicPr>
      </xdr:nvPicPr>
      <xdr:blipFill>
        <a:blip xmlns:r="http://schemas.openxmlformats.org/officeDocument/2006/relationships" r:embed="rId3"/>
        <a:stretch>
          <a:fillRect/>
        </a:stretch>
      </xdr:blipFill>
      <xdr:spPr>
        <a:xfrm>
          <a:off x="1041400" y="13557250"/>
          <a:ext cx="8807903" cy="6578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95250</xdr:colOff>
      <xdr:row>0</xdr:row>
      <xdr:rowOff>0</xdr:rowOff>
    </xdr:from>
    <xdr:to>
      <xdr:col>13</xdr:col>
      <xdr:colOff>444831</xdr:colOff>
      <xdr:row>20</xdr:row>
      <xdr:rowOff>114495</xdr:rowOff>
    </xdr:to>
    <xdr:pic>
      <xdr:nvPicPr>
        <xdr:cNvPr id="2" name="Imagen 1">
          <a:extLst>
            <a:ext uri="{FF2B5EF4-FFF2-40B4-BE49-F238E27FC236}">
              <a16:creationId xmlns:a16="http://schemas.microsoft.com/office/drawing/2014/main" id="{B0B5D05F-939A-424E-9CFD-80890011B45D}"/>
            </a:ext>
          </a:extLst>
        </xdr:cNvPr>
        <xdr:cNvPicPr>
          <a:picLocks noChangeAspect="1"/>
        </xdr:cNvPicPr>
      </xdr:nvPicPr>
      <xdr:blipFill>
        <a:blip xmlns:r="http://schemas.openxmlformats.org/officeDocument/2006/relationships" r:embed="rId1"/>
        <a:stretch>
          <a:fillRect/>
        </a:stretch>
      </xdr:blipFill>
      <xdr:spPr>
        <a:xfrm>
          <a:off x="6946900" y="0"/>
          <a:ext cx="6445581" cy="37974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76B2-72B0-46C6-B57A-2BB17370F313}">
  <sheetPr>
    <tabColor rgb="FFFFFF00"/>
  </sheetPr>
  <dimension ref="A3:M54"/>
  <sheetViews>
    <sheetView showGridLines="0" tabSelected="1" topLeftCell="A4" workbookViewId="0">
      <selection activeCell="F14" sqref="F14"/>
    </sheetView>
  </sheetViews>
  <sheetFormatPr baseColWidth="10" defaultColWidth="11.453125" defaultRowHeight="14.5" x14ac:dyDescent="0.35"/>
  <cols>
    <col min="1" max="1" width="2.7265625" customWidth="1"/>
    <col min="2" max="2" width="4.453125" style="37" bestFit="1" customWidth="1"/>
    <col min="3" max="3" width="19.1796875" customWidth="1"/>
    <col min="4" max="4" width="51.1796875" customWidth="1"/>
    <col min="5" max="5" width="30.08984375" customWidth="1"/>
    <col min="6" max="9" width="37.08984375" customWidth="1"/>
    <col min="10" max="11" width="29.1796875" customWidth="1"/>
    <col min="12" max="12" width="27.7265625" bestFit="1" customWidth="1"/>
    <col min="13" max="13" width="20.26953125" style="1" customWidth="1"/>
  </cols>
  <sheetData>
    <row r="3" spans="3:9" x14ac:dyDescent="0.35">
      <c r="C3" s="2" t="s">
        <v>0</v>
      </c>
    </row>
    <row r="4" spans="3:9" x14ac:dyDescent="0.35">
      <c r="C4" s="2" t="s">
        <v>1</v>
      </c>
    </row>
    <row r="7" spans="3:9" x14ac:dyDescent="0.35">
      <c r="C7" s="2" t="s">
        <v>2</v>
      </c>
      <c r="D7" t="s">
        <v>3</v>
      </c>
    </row>
    <row r="8" spans="3:9" x14ac:dyDescent="0.35">
      <c r="C8" s="2" t="s">
        <v>4</v>
      </c>
      <c r="D8" t="s">
        <v>10</v>
      </c>
    </row>
    <row r="9" spans="3:9" x14ac:dyDescent="0.35">
      <c r="C9" s="2" t="s">
        <v>5</v>
      </c>
      <c r="D9" s="3">
        <v>3</v>
      </c>
      <c r="E9" s="3"/>
    </row>
    <row r="10" spans="3:9" x14ac:dyDescent="0.35">
      <c r="C10" s="2" t="s">
        <v>74</v>
      </c>
      <c r="D10" s="79">
        <v>3644.47</v>
      </c>
    </row>
    <row r="11" spans="3:9" ht="29" x14ac:dyDescent="0.35">
      <c r="C11" s="80" t="s">
        <v>75</v>
      </c>
      <c r="D11" t="s">
        <v>76</v>
      </c>
    </row>
    <row r="12" spans="3:9" x14ac:dyDescent="0.35">
      <c r="C12" s="81"/>
    </row>
    <row r="14" spans="3:9" x14ac:dyDescent="0.35">
      <c r="C14" s="2" t="s">
        <v>63</v>
      </c>
      <c r="F14" s="71">
        <v>257711731</v>
      </c>
      <c r="G14" s="71"/>
      <c r="H14" s="71"/>
      <c r="I14" s="71"/>
    </row>
    <row r="15" spans="3:9" x14ac:dyDescent="0.35">
      <c r="C15" s="2"/>
      <c r="F15" s="78">
        <f>+F14*30%</f>
        <v>77313519.299999997</v>
      </c>
    </row>
    <row r="16" spans="3:9" x14ac:dyDescent="0.35">
      <c r="C16" s="2"/>
      <c r="F16" s="78">
        <f>+F14*50%</f>
        <v>128855865.5</v>
      </c>
    </row>
    <row r="19" spans="1:13" s="5" customFormat="1" ht="29" x14ac:dyDescent="0.35">
      <c r="B19" s="15" t="s">
        <v>6</v>
      </c>
      <c r="C19" s="15" t="s">
        <v>7</v>
      </c>
      <c r="D19" s="16" t="s">
        <v>8</v>
      </c>
      <c r="E19" s="16" t="s">
        <v>72</v>
      </c>
      <c r="F19" s="17" t="s">
        <v>71</v>
      </c>
      <c r="G19" s="16" t="s">
        <v>72</v>
      </c>
      <c r="H19" s="17" t="s">
        <v>70</v>
      </c>
      <c r="I19" s="16" t="s">
        <v>73</v>
      </c>
      <c r="J19" s="17" t="s">
        <v>77</v>
      </c>
      <c r="K19" s="16" t="s">
        <v>83</v>
      </c>
      <c r="L19" s="17" t="s">
        <v>12</v>
      </c>
      <c r="M19" s="18" t="s">
        <v>13</v>
      </c>
    </row>
    <row r="20" spans="1:13" x14ac:dyDescent="0.35">
      <c r="B20" s="10">
        <v>1</v>
      </c>
      <c r="C20" s="20" t="s">
        <v>50</v>
      </c>
      <c r="D20" s="19" t="s">
        <v>51</v>
      </c>
      <c r="E20" s="90"/>
      <c r="F20" s="91"/>
      <c r="G20" s="91"/>
      <c r="H20" s="91"/>
      <c r="I20" s="91"/>
      <c r="J20" s="91"/>
      <c r="K20" s="91"/>
      <c r="L20" s="91"/>
      <c r="M20" s="92"/>
    </row>
    <row r="21" spans="1:13" x14ac:dyDescent="0.35">
      <c r="A21" t="s">
        <v>14</v>
      </c>
      <c r="B21" s="10">
        <v>2</v>
      </c>
      <c r="C21" s="20"/>
      <c r="D21" s="19" t="s">
        <v>55</v>
      </c>
      <c r="E21" s="93"/>
      <c r="F21" s="94"/>
      <c r="G21" s="94"/>
      <c r="H21" s="94"/>
      <c r="I21" s="94"/>
      <c r="J21" s="94"/>
      <c r="K21" s="94"/>
      <c r="L21" s="94"/>
      <c r="M21" s="95"/>
    </row>
    <row r="22" spans="1:13" x14ac:dyDescent="0.35">
      <c r="A22" t="s">
        <v>15</v>
      </c>
      <c r="B22" s="10">
        <v>3</v>
      </c>
      <c r="C22" s="20"/>
      <c r="D22" s="19" t="s">
        <v>52</v>
      </c>
      <c r="E22" s="12">
        <f>+SUMIFS('proponente 3,1'!D8:D12,'proponente 3,1'!E8:E12,1)</f>
        <v>578744500</v>
      </c>
      <c r="F22" s="77">
        <f>+IF(E22&lt;F15,0,IF(AND(E22&gt;=F15,E22&lt;F16),10,30))</f>
        <v>30</v>
      </c>
      <c r="G22" s="76">
        <f>+SUMIFS('proponente 3,1'!D8:D12,'proponente 3,1'!E8:E12,2)</f>
        <v>1433833418</v>
      </c>
      <c r="H22" s="77">
        <f>+IF(G22&lt;F15,0,IF(AND(G22&gt;=F15,G22&lt;F16),15,30))</f>
        <v>30</v>
      </c>
      <c r="I22" s="76">
        <v>256936665.56</v>
      </c>
      <c r="J22" s="89">
        <f>+'Media aritmética alta'!D17</f>
        <v>29.932340710916854</v>
      </c>
      <c r="K22" s="88">
        <v>1</v>
      </c>
      <c r="L22" s="77">
        <f>+IF(K22=100%,10,IF(K22=0%,0,5))</f>
        <v>10</v>
      </c>
      <c r="M22" s="76">
        <f>+L22+J22+H22+F22</f>
        <v>99.932340710916861</v>
      </c>
    </row>
    <row r="23" spans="1:13" x14ac:dyDescent="0.35">
      <c r="B23" s="10">
        <v>4</v>
      </c>
      <c r="C23" s="20" t="s">
        <v>53</v>
      </c>
      <c r="D23" s="19" t="s">
        <v>54</v>
      </c>
      <c r="E23" s="12">
        <f>+SUMIFS('proponente 4'!D7:D11,'proponente 4'!E7:E11,1)</f>
        <v>280212122</v>
      </c>
      <c r="F23" s="77">
        <f>+IF(E23&lt;F16,0,IF(AND(E23&gt;=F16,E23&lt;F17),10,30))</f>
        <v>30</v>
      </c>
      <c r="G23" s="76">
        <f>+SUMIFS('proponente 4'!D7:D11,'proponente 4'!E7:E11,2)</f>
        <v>647749316</v>
      </c>
      <c r="H23" s="77">
        <f>+IF(G23&lt;F16,0,IF(AND(G23&gt;=F16,G23&lt;F17),15,30))</f>
        <v>30</v>
      </c>
      <c r="I23" s="76">
        <v>257711041</v>
      </c>
      <c r="J23" s="89">
        <f>+'Media aritmética alta'!D18</f>
        <v>29.954893807277895</v>
      </c>
      <c r="K23" s="88">
        <v>1</v>
      </c>
      <c r="L23" s="77">
        <f>+IF(K23=100%,10,IF(K23=0%,0,5))</f>
        <v>10</v>
      </c>
      <c r="M23" s="76">
        <f>+L23+J23+H23+F23</f>
        <v>99.954893807277898</v>
      </c>
    </row>
    <row r="25" spans="1:13" x14ac:dyDescent="0.35">
      <c r="C25" s="2"/>
    </row>
    <row r="26" spans="1:13" x14ac:dyDescent="0.35">
      <c r="C26" s="2"/>
    </row>
    <row r="30" spans="1:13" x14ac:dyDescent="0.35">
      <c r="D30" s="2" t="s">
        <v>11</v>
      </c>
      <c r="E30" s="2"/>
    </row>
    <row r="54" spans="4:4" x14ac:dyDescent="0.35">
      <c r="D54" s="2" t="s">
        <v>73</v>
      </c>
    </row>
  </sheetData>
  <mergeCells count="1">
    <mergeCell ref="E20:M21"/>
  </mergeCells>
  <conditionalFormatting sqref="M19">
    <cfRule type="cellIs" dxfId="5" priority="3" operator="equal">
      <formula>"No cumple"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385C-F5C3-4B54-9150-433DB6FC344A}">
  <dimension ref="C4:D28"/>
  <sheetViews>
    <sheetView showGridLines="0" workbookViewId="0">
      <selection activeCell="C16" sqref="C16"/>
    </sheetView>
  </sheetViews>
  <sheetFormatPr baseColWidth="10" defaultRowHeight="14.5" x14ac:dyDescent="0.35"/>
  <cols>
    <col min="3" max="3" width="46.90625" bestFit="1" customWidth="1"/>
    <col min="4" max="4" width="18.453125" style="85" customWidth="1"/>
  </cols>
  <sheetData>
    <row r="4" spans="3:4" x14ac:dyDescent="0.35">
      <c r="C4" t="s">
        <v>52</v>
      </c>
      <c r="D4" s="86">
        <v>256936665.56</v>
      </c>
    </row>
    <row r="5" spans="3:4" x14ac:dyDescent="0.35">
      <c r="C5" t="s">
        <v>54</v>
      </c>
      <c r="D5" s="86">
        <v>257711041</v>
      </c>
    </row>
    <row r="7" spans="3:4" x14ac:dyDescent="0.35">
      <c r="C7" t="s">
        <v>81</v>
      </c>
      <c r="D7" s="85">
        <v>10</v>
      </c>
    </row>
    <row r="8" spans="3:4" x14ac:dyDescent="0.35">
      <c r="C8" t="s">
        <v>78</v>
      </c>
      <c r="D8" s="85">
        <f>+(D4+D5)/2</f>
        <v>257323853.28</v>
      </c>
    </row>
    <row r="9" spans="3:4" x14ac:dyDescent="0.35">
      <c r="C9" t="s">
        <v>79</v>
      </c>
      <c r="D9" s="85">
        <f>+D5</f>
        <v>257711041</v>
      </c>
    </row>
    <row r="12" spans="3:4" x14ac:dyDescent="0.35">
      <c r="C12" s="84" t="s">
        <v>80</v>
      </c>
      <c r="D12" s="83">
        <f>+(D8+D9)/2</f>
        <v>257517447.13999999</v>
      </c>
    </row>
    <row r="16" spans="3:4" x14ac:dyDescent="0.35">
      <c r="C16" s="2" t="s">
        <v>82</v>
      </c>
    </row>
    <row r="17" spans="3:4" x14ac:dyDescent="0.35">
      <c r="C17" t="s">
        <v>52</v>
      </c>
      <c r="D17" s="87">
        <f>30*(1-((D12-D4)/D12))</f>
        <v>29.932340710916854</v>
      </c>
    </row>
    <row r="18" spans="3:4" x14ac:dyDescent="0.35">
      <c r="C18" t="s">
        <v>54</v>
      </c>
      <c r="D18" s="87">
        <f>30*(1-(2*(-D12+D5)/D12))</f>
        <v>29.954893807277895</v>
      </c>
    </row>
    <row r="19" spans="3:4" x14ac:dyDescent="0.35">
      <c r="D19" s="82"/>
    </row>
    <row r="27" spans="3:4" x14ac:dyDescent="0.35">
      <c r="D27" s="86"/>
    </row>
    <row r="28" spans="3:4" x14ac:dyDescent="0.35">
      <c r="D28" s="8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59B7C-EF54-4B37-9F2A-DB1C6FC868B0}">
  <dimension ref="B1:G23"/>
  <sheetViews>
    <sheetView showGridLines="0" workbookViewId="0">
      <selection activeCell="D10" activeCellId="1" sqref="D8 D10:D12"/>
    </sheetView>
  </sheetViews>
  <sheetFormatPr baseColWidth="10" defaultColWidth="11.453125" defaultRowHeight="14.5" x14ac:dyDescent="0.35"/>
  <cols>
    <col min="1" max="2" width="11.453125" style="22"/>
    <col min="3" max="3" width="62" style="22" customWidth="1"/>
    <col min="4" max="4" width="24.453125" style="30" customWidth="1"/>
    <col min="5" max="5" width="19.7265625" style="73" bestFit="1" customWidth="1"/>
    <col min="6" max="6" width="2.26953125" style="38" customWidth="1"/>
    <col min="8" max="16384" width="11.453125" style="22"/>
  </cols>
  <sheetData>
    <row r="1" spans="2:5" x14ac:dyDescent="0.35">
      <c r="B1" s="39"/>
      <c r="C1" s="39"/>
    </row>
    <row r="2" spans="2:5" x14ac:dyDescent="0.35">
      <c r="B2" s="61">
        <v>42131430</v>
      </c>
      <c r="C2" t="s">
        <v>64</v>
      </c>
    </row>
    <row r="4" spans="2:5" x14ac:dyDescent="0.35">
      <c r="E4" s="74"/>
    </row>
    <row r="5" spans="2:5" x14ac:dyDescent="0.35">
      <c r="B5" s="26" t="s">
        <v>32</v>
      </c>
      <c r="E5" s="75"/>
    </row>
    <row r="6" spans="2:5" x14ac:dyDescent="0.35">
      <c r="E6" s="75"/>
    </row>
    <row r="7" spans="2:5" x14ac:dyDescent="0.35">
      <c r="B7" s="21"/>
      <c r="C7" s="21" t="s">
        <v>20</v>
      </c>
      <c r="D7" s="28" t="s">
        <v>21</v>
      </c>
      <c r="E7" s="75"/>
    </row>
    <row r="8" spans="2:5" ht="144.5" x14ac:dyDescent="0.35">
      <c r="B8" s="23">
        <v>1</v>
      </c>
      <c r="C8" s="24" t="s">
        <v>65</v>
      </c>
      <c r="D8" s="29">
        <v>454336863</v>
      </c>
      <c r="E8" s="75">
        <v>2</v>
      </c>
    </row>
    <row r="9" spans="2:5" ht="60.5" x14ac:dyDescent="0.35">
      <c r="B9" s="23">
        <v>2</v>
      </c>
      <c r="C9" s="24" t="s">
        <v>66</v>
      </c>
      <c r="D9" s="29">
        <v>578744500</v>
      </c>
      <c r="E9" s="75">
        <v>1</v>
      </c>
    </row>
    <row r="10" spans="2:5" ht="60.5" x14ac:dyDescent="0.35">
      <c r="B10" s="23">
        <v>3</v>
      </c>
      <c r="C10" s="24" t="s">
        <v>67</v>
      </c>
      <c r="D10" s="29">
        <v>473382000</v>
      </c>
      <c r="E10" s="73">
        <v>2</v>
      </c>
    </row>
    <row r="11" spans="2:5" x14ac:dyDescent="0.35">
      <c r="B11" s="72">
        <v>4</v>
      </c>
      <c r="C11" s="66" t="s">
        <v>68</v>
      </c>
      <c r="D11" s="67">
        <v>215025000</v>
      </c>
      <c r="E11" s="73">
        <v>2</v>
      </c>
    </row>
    <row r="12" spans="2:5" x14ac:dyDescent="0.35">
      <c r="B12" s="72">
        <v>5</v>
      </c>
      <c r="C12" s="66" t="s">
        <v>69</v>
      </c>
      <c r="D12" s="67">
        <v>291089555</v>
      </c>
      <c r="E12" s="73">
        <v>2</v>
      </c>
    </row>
    <row r="13" spans="2:5" x14ac:dyDescent="0.35">
      <c r="B13" s="25"/>
      <c r="C13" s="25"/>
      <c r="D13" s="35">
        <f>+SUM(D8:D10)</f>
        <v>1506463363</v>
      </c>
    </row>
    <row r="15" spans="2:5" x14ac:dyDescent="0.35">
      <c r="B15" s="27"/>
      <c r="C15" s="27" t="s">
        <v>49</v>
      </c>
      <c r="D15" s="31" t="s">
        <v>38</v>
      </c>
    </row>
    <row r="17" spans="2:4" x14ac:dyDescent="0.35">
      <c r="B17" s="27" t="s">
        <v>40</v>
      </c>
      <c r="C17" s="27"/>
      <c r="D17" s="31" t="s">
        <v>38</v>
      </c>
    </row>
    <row r="19" spans="2:4" x14ac:dyDescent="0.35">
      <c r="B19" s="27" t="s">
        <v>45</v>
      </c>
      <c r="C19" s="27"/>
      <c r="D19" s="31">
        <v>100</v>
      </c>
    </row>
    <row r="22" spans="2:4" ht="15" thickBot="1" x14ac:dyDescent="0.4"/>
    <row r="23" spans="2:4" ht="15" thickBot="1" x14ac:dyDescent="0.4">
      <c r="B23" s="2" t="s">
        <v>46</v>
      </c>
      <c r="D23" s="52" t="e">
        <f>+IF(#REF!="na","NO","SÍ")</f>
        <v>#REF!</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6595-72E9-4010-93AF-50C51A38DD66}">
  <dimension ref="B1:J30"/>
  <sheetViews>
    <sheetView showGridLines="0" topLeftCell="A6" workbookViewId="0">
      <selection activeCell="D8" sqref="D8"/>
    </sheetView>
  </sheetViews>
  <sheetFormatPr baseColWidth="10" defaultColWidth="11.453125" defaultRowHeight="14.5" x14ac:dyDescent="0.35"/>
  <cols>
    <col min="1" max="2" width="11.453125" style="22"/>
    <col min="3" max="3" width="62" style="22" customWidth="1"/>
    <col min="4" max="4" width="24.453125" style="30" customWidth="1"/>
    <col min="5" max="5" width="19.7265625" style="34" bestFit="1" customWidth="1"/>
    <col min="6" max="6" width="2.26953125" style="38" customWidth="1"/>
    <col min="8" max="8" width="42.26953125" style="41" bestFit="1" customWidth="1"/>
    <col min="9" max="9" width="29.54296875" style="37" customWidth="1"/>
    <col min="10" max="10" width="20.7265625" style="22" customWidth="1"/>
    <col min="11" max="16384" width="11.453125" style="22"/>
  </cols>
  <sheetData>
    <row r="1" spans="2:10" x14ac:dyDescent="0.35">
      <c r="B1" s="39" t="e">
        <f>+#REF!</f>
        <v>#REF!</v>
      </c>
      <c r="C1" s="39" t="e">
        <f>+#REF!</f>
        <v>#REF!</v>
      </c>
      <c r="H1" s="40" t="s">
        <v>16</v>
      </c>
    </row>
    <row r="2" spans="2:10" ht="15" thickBot="1" x14ac:dyDescent="0.4">
      <c r="B2" s="51" t="e">
        <f>+#REF!</f>
        <v>#REF!</v>
      </c>
      <c r="C2" s="4" t="e">
        <f>+#REF!</f>
        <v>#REF!</v>
      </c>
    </row>
    <row r="3" spans="2:10" x14ac:dyDescent="0.35">
      <c r="H3" s="42" t="s">
        <v>17</v>
      </c>
      <c r="I3" s="46" t="s">
        <v>18</v>
      </c>
      <c r="J3" s="43" t="s">
        <v>19</v>
      </c>
    </row>
    <row r="4" spans="2:10" x14ac:dyDescent="0.35">
      <c r="B4" s="21"/>
      <c r="C4" s="21" t="s">
        <v>20</v>
      </c>
      <c r="D4" s="28" t="s">
        <v>21</v>
      </c>
      <c r="E4" s="32"/>
      <c r="H4" s="44" t="s">
        <v>22</v>
      </c>
      <c r="I4" s="10" t="s">
        <v>23</v>
      </c>
      <c r="J4" s="48"/>
    </row>
    <row r="5" spans="2:10" ht="60.5" x14ac:dyDescent="0.35">
      <c r="B5" s="23">
        <v>1</v>
      </c>
      <c r="C5" s="24" t="s">
        <v>58</v>
      </c>
      <c r="D5" s="29">
        <v>419501413</v>
      </c>
      <c r="E5" s="33"/>
      <c r="H5" s="44"/>
      <c r="I5" s="10" t="s">
        <v>23</v>
      </c>
      <c r="J5" s="48"/>
    </row>
    <row r="6" spans="2:10" ht="48.5" x14ac:dyDescent="0.35">
      <c r="B6" s="23">
        <v>2</v>
      </c>
      <c r="C6" s="24" t="s">
        <v>59</v>
      </c>
      <c r="D6" s="29">
        <v>464835034</v>
      </c>
      <c r="E6" s="33"/>
      <c r="H6" s="44" t="s">
        <v>26</v>
      </c>
      <c r="I6" s="10" t="s">
        <v>23</v>
      </c>
      <c r="J6" s="48"/>
    </row>
    <row r="7" spans="2:10" ht="60.5" x14ac:dyDescent="0.35">
      <c r="B7" s="23">
        <v>3</v>
      </c>
      <c r="C7" s="24" t="s">
        <v>60</v>
      </c>
      <c r="D7" s="29">
        <v>198147010.5</v>
      </c>
      <c r="E7" s="33"/>
      <c r="H7" s="44" t="s">
        <v>28</v>
      </c>
      <c r="I7" s="10" t="s">
        <v>23</v>
      </c>
      <c r="J7" s="48"/>
    </row>
    <row r="8" spans="2:10" ht="130" x14ac:dyDescent="0.35">
      <c r="B8" s="23">
        <v>4</v>
      </c>
      <c r="C8" s="68" t="s">
        <v>61</v>
      </c>
      <c r="D8" s="29">
        <v>785631952.71000004</v>
      </c>
      <c r="E8" s="33"/>
      <c r="H8" s="44" t="s">
        <v>29</v>
      </c>
      <c r="I8" s="10" t="s">
        <v>23</v>
      </c>
      <c r="J8" s="50" t="s">
        <v>57</v>
      </c>
    </row>
    <row r="9" spans="2:10" x14ac:dyDescent="0.35">
      <c r="B9" s="66"/>
      <c r="C9" s="66"/>
      <c r="D9" s="67"/>
      <c r="E9" s="33"/>
      <c r="H9" s="44" t="s">
        <v>31</v>
      </c>
      <c r="I9" s="10" t="s">
        <v>23</v>
      </c>
      <c r="J9" s="48" t="s">
        <v>56</v>
      </c>
    </row>
    <row r="10" spans="2:10" x14ac:dyDescent="0.35">
      <c r="B10" s="25" t="s">
        <v>30</v>
      </c>
      <c r="C10" s="25"/>
      <c r="D10" s="35">
        <f>+SUM(D5:D8)</f>
        <v>1868115410.21</v>
      </c>
      <c r="H10" s="44" t="s">
        <v>47</v>
      </c>
      <c r="I10" s="10" t="s">
        <v>23</v>
      </c>
      <c r="J10" s="50" t="s">
        <v>57</v>
      </c>
    </row>
    <row r="11" spans="2:10" x14ac:dyDescent="0.35">
      <c r="H11" s="44" t="s">
        <v>48</v>
      </c>
      <c r="I11" s="10" t="s">
        <v>23</v>
      </c>
      <c r="J11" s="48" t="s">
        <v>56</v>
      </c>
    </row>
    <row r="12" spans="2:10" ht="15" thickBot="1" x14ac:dyDescent="0.4">
      <c r="B12" s="26" t="s">
        <v>32</v>
      </c>
      <c r="H12" s="45" t="s">
        <v>33</v>
      </c>
      <c r="I12" s="47" t="str">
        <f>+IF(AND(I4="ok",I5="OK",I6="OK",I7="OK",I8="Ok",I9="OK",I10="ok",I11="ok"),"Cumple","No cumple")</f>
        <v>Cumple</v>
      </c>
      <c r="J12" s="49"/>
    </row>
    <row r="14" spans="2:10" x14ac:dyDescent="0.35">
      <c r="B14" s="21"/>
      <c r="C14" s="21" t="s">
        <v>20</v>
      </c>
      <c r="D14" s="28" t="s">
        <v>21</v>
      </c>
    </row>
    <row r="15" spans="2:10" x14ac:dyDescent="0.35">
      <c r="B15" s="23"/>
      <c r="C15" s="24"/>
      <c r="D15" s="29"/>
    </row>
    <row r="16" spans="2:10" x14ac:dyDescent="0.35">
      <c r="B16" s="23"/>
      <c r="C16" s="24"/>
      <c r="D16" s="29"/>
    </row>
    <row r="17" spans="2:4" x14ac:dyDescent="0.35">
      <c r="B17" s="23"/>
      <c r="C17" s="24"/>
      <c r="D17" s="29"/>
    </row>
    <row r="18" spans="2:4" x14ac:dyDescent="0.35">
      <c r="B18" s="27"/>
      <c r="C18" s="27"/>
      <c r="D18" s="36">
        <f>+SUM(D15:D17)</f>
        <v>0</v>
      </c>
    </row>
    <row r="20" spans="2:4" x14ac:dyDescent="0.35">
      <c r="B20" s="27"/>
      <c r="C20" s="27" t="s">
        <v>49</v>
      </c>
      <c r="D20" s="31" t="s">
        <v>38</v>
      </c>
    </row>
    <row r="22" spans="2:4" x14ac:dyDescent="0.35">
      <c r="B22" s="27" t="s">
        <v>40</v>
      </c>
      <c r="C22" s="27"/>
      <c r="D22" s="31" t="s">
        <v>38</v>
      </c>
    </row>
    <row r="24" spans="2:4" x14ac:dyDescent="0.35">
      <c r="B24" s="27" t="s">
        <v>45</v>
      </c>
      <c r="C24" s="27"/>
      <c r="D24" s="31">
        <v>100</v>
      </c>
    </row>
    <row r="27" spans="2:4" ht="15" thickBot="1" x14ac:dyDescent="0.4"/>
    <row r="28" spans="2:4" ht="15" thickBot="1" x14ac:dyDescent="0.4">
      <c r="B28" s="2" t="s">
        <v>46</v>
      </c>
      <c r="D28" s="52" t="str">
        <f>+IF(B30="na","NO","SÍ")</f>
        <v>NO</v>
      </c>
    </row>
    <row r="29" spans="2:4" x14ac:dyDescent="0.35">
      <c r="B29"/>
    </row>
    <row r="30" spans="2:4" x14ac:dyDescent="0.35">
      <c r="B30" t="s">
        <v>9</v>
      </c>
    </row>
  </sheetData>
  <conditionalFormatting sqref="C8">
    <cfRule type="cellIs" dxfId="4" priority="1" stopIfTrue="1" operator="greaterThan">
      <formula>0</formula>
    </cfRule>
  </conditionalFormatting>
  <conditionalFormatting sqref="I12">
    <cfRule type="cellIs" dxfId="3" priority="2" operator="equal">
      <formula>"No cumple"</formula>
    </cfRule>
    <cfRule type="cellIs" dxfId="2" priority="3" operator="equal">
      <formula>"cumple"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BF49-76F9-4C68-AB5D-31D55A6C7570}">
  <dimension ref="B2:J42"/>
  <sheetViews>
    <sheetView showGridLines="0" topLeftCell="A4" workbookViewId="0">
      <selection activeCell="D11" sqref="D11"/>
    </sheetView>
  </sheetViews>
  <sheetFormatPr baseColWidth="10" defaultColWidth="11.453125" defaultRowHeight="14.5" x14ac:dyDescent="0.35"/>
  <cols>
    <col min="2" max="2" width="14.26953125" style="1" customWidth="1"/>
    <col min="3" max="3" width="75.54296875" customWidth="1"/>
    <col min="4" max="4" width="24.453125" customWidth="1"/>
    <col min="5" max="5" width="16.453125" style="37" bestFit="1" customWidth="1"/>
    <col min="6" max="6" width="2.26953125" style="38" customWidth="1"/>
    <col min="7" max="7" width="9.1796875" bestFit="1" customWidth="1"/>
    <col min="8" max="8" width="42.26953125" style="41" bestFit="1" customWidth="1"/>
    <col min="9" max="9" width="29.54296875" style="37" customWidth="1"/>
    <col min="10" max="10" width="52.81640625" customWidth="1"/>
  </cols>
  <sheetData>
    <row r="2" spans="2:10" x14ac:dyDescent="0.35">
      <c r="B2" s="60" t="str">
        <f>+'PONDERABLES  002'!C23</f>
        <v>802.023.429-4</v>
      </c>
      <c r="C2" s="39" t="str">
        <f>+'PONDERABLES  002'!D23</f>
        <v>PROINGES SAS</v>
      </c>
      <c r="H2" s="40" t="s">
        <v>16</v>
      </c>
    </row>
    <row r="3" spans="2:10" x14ac:dyDescent="0.35">
      <c r="B3" s="61"/>
      <c r="C3" s="4"/>
    </row>
    <row r="4" spans="2:10" ht="15" thickBot="1" x14ac:dyDescent="0.4">
      <c r="B4" s="51" t="str">
        <f>+'proponente 3,1'!B5</f>
        <v>Acreditación experiencia adicional</v>
      </c>
      <c r="C4" s="4"/>
    </row>
    <row r="5" spans="2:10" x14ac:dyDescent="0.35">
      <c r="H5" s="42" t="s">
        <v>17</v>
      </c>
      <c r="I5" s="46" t="s">
        <v>18</v>
      </c>
      <c r="J5" s="43" t="s">
        <v>19</v>
      </c>
    </row>
    <row r="6" spans="2:10" x14ac:dyDescent="0.35">
      <c r="B6" s="9"/>
      <c r="C6" s="9" t="s">
        <v>20</v>
      </c>
      <c r="D6" s="9" t="s">
        <v>21</v>
      </c>
      <c r="H6" s="44" t="s">
        <v>22</v>
      </c>
      <c r="I6" s="10" t="s">
        <v>23</v>
      </c>
      <c r="J6" s="50"/>
    </row>
    <row r="7" spans="2:10" ht="81" customHeight="1" x14ac:dyDescent="0.35">
      <c r="B7" s="10">
        <v>1</v>
      </c>
      <c r="C7" s="64" t="s">
        <v>87</v>
      </c>
      <c r="D7" s="65">
        <v>206534415</v>
      </c>
      <c r="E7" s="37">
        <v>2</v>
      </c>
      <c r="H7" s="44" t="s">
        <v>26</v>
      </c>
      <c r="I7" s="10" t="s">
        <v>23</v>
      </c>
      <c r="J7" s="50"/>
    </row>
    <row r="8" spans="2:10" ht="31.5" x14ac:dyDescent="0.35">
      <c r="B8" s="10">
        <v>2</v>
      </c>
      <c r="C8" s="64" t="s">
        <v>84</v>
      </c>
      <c r="D8" s="65">
        <v>153551756</v>
      </c>
      <c r="E8" s="37">
        <v>2</v>
      </c>
      <c r="H8" s="44" t="s">
        <v>28</v>
      </c>
      <c r="I8" s="10" t="s">
        <v>23</v>
      </c>
      <c r="J8" s="50"/>
    </row>
    <row r="9" spans="2:10" ht="45.75" customHeight="1" x14ac:dyDescent="0.35">
      <c r="B9" s="10">
        <v>3</v>
      </c>
      <c r="C9" s="64" t="s">
        <v>85</v>
      </c>
      <c r="D9" s="65">
        <v>136197166</v>
      </c>
      <c r="E9" s="37">
        <v>1</v>
      </c>
      <c r="H9" s="44" t="s">
        <v>29</v>
      </c>
      <c r="I9" s="10" t="s">
        <v>23</v>
      </c>
      <c r="J9" s="50"/>
    </row>
    <row r="10" spans="2:10" ht="29.25" customHeight="1" x14ac:dyDescent="0.35">
      <c r="B10" s="10">
        <v>4</v>
      </c>
      <c r="C10" s="64" t="s">
        <v>86</v>
      </c>
      <c r="D10" s="65">
        <v>287663145</v>
      </c>
      <c r="E10" s="37">
        <v>2</v>
      </c>
      <c r="H10" s="44" t="s">
        <v>31</v>
      </c>
      <c r="I10" s="10" t="s">
        <v>23</v>
      </c>
      <c r="J10" s="48"/>
    </row>
    <row r="11" spans="2:10" ht="36" customHeight="1" x14ac:dyDescent="0.35">
      <c r="B11" s="10">
        <v>5</v>
      </c>
      <c r="C11" s="11" t="s">
        <v>86</v>
      </c>
      <c r="D11" s="65">
        <v>144014956</v>
      </c>
      <c r="E11" s="37">
        <v>1</v>
      </c>
      <c r="H11" s="44" t="s">
        <v>47</v>
      </c>
      <c r="I11" s="10" t="s">
        <v>23</v>
      </c>
      <c r="J11" s="48"/>
    </row>
    <row r="12" spans="2:10" x14ac:dyDescent="0.35">
      <c r="B12" s="9" t="s">
        <v>30</v>
      </c>
      <c r="C12" s="13"/>
      <c r="D12" s="14">
        <f>+SUM(D7:D11)</f>
        <v>927961438</v>
      </c>
      <c r="H12" s="44" t="s">
        <v>48</v>
      </c>
      <c r="I12" s="10" t="s">
        <v>23</v>
      </c>
      <c r="J12" s="48"/>
    </row>
    <row r="13" spans="2:10" ht="29.5" thickBot="1" x14ac:dyDescent="0.4">
      <c r="H13" s="70" t="s">
        <v>33</v>
      </c>
      <c r="I13" s="69" t="str">
        <f>+IF(AND(I6="ok",I7="OK",I8="OK",I9="Ok",I10="OK",I11="ok",I12="ok"),"Cumple","No cumple")</f>
        <v>Cumple</v>
      </c>
      <c r="J13" s="49"/>
    </row>
    <row r="14" spans="2:10" x14ac:dyDescent="0.35">
      <c r="B14" s="62" t="s">
        <v>32</v>
      </c>
    </row>
    <row r="16" spans="2:10" x14ac:dyDescent="0.35">
      <c r="B16" s="9"/>
      <c r="C16" s="9" t="s">
        <v>20</v>
      </c>
      <c r="D16" s="9" t="s">
        <v>21</v>
      </c>
      <c r="H16" s="54" t="s">
        <v>34</v>
      </c>
      <c r="I16" s="63"/>
      <c r="J16" s="56"/>
    </row>
    <row r="17" spans="2:10" x14ac:dyDescent="0.35">
      <c r="B17" s="10" t="s">
        <v>24</v>
      </c>
      <c r="C17" s="11"/>
      <c r="D17" s="12"/>
      <c r="H17" s="54" t="s">
        <v>35</v>
      </c>
      <c r="I17" s="55"/>
      <c r="J17" s="56"/>
    </row>
    <row r="18" spans="2:10" x14ac:dyDescent="0.35">
      <c r="B18" s="10" t="s">
        <v>25</v>
      </c>
      <c r="C18" s="11"/>
      <c r="D18" s="12"/>
      <c r="H18" s="54"/>
      <c r="I18" s="57">
        <f>+I16-I17</f>
        <v>0</v>
      </c>
      <c r="J18" s="58" t="s">
        <v>36</v>
      </c>
    </row>
    <row r="19" spans="2:10" x14ac:dyDescent="0.35">
      <c r="B19" s="10" t="s">
        <v>27</v>
      </c>
      <c r="C19" s="11"/>
      <c r="D19" s="12"/>
    </row>
    <row r="20" spans="2:10" x14ac:dyDescent="0.35">
      <c r="B20" s="6"/>
      <c r="C20" s="7"/>
      <c r="D20" s="8">
        <f>+SUM(D17:D19)</f>
        <v>0</v>
      </c>
      <c r="H20" s="53" t="s">
        <v>39</v>
      </c>
    </row>
    <row r="21" spans="2:10" x14ac:dyDescent="0.35">
      <c r="H21" s="53" t="s">
        <v>41</v>
      </c>
      <c r="I21" s="37" t="s">
        <v>42</v>
      </c>
    </row>
    <row r="22" spans="2:10" x14ac:dyDescent="0.35">
      <c r="B22" s="7"/>
      <c r="C22" s="7" t="s">
        <v>37</v>
      </c>
      <c r="D22" s="6" t="s">
        <v>38</v>
      </c>
      <c r="H22" s="53" t="s">
        <v>43</v>
      </c>
      <c r="I22" s="37" t="s">
        <v>44</v>
      </c>
    </row>
    <row r="23" spans="2:10" x14ac:dyDescent="0.35">
      <c r="B23"/>
    </row>
    <row r="24" spans="2:10" x14ac:dyDescent="0.35">
      <c r="B24" s="7" t="s">
        <v>40</v>
      </c>
      <c r="C24" s="7"/>
      <c r="D24" s="6" t="s">
        <v>38</v>
      </c>
    </row>
    <row r="25" spans="2:10" x14ac:dyDescent="0.35">
      <c r="B25"/>
    </row>
    <row r="26" spans="2:10" x14ac:dyDescent="0.35">
      <c r="B26" s="7" t="s">
        <v>45</v>
      </c>
      <c r="C26" s="7"/>
      <c r="D26" s="6">
        <v>100</v>
      </c>
    </row>
    <row r="27" spans="2:10" x14ac:dyDescent="0.35">
      <c r="B27"/>
    </row>
    <row r="28" spans="2:10" ht="15" thickBot="1" x14ac:dyDescent="0.4">
      <c r="B28" s="2"/>
    </row>
    <row r="29" spans="2:10" ht="15" thickBot="1" x14ac:dyDescent="0.4">
      <c r="B29" s="2" t="s">
        <v>46</v>
      </c>
      <c r="D29" s="52" t="str">
        <f>+IF(B31="na","NO","SÍ")</f>
        <v>SÍ</v>
      </c>
    </row>
    <row r="30" spans="2:10" x14ac:dyDescent="0.35">
      <c r="B30"/>
    </row>
    <row r="31" spans="2:10" ht="51" customHeight="1" x14ac:dyDescent="0.35">
      <c r="B31" t="s">
        <v>62</v>
      </c>
    </row>
    <row r="33" spans="2:4" ht="46.5" customHeight="1" x14ac:dyDescent="0.35"/>
    <row r="40" spans="2:4" x14ac:dyDescent="0.35">
      <c r="B40" s="59"/>
      <c r="C40" s="59"/>
      <c r="D40" s="59"/>
    </row>
    <row r="42" spans="2:4" x14ac:dyDescent="0.35">
      <c r="B42" s="59"/>
      <c r="C42" s="59"/>
      <c r="D42" s="59"/>
    </row>
  </sheetData>
  <conditionalFormatting sqref="I13">
    <cfRule type="cellIs" dxfId="1" priority="1" operator="equal">
      <formula>"No cumple"</formula>
    </cfRule>
    <cfRule type="cellIs" dxfId="0" priority="2" operator="equal">
      <formula>"cumple"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PONDERABLES  002</vt:lpstr>
      <vt:lpstr>Media aritmética alta</vt:lpstr>
      <vt:lpstr>proponente 3,1</vt:lpstr>
      <vt:lpstr>proponente 3,2</vt:lpstr>
      <vt:lpstr>proponente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Jhonny Elias Ardila Rodriguez</dc:creator>
  <cp:keywords/>
  <dc:description/>
  <cp:lastModifiedBy>Jhonny Elias Ardila Rodriguez</cp:lastModifiedBy>
  <cp:revision/>
  <dcterms:created xsi:type="dcterms:W3CDTF">2025-09-29T17:51:16Z</dcterms:created>
  <dcterms:modified xsi:type="dcterms:W3CDTF">2026-06-05T22:05:57Z</dcterms:modified>
  <cp:category/>
  <cp:contentStatus/>
</cp:coreProperties>
</file>